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EuroLeague" sheetId="1" r:id="rId3"/>
    <sheet state="visible" name="Spanish ACB" sheetId="2" r:id="rId4"/>
    <sheet state="visible" name="Australian NBL" sheetId="3" r:id="rId5"/>
    <sheet state="visible" name="Greek HEBA A1" sheetId="4" r:id="rId6"/>
    <sheet state="visible" name="German BBL" sheetId="5" r:id="rId7"/>
    <sheet state="visible" name="Adriatic League Liga ABA" sheetId="6" r:id="rId8"/>
    <sheet state="visible" name="French Pro A" sheetId="7" r:id="rId9"/>
    <sheet state="visible" name="Israeli BSL" sheetId="8" r:id="rId10"/>
    <sheet state="visible" name="Puerto Rican BSN" sheetId="9" r:id="rId11"/>
    <sheet state="visible" name="Turkish BSL" sheetId="10" r:id="rId12"/>
    <sheet state="visible" name="Italian Lega Basket Serie A" sheetId="11" r:id="rId13"/>
    <sheet state="visible" name="Chinese CBA" sheetId="12" r:id="rId14"/>
    <sheet state="visible" name="Lithuanian LKL" sheetId="13" r:id="rId15"/>
    <sheet state="visible" name="VTB United League" sheetId="14" r:id="rId16"/>
    <sheet state="visible" name="Eurocup" sheetId="15" r:id="rId17"/>
    <sheet state="visible" name="German Pro A" sheetId="16" r:id="rId18"/>
    <sheet state="visible" name="German Pro B" sheetId="17" r:id="rId19"/>
    <sheet state="visible" name="Spanish LEB Gold" sheetId="18" r:id="rId20"/>
    <sheet state="visible" name="Italian Serie A2 Basket" sheetId="19" r:id="rId21"/>
    <sheet state="visible" name="Brazilian NBB" sheetId="20" r:id="rId22"/>
  </sheets>
  <definedNames/>
  <calcPr/>
</workbook>
</file>

<file path=xl/sharedStrings.xml><?xml version="1.0" encoding="utf-8"?>
<sst xmlns="http://schemas.openxmlformats.org/spreadsheetml/2006/main" count="10756" uniqueCount="3566">
  <si>
    <t>EuroLeague 2017-18 BPM</t>
  </si>
  <si>
    <t>Spanish ACB 2017-18 BPM</t>
  </si>
  <si>
    <t>Australian NBL 2017-18 BPM</t>
  </si>
  <si>
    <t>2017-18 BPM Leader</t>
  </si>
  <si>
    <t>Player</t>
  </si>
  <si>
    <t>Team</t>
  </si>
  <si>
    <t>Minutes</t>
  </si>
  <si>
    <t>OBPM</t>
  </si>
  <si>
    <t>DBPM</t>
  </si>
  <si>
    <t>BPM</t>
  </si>
  <si>
    <t>VORP</t>
  </si>
  <si>
    <t>Kyle Hines</t>
  </si>
  <si>
    <t>CSKA</t>
  </si>
  <si>
    <t>Luka Doncic</t>
  </si>
  <si>
    <t>RMB</t>
  </si>
  <si>
    <t>Mitchell Creek</t>
  </si>
  <si>
    <t>ADE</t>
  </si>
  <si>
    <t>Rudy Fernandez</t>
  </si>
  <si>
    <t>Nick Calathes</t>
  </si>
  <si>
    <t>PAN</t>
  </si>
  <si>
    <t>Gustavo Ayon</t>
  </si>
  <si>
    <t>James Augustine</t>
  </si>
  <si>
    <t>UNI</t>
  </si>
  <si>
    <t>Ante Tomic</t>
  </si>
  <si>
    <t>FCB</t>
  </si>
  <si>
    <t>Edy Tavares</t>
  </si>
  <si>
    <t>Tai Wesley</t>
  </si>
  <si>
    <t>MEL</t>
  </si>
  <si>
    <t>Nando De Colo</t>
  </si>
  <si>
    <t>Nikola Milutinov</t>
  </si>
  <si>
    <t>OLY</t>
  </si>
  <si>
    <t>Josh Childress</t>
  </si>
  <si>
    <t>Giorgi Shermadini</t>
  </si>
  <si>
    <t>Othello Hunter</t>
  </si>
  <si>
    <t>Jan Vesely</t>
  </si>
  <si>
    <t>Casey Prather</t>
  </si>
  <si>
    <t>FEN</t>
  </si>
  <si>
    <t>Kostas Papanikolaou</t>
  </si>
  <si>
    <t>Bryce Cotton</t>
  </si>
  <si>
    <t>PER</t>
  </si>
  <si>
    <t>Tornike Shengelia</t>
  </si>
  <si>
    <t>CAJ</t>
  </si>
  <si>
    <t>Thomas Heurtel</t>
  </si>
  <si>
    <t>Cameron Gliddon</t>
  </si>
  <si>
    <t>CRN</t>
  </si>
  <si>
    <t>Mike James</t>
  </si>
  <si>
    <t>Nicholas Kay</t>
  </si>
  <si>
    <t>ILL</t>
  </si>
  <si>
    <t>Nicolo Melli</t>
  </si>
  <si>
    <t>Facundo Campazzo</t>
  </si>
  <si>
    <t>Tyler Honeycutt</t>
  </si>
  <si>
    <t>KHI</t>
  </si>
  <si>
    <t>Derek Cooke, Jr.</t>
  </si>
  <si>
    <t>Tim Abromaitis</t>
  </si>
  <si>
    <t>CAN</t>
  </si>
  <si>
    <t>Sergio Rodriguez</t>
  </si>
  <si>
    <t>Mitchell McCarron</t>
  </si>
  <si>
    <t>Rafa Martinez</t>
  </si>
  <si>
    <t>Bryant Dunston</t>
  </si>
  <si>
    <t>VAL</t>
  </si>
  <si>
    <t>EFE</t>
  </si>
  <si>
    <t>Josh Boone</t>
  </si>
  <si>
    <t>Johannes Voigtmann</t>
  </si>
  <si>
    <t>Jonah Bolden</t>
  </si>
  <si>
    <t>MAC</t>
  </si>
  <si>
    <t>J.P. Tokoto</t>
  </si>
  <si>
    <t>Carlos Suarez</t>
  </si>
  <si>
    <t>Vincent Poirier</t>
  </si>
  <si>
    <t>Semen Antonov</t>
  </si>
  <si>
    <t>Ahmet Duverioglu</t>
  </si>
  <si>
    <t>Chris Goulding</t>
  </si>
  <si>
    <t>Dorell Wright</t>
  </si>
  <si>
    <t>BRO</t>
  </si>
  <si>
    <t>Henk Norel</t>
  </si>
  <si>
    <t>GBC</t>
  </si>
  <si>
    <t>Brandon Davies</t>
  </si>
  <si>
    <t>ZAL</t>
  </si>
  <si>
    <t>Robert Loe</t>
  </si>
  <si>
    <t>NZB</t>
  </si>
  <si>
    <t>Aleksandar Vezenkov</t>
  </si>
  <si>
    <t>James Nunnally</t>
  </si>
  <si>
    <t>Daniel Johnson</t>
  </si>
  <si>
    <t>Aaron Doornekamp</t>
  </si>
  <si>
    <t>Ali Muhammed</t>
  </si>
  <si>
    <t>Clevin Hannah</t>
  </si>
  <si>
    <t>MUR</t>
  </si>
  <si>
    <t>Lucas Walker</t>
  </si>
  <si>
    <t>Malcolm Thomas</t>
  </si>
  <si>
    <t>Vladimir Jankovic</t>
  </si>
  <si>
    <t>AND</t>
  </si>
  <si>
    <t>Marko Guduric</t>
  </si>
  <si>
    <t>Damian Martin</t>
  </si>
  <si>
    <t>Adam Hanga</t>
  </si>
  <si>
    <t>Nikita Kurbanov</t>
  </si>
  <si>
    <t>Janis Timma</t>
  </si>
  <si>
    <t>Shannon Shorter</t>
  </si>
  <si>
    <t>Luke Fischer</t>
  </si>
  <si>
    <t>GCN</t>
  </si>
  <si>
    <t>Adam Waczynski</t>
  </si>
  <si>
    <t>A.J. Ogilvy</t>
  </si>
  <si>
    <t>Victor Claver</t>
  </si>
  <si>
    <t>Sasu Salin</t>
  </si>
  <si>
    <t>Edgaras Ulanovas</t>
  </si>
  <si>
    <t>Will Thomas</t>
  </si>
  <si>
    <t>Carrick Felix</t>
  </si>
  <si>
    <t>Augustine Rubit</t>
  </si>
  <si>
    <t>Paulius Jankunas</t>
  </si>
  <si>
    <t>Artsiom Parakhouski</t>
  </si>
  <si>
    <t>Rodrigue Beaubois</t>
  </si>
  <si>
    <t>Perrin Buford</t>
  </si>
  <si>
    <t>BRI</t>
  </si>
  <si>
    <t>Brad Wanamaker</t>
  </si>
  <si>
    <t>Devin Thomas</t>
  </si>
  <si>
    <t>BBB</t>
  </si>
  <si>
    <t>Cory Higgins</t>
  </si>
  <si>
    <t>Ramone Moore</t>
  </si>
  <si>
    <t>Fernando San Emeterio</t>
  </si>
  <si>
    <t>Arturas Gudaitis</t>
  </si>
  <si>
    <t>MIL</t>
  </si>
  <si>
    <t>Demetrius Conger</t>
  </si>
  <si>
    <t>Nemanja Nedovic</t>
  </si>
  <si>
    <t>Nnanna Egwu</t>
  </si>
  <si>
    <t>Sam Van Rossom</t>
  </si>
  <si>
    <t>Trey Thompkins</t>
  </si>
  <si>
    <t>Dane Pineau</t>
  </si>
  <si>
    <t>SYD</t>
  </si>
  <si>
    <t>James Gist</t>
  </si>
  <si>
    <t>Casper Ware</t>
  </si>
  <si>
    <t>Ondrej Balvin</t>
  </si>
  <si>
    <t>Alexey Shved</t>
  </si>
  <si>
    <t>Tohi Smith-Milner</t>
  </si>
  <si>
    <t>Pau Ribas</t>
  </si>
  <si>
    <t>Mateusz Ponitka</t>
  </si>
  <si>
    <t>Kevin Pangos</t>
  </si>
  <si>
    <t>David Barlow</t>
  </si>
  <si>
    <t>Chris Singleton</t>
  </si>
  <si>
    <t>Dejan Davidovac</t>
  </si>
  <si>
    <t>ZVE</t>
  </si>
  <si>
    <t>Ilimane Diop</t>
  </si>
  <si>
    <t>Anthony Gill</t>
  </si>
  <si>
    <t>D.J. Newbill</t>
  </si>
  <si>
    <t>Kostas Vasiliadis</t>
  </si>
  <si>
    <t>Edgar Sosa</t>
  </si>
  <si>
    <t>Vladimir Stimac</t>
  </si>
  <si>
    <t>Joan Sastre</t>
  </si>
  <si>
    <t>Jesse Wagstaff</t>
  </si>
  <si>
    <t>Angus Brandt</t>
  </si>
  <si>
    <t>Jonas Maciulis</t>
  </si>
  <si>
    <t>Arturas Milaknis</t>
  </si>
  <si>
    <t>Jason Cadee</t>
  </si>
  <si>
    <t>Taylor Rochestie</t>
  </si>
  <si>
    <t>Travis Trice</t>
  </si>
  <si>
    <t>Gigi Datome</t>
  </si>
  <si>
    <t>Alex Pledger</t>
  </si>
  <si>
    <t>Aaron White</t>
  </si>
  <si>
    <t>Pierre Oriola</t>
  </si>
  <si>
    <t>Andrey Vorontsevich</t>
  </si>
  <si>
    <t>Cody Ellis</t>
  </si>
  <si>
    <t>Anthony Randolph</t>
  </si>
  <si>
    <t>Travis Leslie</t>
  </si>
  <si>
    <t>Felipe Reyes</t>
  </si>
  <si>
    <t>Daniel Hackett</t>
  </si>
  <si>
    <t>Caleb Davis</t>
  </si>
  <si>
    <t>Lochlan Cummings</t>
  </si>
  <si>
    <t>Kevin Jones</t>
  </si>
  <si>
    <t>Jaycee Carroll</t>
  </si>
  <si>
    <t>Kevin Lisch</t>
  </si>
  <si>
    <t>Mikhail Kulagin</t>
  </si>
  <si>
    <t>Alex Loughton</t>
  </si>
  <si>
    <t>Matt Janning</t>
  </si>
  <si>
    <t>Majok Deng</t>
  </si>
  <si>
    <t>Tom Garlepp</t>
  </si>
  <si>
    <t>Jamel McLean</t>
  </si>
  <si>
    <t>John Shurna</t>
  </si>
  <si>
    <t>Antanas Kavaliauskas</t>
  </si>
  <si>
    <t>Anthony Fisher</t>
  </si>
  <si>
    <t>Oliver Stevic</t>
  </si>
  <si>
    <t>Samuel Short</t>
  </si>
  <si>
    <t>Fabien Causeur</t>
  </si>
  <si>
    <t>Isaac Humphries</t>
  </si>
  <si>
    <t>Bryce Taylor</t>
  </si>
  <si>
    <t>Mitchell Newton</t>
  </si>
  <si>
    <t>DeAndre Kane</t>
  </si>
  <si>
    <t>Matt Thomas</t>
  </si>
  <si>
    <t>OBR</t>
  </si>
  <si>
    <t>Mason Bragg</t>
  </si>
  <si>
    <t>Tryggvi Hlinason</t>
  </si>
  <si>
    <t>Adrien Moerman</t>
  </si>
  <si>
    <t>James Hunter</t>
  </si>
  <si>
    <t>Jeremy Tyler</t>
  </si>
  <si>
    <t>Landing Sane</t>
  </si>
  <si>
    <t>Jeff Brooks</t>
  </si>
  <si>
    <t>Luca Vildoza</t>
  </si>
  <si>
    <t>Tyrell Harrison</t>
  </si>
  <si>
    <t>Bojan Dubljevic</t>
  </si>
  <si>
    <t>Xavi Rabaseda</t>
  </si>
  <si>
    <t>Anthony Drmic</t>
  </si>
  <si>
    <t>Kostas Sloukas</t>
  </si>
  <si>
    <t>Brad Oleson</t>
  </si>
  <si>
    <t>Sam Johns</t>
  </si>
  <si>
    <t>K.C. Rivers</t>
  </si>
  <si>
    <t>Alberto Abalde</t>
  </si>
  <si>
    <t>Kirk Penney</t>
  </si>
  <si>
    <t>Darcy Malone</t>
  </si>
  <si>
    <t>Eulis Baez</t>
  </si>
  <si>
    <t>Atoumane Diagne</t>
  </si>
  <si>
    <t>Thomas Abercrombie</t>
  </si>
  <si>
    <t>Marc Garcia</t>
  </si>
  <si>
    <t>David Walker</t>
  </si>
  <si>
    <t>Christian Jurlina</t>
  </si>
  <si>
    <t>Evangelos Mantzaris</t>
  </si>
  <si>
    <t>Jeffery Taylor</t>
  </si>
  <si>
    <t>Deng Acuoth</t>
  </si>
  <si>
    <t>William McDowell-White</t>
  </si>
  <si>
    <t>Petteri Koponen</t>
  </si>
  <si>
    <t>Nic Pozoglou</t>
  </si>
  <si>
    <t>Sergio Llull</t>
  </si>
  <si>
    <t>Durrell McDonald</t>
  </si>
  <si>
    <t>Janis Strelnieks</t>
  </si>
  <si>
    <t>Matthew Kenyon</t>
  </si>
  <si>
    <t>Alec Brown</t>
  </si>
  <si>
    <t>EST</t>
  </si>
  <si>
    <t>Felix Von Hofe</t>
  </si>
  <si>
    <t>Pierre Jackson</t>
  </si>
  <si>
    <t>Goran Huskic</t>
  </si>
  <si>
    <t>SPB</t>
  </si>
  <si>
    <t>Brad Newley</t>
  </si>
  <si>
    <t>Edgar Vicedo</t>
  </si>
  <si>
    <t>Kuany Kuany</t>
  </si>
  <si>
    <t>Kostas Mitoglou</t>
  </si>
  <si>
    <t>Tim Coenraad</t>
  </si>
  <si>
    <t>Edwin Jackson</t>
  </si>
  <si>
    <t>Nicolas Laprovittola</t>
  </si>
  <si>
    <t>JOV</t>
  </si>
  <si>
    <t>Ignacio Rosa</t>
  </si>
  <si>
    <t>Isaih Tueta</t>
  </si>
  <si>
    <t>Georgios Kalaitzakis</t>
  </si>
  <si>
    <t>Guillem Vives</t>
  </si>
  <si>
    <t>Matthew Knight</t>
  </si>
  <si>
    <t>Alan Makiev</t>
  </si>
  <si>
    <t>Deon Thompson</t>
  </si>
  <si>
    <t>Alexander Gankevich</t>
  </si>
  <si>
    <t>Craig Moller</t>
  </si>
  <si>
    <t>Eddy Edigin</t>
  </si>
  <si>
    <t>Indiana Faithfull</t>
  </si>
  <si>
    <t>Javier Beiran</t>
  </si>
  <si>
    <t>Perry Ellis</t>
  </si>
  <si>
    <t>Baris Hersek</t>
  </si>
  <si>
    <t>Pablo Aguilar</t>
  </si>
  <si>
    <t>Nelson Larkins</t>
  </si>
  <si>
    <t>Rakim Sanders</t>
  </si>
  <si>
    <t>Tevin Jackson</t>
  </si>
  <si>
    <t>Simone Fontecchio</t>
  </si>
  <si>
    <t>Erick Green</t>
  </si>
  <si>
    <t>Adam Gibson</t>
  </si>
  <si>
    <t>Miguel Gonzalez</t>
  </si>
  <si>
    <t>Adam Doyle</t>
  </si>
  <si>
    <t>Charles Jenkins</t>
  </si>
  <si>
    <t>Derone Raukawa</t>
  </si>
  <si>
    <t>Sylven Landesberg</t>
  </si>
  <si>
    <t>Egehan Arna</t>
  </si>
  <si>
    <t>Daniel Kickert</t>
  </si>
  <si>
    <t>Santiago Yusta</t>
  </si>
  <si>
    <t>Will Magnay</t>
  </si>
  <si>
    <t>Georgios Printezis</t>
  </si>
  <si>
    <t>Alan Wiggins, Jr.</t>
  </si>
  <si>
    <t>Gary Neal</t>
  </si>
  <si>
    <t>ZAR</t>
  </si>
  <si>
    <t>Sergei Monia</t>
  </si>
  <si>
    <t>Nathan Sobey</t>
  </si>
  <si>
    <t>Andrew Albicy</t>
  </si>
  <si>
    <t>Rinalds Malmanis</t>
  </si>
  <si>
    <t>Tom Fullarton</t>
  </si>
  <si>
    <t>Dmitry Sokolov</t>
  </si>
  <si>
    <t>Tom Jervis</t>
  </si>
  <si>
    <t>Sadiel Rojas</t>
  </si>
  <si>
    <t>Delvon Johnson</t>
  </si>
  <si>
    <t>Curtis Jerrells</t>
  </si>
  <si>
    <t>Jaka Blazic</t>
  </si>
  <si>
    <t>Gytis Masiulis</t>
  </si>
  <si>
    <t>Nathan Jawai</t>
  </si>
  <si>
    <t>Daniel Diez</t>
  </si>
  <si>
    <t>Stefan Lazarevic</t>
  </si>
  <si>
    <t>Jordan Ngatai</t>
  </si>
  <si>
    <t>Will Clyburn</t>
  </si>
  <si>
    <t>Michael Carrera</t>
  </si>
  <si>
    <t>Alberto Diaz</t>
  </si>
  <si>
    <t>Hollis Thompson</t>
  </si>
  <si>
    <t>Jeremy Kendle</t>
  </si>
  <si>
    <t>Marko Popovic</t>
  </si>
  <si>
    <t>MON</t>
  </si>
  <si>
    <t>Jerome Randle</t>
  </si>
  <si>
    <t>Jerome Jordan</t>
  </si>
  <si>
    <t>Rodions Kurucs</t>
  </si>
  <si>
    <t>Anthony Petrie</t>
  </si>
  <si>
    <t>Martynas Arlauskas</t>
  </si>
  <si>
    <t>Mika Vukona</t>
  </si>
  <si>
    <t>Matt Hodgson</t>
  </si>
  <si>
    <t>Vasilis Toliopoulos</t>
  </si>
  <si>
    <t>Artem Pustovyi</t>
  </si>
  <si>
    <t>Greg Hire</t>
  </si>
  <si>
    <t>Patricio Garino</t>
  </si>
  <si>
    <t>Rhys Vague</t>
  </si>
  <si>
    <t>Ovie Soko</t>
  </si>
  <si>
    <t>Rotnei Clarke</t>
  </si>
  <si>
    <t>Goran Suton</t>
  </si>
  <si>
    <t>Ricky Hickman</t>
  </si>
  <si>
    <t>Shea Ili</t>
  </si>
  <si>
    <t>Ivan Martinez</t>
  </si>
  <si>
    <t>Sam Daly</t>
  </si>
  <si>
    <t>Bo McCalebb</t>
  </si>
  <si>
    <t>Josep Puerto</t>
  </si>
  <si>
    <t>Lucca Staiger</t>
  </si>
  <si>
    <t>Marcelinho Huertas</t>
  </si>
  <si>
    <t>Rhys Martin</t>
  </si>
  <si>
    <t>Awudu Abass</t>
  </si>
  <si>
    <t>Latavious Williams</t>
  </si>
  <si>
    <t>Carlos Delfino</t>
  </si>
  <si>
    <t>Finn Delaney</t>
  </si>
  <si>
    <t>Marcus Denmon</t>
  </si>
  <si>
    <t>Todd Blanchfield</t>
  </si>
  <si>
    <t>Fran Vazquez</t>
  </si>
  <si>
    <t>Pavel Korobkov</t>
  </si>
  <si>
    <t>Chris Patton</t>
  </si>
  <si>
    <t>Charlon Kloof</t>
  </si>
  <si>
    <t>Andrea Cinciarini</t>
  </si>
  <si>
    <t>Scoochie Smith</t>
  </si>
  <si>
    <t>Ognjen Dobric</t>
  </si>
  <si>
    <t>Dragan Apic</t>
  </si>
  <si>
    <t>Dexter Kernich-Drew</t>
  </si>
  <si>
    <t>Patrick Richard</t>
  </si>
  <si>
    <t>Ognen Kuzmic</t>
  </si>
  <si>
    <t>Jerry Evans</t>
  </si>
  <si>
    <t>Viktor Khryapa</t>
  </si>
  <si>
    <t>Mike Tobey</t>
  </si>
  <si>
    <t>Victor Rudd</t>
  </si>
  <si>
    <t>Stephen Holt</t>
  </si>
  <si>
    <t>Eimantas Bendzius</t>
  </si>
  <si>
    <t>Mathias Lessort</t>
  </si>
  <si>
    <t>Davide Pascolo</t>
  </si>
  <si>
    <t>Majok Majok</t>
  </si>
  <si>
    <t>Alberto Corbacho</t>
  </si>
  <si>
    <t>Kaleb Tarczewski</t>
  </si>
  <si>
    <t>Peter Hooley</t>
  </si>
  <si>
    <t>Dan Clark</t>
  </si>
  <si>
    <t>D.J. Seeley</t>
  </si>
  <si>
    <t>Dee Bost</t>
  </si>
  <si>
    <t>Amritpal Singh</t>
  </si>
  <si>
    <t>Brian Roberts</t>
  </si>
  <si>
    <t>Kyle Adnam</t>
  </si>
  <si>
    <t>Kevin Seraphin</t>
  </si>
  <si>
    <t>Mamadou Niang</t>
  </si>
  <si>
    <t>Oscar Forman</t>
  </si>
  <si>
    <t>Dairis Bertans</t>
  </si>
  <si>
    <t>David Andersen</t>
  </si>
  <si>
    <t>James Anderson</t>
  </si>
  <si>
    <t>Vitor Benite</t>
  </si>
  <si>
    <t>Mitchell Young</t>
  </si>
  <si>
    <t>Ian Vougioukas</t>
  </si>
  <si>
    <t>David Jelinek</t>
  </si>
  <si>
    <t>Adam Thoseby</t>
  </si>
  <si>
    <t>Nemanja Dangubic</t>
  </si>
  <si>
    <t>Adams Sola</t>
  </si>
  <si>
    <t>Jarrad Weeks</t>
  </si>
  <si>
    <t>Yovel Zoosman</t>
  </si>
  <si>
    <t>Reuben Te Rangi</t>
  </si>
  <si>
    <t>Gaizka Maiza</t>
  </si>
  <si>
    <t>Berk Demir</t>
  </si>
  <si>
    <t>Rakeem Christmas</t>
  </si>
  <si>
    <t>Alen Omic</t>
  </si>
  <si>
    <t>Jarrod Kenny</t>
  </si>
  <si>
    <t>Kenny Chery</t>
  </si>
  <si>
    <t>Jordan McRae</t>
  </si>
  <si>
    <t>Mitchell Norton</t>
  </si>
  <si>
    <t>Kim Tillie</t>
  </si>
  <si>
    <t>Vladimir Micov</t>
  </si>
  <si>
    <t>Brendan Teys</t>
  </si>
  <si>
    <t>Alejandro Vera</t>
  </si>
  <si>
    <t>Martynas Sajus</t>
  </si>
  <si>
    <t>Clint Steindl</t>
  </si>
  <si>
    <t>Xabi Beraza</t>
  </si>
  <si>
    <t>Onuralp Bitim</t>
  </si>
  <si>
    <t>Kevin White</t>
  </si>
  <si>
    <t>Stephen Weigh</t>
  </si>
  <si>
    <t>Tibor Pleiss</t>
  </si>
  <si>
    <t>Danny Agbelese</t>
  </si>
  <si>
    <t>Shaun Bruce</t>
  </si>
  <si>
    <t>Yigitcan Saybir</t>
  </si>
  <si>
    <t>Damon Heuir</t>
  </si>
  <si>
    <t>Alex Tyus</t>
  </si>
  <si>
    <t>Emilio Martinez</t>
  </si>
  <si>
    <t>Sinan Guler</t>
  </si>
  <si>
    <t>Sergio Mendiola</t>
  </si>
  <si>
    <t>Emil Savic</t>
  </si>
  <si>
    <t>Thanasis Antetokounmpo</t>
  </si>
  <si>
    <t>Dino Radoncic</t>
  </si>
  <si>
    <t>Mads Sturup</t>
  </si>
  <si>
    <t>Xavi Rey</t>
  </si>
  <si>
    <t>Zach Auguste</t>
  </si>
  <si>
    <t>Albert Oliver</t>
  </si>
  <si>
    <t>Marco Cusin</t>
  </si>
  <si>
    <t>Mindaugas Kuzminskas</t>
  </si>
  <si>
    <t>Karam Mashour</t>
  </si>
  <si>
    <t>Dogus Balbay</t>
  </si>
  <si>
    <t>Vassilis Spanoulis</t>
  </si>
  <si>
    <t>Asier Azpeitia</t>
  </si>
  <si>
    <t>Sergi Garcia</t>
  </si>
  <si>
    <t>Leo Westermann</t>
  </si>
  <si>
    <t>Kyle Wiltjer</t>
  </si>
  <si>
    <t>Jason Thompson</t>
  </si>
  <si>
    <t>Paul Stoll</t>
  </si>
  <si>
    <t>Jayson Granger</t>
  </si>
  <si>
    <t>Matt Lojeski</t>
  </si>
  <si>
    <t>Olek Balcerowski</t>
  </si>
  <si>
    <t>Amath M'Baye</t>
  </si>
  <si>
    <t>Louis Olinde</t>
  </si>
  <si>
    <t>Rolands Smits</t>
  </si>
  <si>
    <t>Marko Keselj</t>
  </si>
  <si>
    <t>Chasson Randle</t>
  </si>
  <si>
    <t>Phil Pressey</t>
  </si>
  <si>
    <t>Alex Lopez</t>
  </si>
  <si>
    <t>Marko Todorovic</t>
  </si>
  <si>
    <t>Nikola Gacesa</t>
  </si>
  <si>
    <t>ENER</t>
  </si>
  <si>
    <t>Michael Roll</t>
  </si>
  <si>
    <t>Krunoslav Simon</t>
  </si>
  <si>
    <t>Sebastian Saiz</t>
  </si>
  <si>
    <t>Joel Parra</t>
  </si>
  <si>
    <t>Nikola Kalinic</t>
  </si>
  <si>
    <t>Josh Adams</t>
  </si>
  <si>
    <t>Marcus Eriksson</t>
  </si>
  <si>
    <t>Justin Doellman</t>
  </si>
  <si>
    <t>Tai Odiase</t>
  </si>
  <si>
    <t>Itay Segev</t>
  </si>
  <si>
    <t>Shaquielle McKissic</t>
  </si>
  <si>
    <t>Georgios Bogris</t>
  </si>
  <si>
    <t>Sergio Llorente</t>
  </si>
  <si>
    <t>Morayo Soluade</t>
  </si>
  <si>
    <t>Kenny Gabriel</t>
  </si>
  <si>
    <t>Jordan Theodore</t>
  </si>
  <si>
    <t>Mikel Sanz</t>
  </si>
  <si>
    <t>Ioannis Papapetrou</t>
  </si>
  <si>
    <t>Rodrigo Gomez</t>
  </si>
  <si>
    <t>Stefan Markovic</t>
  </si>
  <si>
    <t>Jake Cohen</t>
  </si>
  <si>
    <t>Vasilje Micic</t>
  </si>
  <si>
    <t>Moussa Diagne</t>
  </si>
  <si>
    <t>Leon Radosevic</t>
  </si>
  <si>
    <t>Muhaymin Mustafa</t>
  </si>
  <si>
    <t>Luis Ferrando</t>
  </si>
  <si>
    <t>Luka Mitrovic</t>
  </si>
  <si>
    <t>Guillem Colom</t>
  </si>
  <si>
    <t>Vyacheslav Zaytsev</t>
  </si>
  <si>
    <t>Sonny Weems</t>
  </si>
  <si>
    <t>Dylan Ennis</t>
  </si>
  <si>
    <t>John DiBartolomeo</t>
  </si>
  <si>
    <t>Toney Douglas</t>
  </si>
  <si>
    <t>Asier De La Iglesia</t>
  </si>
  <si>
    <t>Maodo Lo</t>
  </si>
  <si>
    <t>Pere Tomas</t>
  </si>
  <si>
    <t>Pero Antic</t>
  </si>
  <si>
    <t>Nikola Jovanovic</t>
  </si>
  <si>
    <t>Jon Urtxulutegui</t>
  </si>
  <si>
    <t>Ray McCallum</t>
  </si>
  <si>
    <t>Nikos Zisis</t>
  </si>
  <si>
    <t>Julen Olaizola</t>
  </si>
  <si>
    <t>Errick McCollum</t>
  </si>
  <si>
    <t>Branko Lazic</t>
  </si>
  <si>
    <t>Ian O'Leary</t>
  </si>
  <si>
    <t>Patrick Heckmann</t>
  </si>
  <si>
    <t>Zoran Dragic</t>
  </si>
  <si>
    <t>Adreian Payne</t>
  </si>
  <si>
    <t>Bobby Brown</t>
  </si>
  <si>
    <t>Juan Jose Triguero</t>
  </si>
  <si>
    <t>Vitaliy Fridzon</t>
  </si>
  <si>
    <t>Damjan Rudez</t>
  </si>
  <si>
    <t>Jarvis Varnado</t>
  </si>
  <si>
    <t>Dimitrios Agravanis</t>
  </si>
  <si>
    <t>Arturs Zagars</t>
  </si>
  <si>
    <t>James Feldeine</t>
  </si>
  <si>
    <t>Andrew Goudelock</t>
  </si>
  <si>
    <t>Alberto Martin</t>
  </si>
  <si>
    <t>Egor Vyaltsev</t>
  </si>
  <si>
    <t>Jose Angel Antelo</t>
  </si>
  <si>
    <t>Paulius Valinskas</t>
  </si>
  <si>
    <t>Norris Cole</t>
  </si>
  <si>
    <t>Viny Okouo</t>
  </si>
  <si>
    <t>Cory Jefferson</t>
  </si>
  <si>
    <t>Melwin Pantzar</t>
  </si>
  <si>
    <t>Melih Mahmutoglu</t>
  </si>
  <si>
    <t>David Navarro</t>
  </si>
  <si>
    <t>Deshaun Thomas</t>
  </si>
  <si>
    <t>Axel Toupane</t>
  </si>
  <si>
    <t>Rodrigo San Miguel</t>
  </si>
  <si>
    <t>Dragan Milosavljevic</t>
  </si>
  <si>
    <t>Ben Simons</t>
  </si>
  <si>
    <t>Beno Udrih</t>
  </si>
  <si>
    <t>Federico Van Lacke</t>
  </si>
  <si>
    <t>Edo Muric</t>
  </si>
  <si>
    <t>Kevin Tumba</t>
  </si>
  <si>
    <t>Lukas Lekavicius</t>
  </si>
  <si>
    <t>Milko Bjelica</t>
  </si>
  <si>
    <t>Felipe Dos Anjos</t>
  </si>
  <si>
    <t>Nikola Radicevic</t>
  </si>
  <si>
    <t>Vitor Faverani</t>
  </si>
  <si>
    <t>Juan Carlos Navarro</t>
  </si>
  <si>
    <t>Stefan Jankovic</t>
  </si>
  <si>
    <t>Birkan Batuk</t>
  </si>
  <si>
    <t>Brock Motum</t>
  </si>
  <si>
    <t>Nikos Pappas</t>
  </si>
  <si>
    <t>Jalen Reynolds</t>
  </si>
  <si>
    <t>Andrey Zubkov</t>
  </si>
  <si>
    <t>Nacho Llovet</t>
  </si>
  <si>
    <t>Mantas Kalnietis</t>
  </si>
  <si>
    <t>Chema Gonzalez</t>
  </si>
  <si>
    <t>Aleksej Nikolic</t>
  </si>
  <si>
    <t>Alex Mumbru</t>
  </si>
  <si>
    <t>Derrick Brown</t>
  </si>
  <si>
    <t>Thomas Robinson</t>
  </si>
  <si>
    <t>Albert Ventura</t>
  </si>
  <si>
    <t>Ricky Ledo</t>
  </si>
  <si>
    <t>Dejan Musli</t>
  </si>
  <si>
    <t>Sitapha Savane</t>
  </si>
  <si>
    <t>Augusto Cesar Lima</t>
  </si>
  <si>
    <t>Michael Fakuade</t>
  </si>
  <si>
    <t>Adin Vrabac</t>
  </si>
  <si>
    <t>Borja Mendia</t>
  </si>
  <si>
    <t>Dario Brizuela</t>
  </si>
  <si>
    <t>Tadas Sedekerskis</t>
  </si>
  <si>
    <t>Simon Birgander</t>
  </si>
  <si>
    <t>Nicolas Richotti</t>
  </si>
  <si>
    <t>Josh Akognon</t>
  </si>
  <si>
    <t>Pedro Llompart</t>
  </si>
  <si>
    <t>Saul Blanco</t>
  </si>
  <si>
    <t>Jonathan Tabu</t>
  </si>
  <si>
    <t>Aleksandar Cvetkovic</t>
  </si>
  <si>
    <t>Livio Jean-Charles</t>
  </si>
  <si>
    <t>Nicolas Brussino</t>
  </si>
  <si>
    <t>Adam Pechacek</t>
  </si>
  <si>
    <t>Emir Sulejmanovic</t>
  </si>
  <si>
    <t>Omari Gudul</t>
  </si>
  <si>
    <t>Dago Pena</t>
  </si>
  <si>
    <t>Jonathan Barreiro</t>
  </si>
  <si>
    <t>Carlos Alocen</t>
  </si>
  <si>
    <t>Sergi Vidal</t>
  </si>
  <si>
    <t>Chris Copeland</t>
  </si>
  <si>
    <t>Nik Caner-Medley</t>
  </si>
  <si>
    <t>Omar Cook</t>
  </si>
  <si>
    <t>Ivan Buva</t>
  </si>
  <si>
    <t>Marcos Delia</t>
  </si>
  <si>
    <t>Nikola Dragovic</t>
  </si>
  <si>
    <t>Christian Eyenga</t>
  </si>
  <si>
    <t>Xabier Lopez-Arostegui</t>
  </si>
  <si>
    <t>Anzejs Pasecniks</t>
  </si>
  <si>
    <t>Tomasz Gielo</t>
  </si>
  <si>
    <t>Nikola Rebic</t>
  </si>
  <si>
    <t>Vlatko Cancar</t>
  </si>
  <si>
    <t>Ferran Bassas</t>
  </si>
  <si>
    <t>Blake Schilb</t>
  </si>
  <si>
    <t>Gregory Vargas</t>
  </si>
  <si>
    <t>Paco Cruz</t>
  </si>
  <si>
    <t>Corey Fisher</t>
  </si>
  <si>
    <t>Tobias Borg</t>
  </si>
  <si>
    <t>Mickell Gladness</t>
  </si>
  <si>
    <t>Colton Iverson</t>
  </si>
  <si>
    <t>Albert Sabat</t>
  </si>
  <si>
    <t>Miquel Salvo</t>
  </si>
  <si>
    <t>Jordan Swing</t>
  </si>
  <si>
    <t>Nick Spires</t>
  </si>
  <si>
    <t>Oriol Pauli</t>
  </si>
  <si>
    <t>Dominik Mavra</t>
  </si>
  <si>
    <t>Rade Zagorac</t>
  </si>
  <si>
    <t>Dontaye Draper</t>
  </si>
  <si>
    <t>Saulius Kulvietis</t>
  </si>
  <si>
    <t>Alex Suarez</t>
  </si>
  <si>
    <t>Maalik Wayns</t>
  </si>
  <si>
    <t>Ryan Kelly</t>
  </si>
  <si>
    <t>Jose Nogues</t>
  </si>
  <si>
    <t>Lovro Mazalin</t>
  </si>
  <si>
    <t>Shane Hammink</t>
  </si>
  <si>
    <t>Gal Mekel</t>
  </si>
  <si>
    <t>Txemi Urtasun</t>
  </si>
  <si>
    <t>Edu Martinez</t>
  </si>
  <si>
    <t>Tim Kempton</t>
  </si>
  <si>
    <t>Gabriel Olaseni</t>
  </si>
  <si>
    <t>Dejan Todorovic</t>
  </si>
  <si>
    <t>Mikel Uriz</t>
  </si>
  <si>
    <t>Vladimir Golubovic</t>
  </si>
  <si>
    <t>Janis Blums</t>
  </si>
  <si>
    <t>Ludde Hakanson</t>
  </si>
  <si>
    <t>Luke Nelson</t>
  </si>
  <si>
    <t>Joan Pardina</t>
  </si>
  <si>
    <t>John Jenkins</t>
  </si>
  <si>
    <t>Pepe Pozas</t>
  </si>
  <si>
    <t>Alex Urtasun</t>
  </si>
  <si>
    <t>Axel Hervelle</t>
  </si>
  <si>
    <t>Przemek Karnowski</t>
  </si>
  <si>
    <t>Vasilije Vucetic</t>
  </si>
  <si>
    <t>Nicolas de Jong</t>
  </si>
  <si>
    <t>Nemanja Radovic</t>
  </si>
  <si>
    <t>Askia Booker</t>
  </si>
  <si>
    <t>O.D. Anosike</t>
  </si>
  <si>
    <t>Lucio Redivo</t>
  </si>
  <si>
    <t>Ben Bentil</t>
  </si>
  <si>
    <t>Blagota Sekulic</t>
  </si>
  <si>
    <t>Tomas Bellas</t>
  </si>
  <si>
    <t>Deividad Gailius</t>
  </si>
  <si>
    <t>Marko Lukovic</t>
  </si>
  <si>
    <t>Luka Rupnik</t>
  </si>
  <si>
    <t>Dani Perez</t>
  </si>
  <si>
    <t>Xabi Oroz</t>
  </si>
  <si>
    <t>Victor Arteaga</t>
  </si>
  <si>
    <t>Josep Franch</t>
  </si>
  <si>
    <t>Jaime Fernandez</t>
  </si>
  <si>
    <t>Martins Laksa</t>
  </si>
  <si>
    <t>Alex Barrera</t>
  </si>
  <si>
    <t>Nenad Dimitrijevic</t>
  </si>
  <si>
    <t>Rosco Allen</t>
  </si>
  <si>
    <t>Javier Vega</t>
  </si>
  <si>
    <t>Alex Llorca</t>
  </si>
  <si>
    <t>Javi Salgado</t>
  </si>
  <si>
    <t>Nobel Boungou Colo</t>
  </si>
  <si>
    <t>Thomas Schreiner</t>
  </si>
  <si>
    <t>Ricardo Fischer</t>
  </si>
  <si>
    <t>Ivan Cruz</t>
  </si>
  <si>
    <t>Michal Michalak</t>
  </si>
  <si>
    <t>Donnie McGrath</t>
  </si>
  <si>
    <t>Alfonso Sanchez</t>
  </si>
  <si>
    <t>Davin White</t>
  </si>
  <si>
    <t>Greek HEBA A1 2017-18 BPM</t>
  </si>
  <si>
    <t>McKenzie Moore</t>
  </si>
  <si>
    <t>LAV</t>
  </si>
  <si>
    <t>German BBL 2017-18 BPM</t>
  </si>
  <si>
    <t>Luke Sikma</t>
  </si>
  <si>
    <t>BER</t>
  </si>
  <si>
    <t>Thomas Walkup</t>
  </si>
  <si>
    <t>LUD</t>
  </si>
  <si>
    <t>Marius Grigonis</t>
  </si>
  <si>
    <t>Dejan Kravic</t>
  </si>
  <si>
    <t>PAI</t>
  </si>
  <si>
    <t>Justin Sears</t>
  </si>
  <si>
    <t>Michale Kyser</t>
  </si>
  <si>
    <t>KYM</t>
  </si>
  <si>
    <t>Braydon Hobbs</t>
  </si>
  <si>
    <t>BAY</t>
  </si>
  <si>
    <t>Malcolm Griffin</t>
  </si>
  <si>
    <t>KOL</t>
  </si>
  <si>
    <t>Dusan Sakota</t>
  </si>
  <si>
    <t>ATH</t>
  </si>
  <si>
    <t>Terran Petteway</t>
  </si>
  <si>
    <t>PAOK</t>
  </si>
  <si>
    <t>Joshiko Saibou</t>
  </si>
  <si>
    <t>Devin Booker</t>
  </si>
  <si>
    <t>Rasid Mahalbasic</t>
  </si>
  <si>
    <t>EWE</t>
  </si>
  <si>
    <t>Evaggelis Margaritis</t>
  </si>
  <si>
    <t>Assem Marei</t>
  </si>
  <si>
    <t>Reggie Redding</t>
  </si>
  <si>
    <t>Thaddeus McFadden</t>
  </si>
  <si>
    <t>Christos Saloustros</t>
  </si>
  <si>
    <t>PROM</t>
  </si>
  <si>
    <t>Vladimir Lucic</t>
  </si>
  <si>
    <t>Dwayne Evans</t>
  </si>
  <si>
    <t>Phil Goss</t>
  </si>
  <si>
    <t>Spencer Butterfield</t>
  </si>
  <si>
    <t>Octavius Ellis</t>
  </si>
  <si>
    <t>Danilo Barthel</t>
  </si>
  <si>
    <t>Mouhammad Faye</t>
  </si>
  <si>
    <t>Julian Gamble</t>
  </si>
  <si>
    <t>TBB</t>
  </si>
  <si>
    <t>Shaq Goodwin</t>
  </si>
  <si>
    <t>RETH</t>
  </si>
  <si>
    <t>John Bryant</t>
  </si>
  <si>
    <t>GIE</t>
  </si>
  <si>
    <t>Antwaine Wiggins</t>
  </si>
  <si>
    <t>Tony Meier</t>
  </si>
  <si>
    <t>Eleftherios Bochoridis</t>
  </si>
  <si>
    <t>ARI</t>
  </si>
  <si>
    <t>Stefan Jovic</t>
  </si>
  <si>
    <t>Vince Hunter</t>
  </si>
  <si>
    <t>Scott Eatherton</t>
  </si>
  <si>
    <t>BLB</t>
  </si>
  <si>
    <t>Darnell Jackson</t>
  </si>
  <si>
    <t>Jordan Hulls</t>
  </si>
  <si>
    <t>EIS</t>
  </si>
  <si>
    <t>Roeland Schaftenaar</t>
  </si>
  <si>
    <t>LAR</t>
  </si>
  <si>
    <t>Elgin Cook</t>
  </si>
  <si>
    <t>Lenzelle Smith, Jr.</t>
  </si>
  <si>
    <t>Oleksandr Lypovyy</t>
  </si>
  <si>
    <t>Peyton Siva</t>
  </si>
  <si>
    <t>Hugh Robertson</t>
  </si>
  <si>
    <t>Isaac Fotu</t>
  </si>
  <si>
    <t>RUL</t>
  </si>
  <si>
    <t>Milan Macvan</t>
  </si>
  <si>
    <t>Antonios Koniaris</t>
  </si>
  <si>
    <t>Philip Scrubb</t>
  </si>
  <si>
    <t>FRA</t>
  </si>
  <si>
    <t>Stefan Moody</t>
  </si>
  <si>
    <t>Linos Chrysikopoulos</t>
  </si>
  <si>
    <t>Tomislav Zubcic</t>
  </si>
  <si>
    <t>Langston Hall</t>
  </si>
  <si>
    <t>Adam Waleskowski</t>
  </si>
  <si>
    <t>Yannis Sahpatzidis</t>
  </si>
  <si>
    <t>AMA</t>
  </si>
  <si>
    <t>T.J. Bray</t>
  </si>
  <si>
    <t>Philipp Schwethelm</t>
  </si>
  <si>
    <t>Marvin Jones</t>
  </si>
  <si>
    <t>Niels Giffey</t>
  </si>
  <si>
    <t>Vassilis Kavvadas</t>
  </si>
  <si>
    <t>Vytenis Lipkevicius</t>
  </si>
  <si>
    <t>OLI</t>
  </si>
  <si>
    <t>Ramon Harris</t>
  </si>
  <si>
    <t>Andreas Seiferth</t>
  </si>
  <si>
    <t>Sean Evans</t>
  </si>
  <si>
    <t>Kelsey Barlow</t>
  </si>
  <si>
    <t>Josh Mayo</t>
  </si>
  <si>
    <t>Dimitris Legkikas</t>
  </si>
  <si>
    <t>Tim Schneider</t>
  </si>
  <si>
    <t>Delroy James</t>
  </si>
  <si>
    <t>Owen Klassen</t>
  </si>
  <si>
    <t>Steve Wachalski</t>
  </si>
  <si>
    <t>Steven Gray</t>
  </si>
  <si>
    <t>Kyle Weaver</t>
  </si>
  <si>
    <t>SCJ</t>
  </si>
  <si>
    <t>Parish Petty</t>
  </si>
  <si>
    <t>Geoff Groselle</t>
  </si>
  <si>
    <t>Steve Burtt</t>
  </si>
  <si>
    <t>Mike Green</t>
  </si>
  <si>
    <t>Quantez Robertson</t>
  </si>
  <si>
    <t>Dimitrios Moraitis</t>
  </si>
  <si>
    <t>Keron DeShields</t>
  </si>
  <si>
    <t>Dimitrios Mavroeidis</t>
  </si>
  <si>
    <t>Brion Rush</t>
  </si>
  <si>
    <t>GOE</t>
  </si>
  <si>
    <t>Zisis Sarikopoulos</t>
  </si>
  <si>
    <t>Djordje Pantelic</t>
  </si>
  <si>
    <t>BC</t>
  </si>
  <si>
    <t>Zamal Nixon</t>
  </si>
  <si>
    <t>Julius Jenkins</t>
  </si>
  <si>
    <t>Kevin Dillard</t>
  </si>
  <si>
    <t>Esian Henderson</t>
  </si>
  <si>
    <t>Jerrelle Benimon</t>
  </si>
  <si>
    <t>Dimitris Margelis</t>
  </si>
  <si>
    <t>Dennis Clifford</t>
  </si>
  <si>
    <t>Chinemelu Elonu</t>
  </si>
  <si>
    <t>Rocky Trice</t>
  </si>
  <si>
    <t>Dimitrios Katsivelis</t>
  </si>
  <si>
    <t>Maurice Stuckey</t>
  </si>
  <si>
    <t>Ousman Krubally</t>
  </si>
  <si>
    <t>Andreas Tsoumanis</t>
  </si>
  <si>
    <t>Cliff Hammonds</t>
  </si>
  <si>
    <t>Nihad Djedovic</t>
  </si>
  <si>
    <t>Milan Milosevic</t>
  </si>
  <si>
    <t>Brandon Triche</t>
  </si>
  <si>
    <t>Vassilis Charalampopoulos</t>
  </si>
  <si>
    <t>Jeremy Senglin</t>
  </si>
  <si>
    <t>Angelos Ioannis Dragatis</t>
  </si>
  <si>
    <t>Bogdan Radosavljevic</t>
  </si>
  <si>
    <t>Nikos Arsenopoulos</t>
  </si>
  <si>
    <t>Kameron Taylor</t>
  </si>
  <si>
    <t>Kevin Punter</t>
  </si>
  <si>
    <t>Boris Dallo</t>
  </si>
  <si>
    <t>Giannis Dimakopoulos</t>
  </si>
  <si>
    <t>Bubu Palo</t>
  </si>
  <si>
    <t>Skyler Bowlin</t>
  </si>
  <si>
    <t>Shaquille Hines</t>
  </si>
  <si>
    <t>Sakis Tataris</t>
  </si>
  <si>
    <t>Yorman Polas</t>
  </si>
  <si>
    <t>Michalis Kamperidis</t>
  </si>
  <si>
    <t>Dimitris Ermidis</t>
  </si>
  <si>
    <t>Panagiotis Gatzios</t>
  </si>
  <si>
    <t>Dimitris Karamanolis</t>
  </si>
  <si>
    <t>Adika Peter-McNeilly</t>
  </si>
  <si>
    <t>Lucky Jones</t>
  </si>
  <si>
    <t>Miles Jackson-Cartwright</t>
  </si>
  <si>
    <t>Chrysostomos Sandramanis</t>
  </si>
  <si>
    <t>Earvin Morris, Jr.</t>
  </si>
  <si>
    <t>Nate Linhart</t>
  </si>
  <si>
    <t>Kostas Ezomo</t>
  </si>
  <si>
    <t>Nikos Maragkidis</t>
  </si>
  <si>
    <t>Lefteris Mitsibonas</t>
  </si>
  <si>
    <t>Kerron Johnson</t>
  </si>
  <si>
    <t>Nontas Papantoniou</t>
  </si>
  <si>
    <t>De'Mon Brooks</t>
  </si>
  <si>
    <t>Giannis Karakechagias</t>
  </si>
  <si>
    <t>Giannis Panaretakis</t>
  </si>
  <si>
    <t>Jared Cunningham</t>
  </si>
  <si>
    <t>Eleftherios Mantzoukas</t>
  </si>
  <si>
    <t>Keith Wright</t>
  </si>
  <si>
    <t>Malcolm Hill</t>
  </si>
  <si>
    <t>Vassilis Xanthopoulos</t>
  </si>
  <si>
    <t>Robin Benzing</t>
  </si>
  <si>
    <t>Dimitrios Karaiskos</t>
  </si>
  <si>
    <t>Giorgos Papadimitriou</t>
  </si>
  <si>
    <t>Toure' Murry</t>
  </si>
  <si>
    <t>Willie Conner</t>
  </si>
  <si>
    <t>Retin Obasohan</t>
  </si>
  <si>
    <t>BIG</t>
  </si>
  <si>
    <t>Brent Petway</t>
  </si>
  <si>
    <t>Karsten Tadda</t>
  </si>
  <si>
    <t>Giannoulis Larentzakis</t>
  </si>
  <si>
    <t>Ricky Paulding</t>
  </si>
  <si>
    <t>Jamari Traylor</t>
  </si>
  <si>
    <t>Dimitrios Chatzikyriakidis</t>
  </si>
  <si>
    <t>David McCray</t>
  </si>
  <si>
    <t>Edin Atic</t>
  </si>
  <si>
    <t>E.J. Singler</t>
  </si>
  <si>
    <t>Ioannis Agravanis</t>
  </si>
  <si>
    <t>Dustin Ware</t>
  </si>
  <si>
    <t>Dionysios Giannakopoulos</t>
  </si>
  <si>
    <t>Abdul Gaddy</t>
  </si>
  <si>
    <t>Sotiris Billis</t>
  </si>
  <si>
    <t>Gabe York</t>
  </si>
  <si>
    <t>Aris Sotiriou</t>
  </si>
  <si>
    <t>Travis Daniels</t>
  </si>
  <si>
    <t>Jahenns Manigat</t>
  </si>
  <si>
    <t>Ioannis Chatzinikolas</t>
  </si>
  <si>
    <t>T.J. DiLeo</t>
  </si>
  <si>
    <t>Doron Lamb</t>
  </si>
  <si>
    <t>Luka Babic</t>
  </si>
  <si>
    <t>Sofoklis Schortsanitis</t>
  </si>
  <si>
    <t>Theodoros Karras</t>
  </si>
  <si>
    <t>Reggie Upshaw, Jr.</t>
  </si>
  <si>
    <t>TUB</t>
  </si>
  <si>
    <t>Nikolaos Gikias</t>
  </si>
  <si>
    <t>Marcus Hatten</t>
  </si>
  <si>
    <t>Jordan Dickerson</t>
  </si>
  <si>
    <t>Kresimir Loncar</t>
  </si>
  <si>
    <t>Stavros Schizas</t>
  </si>
  <si>
    <t>Jonas Mattisseck</t>
  </si>
  <si>
    <t>Deandre Lansdowne</t>
  </si>
  <si>
    <t>Alex Aggelakos</t>
  </si>
  <si>
    <t>Armani Moore</t>
  </si>
  <si>
    <t>Gary McGhee</t>
  </si>
  <si>
    <t>Anthony Chiki</t>
  </si>
  <si>
    <t>Till Pape</t>
  </si>
  <si>
    <t>TrayVonn Wright</t>
  </si>
  <si>
    <t>Aaron Rountree</t>
  </si>
  <si>
    <t>Andrew Warren</t>
  </si>
  <si>
    <t>Spyridon Mourtos</t>
  </si>
  <si>
    <t>Andreas Bekris</t>
  </si>
  <si>
    <t>Toni Prostran</t>
  </si>
  <si>
    <t>Joschka Ferner</t>
  </si>
  <si>
    <t>Anthony Lee</t>
  </si>
  <si>
    <t>Jonas Niedermanner</t>
  </si>
  <si>
    <t>Sotirios Manolopoulos</t>
  </si>
  <si>
    <t>Panagiotis Kalaitzakis</t>
  </si>
  <si>
    <t>Felix Hoffmann</t>
  </si>
  <si>
    <t>Teddy Okereafor</t>
  </si>
  <si>
    <t>Durand Scott</t>
  </si>
  <si>
    <t>Mario Edwards</t>
  </si>
  <si>
    <t>Alexios Kantzos</t>
  </si>
  <si>
    <t>Bandja Sy</t>
  </si>
  <si>
    <t>Austin Hollins</t>
  </si>
  <si>
    <t>Dominique Morrison</t>
  </si>
  <si>
    <t>James Robinson</t>
  </si>
  <si>
    <t>Brandon Young</t>
  </si>
  <si>
    <t>Gary Forbes</t>
  </si>
  <si>
    <t>Katin Reinhardt</t>
  </si>
  <si>
    <t>Malcolm Armstead</t>
  </si>
  <si>
    <t>Trevor Releford</t>
  </si>
  <si>
    <t>Malik Muller</t>
  </si>
  <si>
    <t>Ivan Maras</t>
  </si>
  <si>
    <t>Hordur Vilhjalmsson</t>
  </si>
  <si>
    <t>Nikos Barlos</t>
  </si>
  <si>
    <t>Jonas Wohlfarth-Bottermann</t>
  </si>
  <si>
    <t>Stylianos Poulianitis</t>
  </si>
  <si>
    <t>Nicolas Bretzel</t>
  </si>
  <si>
    <t>Charis Giannopoulos</t>
  </si>
  <si>
    <t>Shawn Huff</t>
  </si>
  <si>
    <t>Avry Holmes</t>
  </si>
  <si>
    <t>Avery Woodson</t>
  </si>
  <si>
    <t>Steve Vasturia</t>
  </si>
  <si>
    <t>Tony Woods</t>
  </si>
  <si>
    <t>Bastian Doreth</t>
  </si>
  <si>
    <t>Travis Cohn</t>
  </si>
  <si>
    <t>Ekene Ibekwe</t>
  </si>
  <si>
    <t>Grigoris Ralatos</t>
  </si>
  <si>
    <t>Nemanja Djurisic</t>
  </si>
  <si>
    <t>Cameron Jones</t>
  </si>
  <si>
    <t>Luke Harangody</t>
  </si>
  <si>
    <t>Apollona Tsochlas</t>
  </si>
  <si>
    <t>Christoph Philipps</t>
  </si>
  <si>
    <t>Quenton DeCosey</t>
  </si>
  <si>
    <t>David Falkenstein</t>
  </si>
  <si>
    <t>Stefanos Skouloudis</t>
  </si>
  <si>
    <t>Florian Koch</t>
  </si>
  <si>
    <t>Jake O'Brien</t>
  </si>
  <si>
    <t>Marvin Ogunsipe</t>
  </si>
  <si>
    <t>Tosin Mehinti</t>
  </si>
  <si>
    <t>Marios Sakellariou</t>
  </si>
  <si>
    <t>Nicolas Wolf</t>
  </si>
  <si>
    <t>Thodoris Zaras</t>
  </si>
  <si>
    <t>Kevin Wohlrath</t>
  </si>
  <si>
    <t>Kentan Facey</t>
  </si>
  <si>
    <t>Adriatic League Liga ABA 2017-18 BPM</t>
  </si>
  <si>
    <t>Demetris Morant</t>
  </si>
  <si>
    <t>Quirin Emanga Noupoue</t>
  </si>
  <si>
    <t>Darington Hobson</t>
  </si>
  <si>
    <t>Robert Drijencic</t>
  </si>
  <si>
    <t>Anastasios Antonakis</t>
  </si>
  <si>
    <t>Maximilian Ugrai</t>
  </si>
  <si>
    <t>Shannon Hale</t>
  </si>
  <si>
    <t>Marius Adler</t>
  </si>
  <si>
    <t>Adam Kemp</t>
  </si>
  <si>
    <t>Nikolao Stylianou</t>
  </si>
  <si>
    <t>Jevon Perschnick</t>
  </si>
  <si>
    <t>Georgios Kamperidis</t>
  </si>
  <si>
    <t>Alex Fountain</t>
  </si>
  <si>
    <t>Michalis Perakis</t>
  </si>
  <si>
    <t>Robin Amaize</t>
  </si>
  <si>
    <t>Manny Harris</t>
  </si>
  <si>
    <t>Nikola Ivanovic</t>
  </si>
  <si>
    <t>BUD</t>
  </si>
  <si>
    <t>Moritz Schneider</t>
  </si>
  <si>
    <t>Petros Geromichalos</t>
  </si>
  <si>
    <t>Osvaldas Olisevicius</t>
  </si>
  <si>
    <t>Kevin Galloway</t>
  </si>
  <si>
    <t>Akeem Vargas</t>
  </si>
  <si>
    <t>Uros Lukovic</t>
  </si>
  <si>
    <t>MOR</t>
  </si>
  <si>
    <t>Stavros Toutziarakis</t>
  </si>
  <si>
    <t>Suad Sehovic</t>
  </si>
  <si>
    <t>Niklas Geske</t>
  </si>
  <si>
    <t>Dimitrios Flionis</t>
  </si>
  <si>
    <t>Amar Gegic</t>
  </si>
  <si>
    <t>Demetris Nichols</t>
  </si>
  <si>
    <t>CED</t>
  </si>
  <si>
    <t>Kostas Papadakis</t>
  </si>
  <si>
    <t>Till Isemann</t>
  </si>
  <si>
    <t>Angelo Tsagarakis</t>
  </si>
  <si>
    <t>Zoran Nikolic</t>
  </si>
  <si>
    <t>Dionysis Skoulidas</t>
  </si>
  <si>
    <t>MEG</t>
  </si>
  <si>
    <t>John Fields</t>
  </si>
  <si>
    <t>Nico Wenzl</t>
  </si>
  <si>
    <t>Halil Kanacevic</t>
  </si>
  <si>
    <t>Kyle Landry</t>
  </si>
  <si>
    <t>Ronald Ross</t>
  </si>
  <si>
    <t>Christian Jones</t>
  </si>
  <si>
    <t>Marko Tejic</t>
  </si>
  <si>
    <t>Jannes Hundt</t>
  </si>
  <si>
    <t>Will Cherry</t>
  </si>
  <si>
    <t>D.J. Johnson</t>
  </si>
  <si>
    <t>Kresimir Nikic</t>
  </si>
  <si>
    <t>Aleksa Ilic</t>
  </si>
  <si>
    <t>Mike Balogun</t>
  </si>
  <si>
    <t>Elias Theodoridis</t>
  </si>
  <si>
    <t>Anthony Okao</t>
  </si>
  <si>
    <t>Carlos Medlock</t>
  </si>
  <si>
    <t>Stefan Peno</t>
  </si>
  <si>
    <t>Devin Oliver</t>
  </si>
  <si>
    <t>Gianni Vavatsikos</t>
  </si>
  <si>
    <t>Andreas Skoufis</t>
  </si>
  <si>
    <t>Nemanja Gordic</t>
  </si>
  <si>
    <t>Franz Wagner</t>
  </si>
  <si>
    <t>Diamantis Slaftsakis</t>
  </si>
  <si>
    <t>Borisa Simanic</t>
  </si>
  <si>
    <t>FMP</t>
  </si>
  <si>
    <t>Markeith Cummings</t>
  </si>
  <si>
    <t>Novica Velickovic</t>
  </si>
  <si>
    <t>PAR</t>
  </si>
  <si>
    <t>Nick Hornsby</t>
  </si>
  <si>
    <t>Hendrik Drescher</t>
  </si>
  <si>
    <t>Giannis Dimakos</t>
  </si>
  <si>
    <t>Josh Bostic</t>
  </si>
  <si>
    <t>ZAD</t>
  </si>
  <si>
    <t>Georg Beyschlag</t>
  </si>
  <si>
    <t>Xavier Thames</t>
  </si>
  <si>
    <t>Dzanan Musa</t>
  </si>
  <si>
    <t>Adrian Lind</t>
  </si>
  <si>
    <t>Andrija Stipanovic</t>
  </si>
  <si>
    <t>Dimitris Geromichalos</t>
  </si>
  <si>
    <t>Jules Akodo</t>
  </si>
  <si>
    <t>Aleksandar Aranitovic</t>
  </si>
  <si>
    <t>Filip Kruslin</t>
  </si>
  <si>
    <t>Jordan Parks</t>
  </si>
  <si>
    <t>Omar Prewitt</t>
  </si>
  <si>
    <t>Nikola Jevtovic</t>
  </si>
  <si>
    <t>IGO</t>
  </si>
  <si>
    <t>Ismet Akpinar</t>
  </si>
  <si>
    <t>Nikos Michalos</t>
  </si>
  <si>
    <t>Panagiotis Karagiorgos</t>
  </si>
  <si>
    <t>Mickey McConnell</t>
  </si>
  <si>
    <t>Dorde Milosevic</t>
  </si>
  <si>
    <t>Cedric Kuakumensah</t>
  </si>
  <si>
    <t>Bjorn Rohwer</t>
  </si>
  <si>
    <t>Georgios Tsalmpouris</t>
  </si>
  <si>
    <t>Johannes Thiemann</t>
  </si>
  <si>
    <t>Patrick Miller</t>
  </si>
  <si>
    <t>Andreas Christodoulou</t>
  </si>
  <si>
    <t>Lennart Stechmann</t>
  </si>
  <si>
    <t>Giannis Giannaras</t>
  </si>
  <si>
    <t>Stephan Haukohl</t>
  </si>
  <si>
    <t>Lamond Murray, Jr.</t>
  </si>
  <si>
    <t>Nigel Williams-Goss</t>
  </si>
  <si>
    <t>Giannis Athineou</t>
  </si>
  <si>
    <t>Dane Watts</t>
  </si>
  <si>
    <t>Chris McNealy</t>
  </si>
  <si>
    <t>Goga Bitadze</t>
  </si>
  <si>
    <t>Elias Harris</t>
  </si>
  <si>
    <t>John Florveus</t>
  </si>
  <si>
    <t>Mike Morrison</t>
  </si>
  <si>
    <t>Giannis Molfetas</t>
  </si>
  <si>
    <t>Nemanja Vranjes</t>
  </si>
  <si>
    <t>Bennet Hundt</t>
  </si>
  <si>
    <t>Keith Benson</t>
  </si>
  <si>
    <t>Kruize Pinkins</t>
  </si>
  <si>
    <t>Kevin Ware</t>
  </si>
  <si>
    <t>D.J. Fenner</t>
  </si>
  <si>
    <t>Maik Zirbes</t>
  </si>
  <si>
    <t>Karlo Zganec</t>
  </si>
  <si>
    <t>Manolis Papamakarios</t>
  </si>
  <si>
    <t>Da'Sean Butler</t>
  </si>
  <si>
    <t>Panagiotis Vasilopoulos</t>
  </si>
  <si>
    <t>Danilo Nikolic</t>
  </si>
  <si>
    <t>Eimantas Stankevicius</t>
  </si>
  <si>
    <t>Jahii Carson</t>
  </si>
  <si>
    <t>Daviyon Draper</t>
  </si>
  <si>
    <t>Tai Webster</t>
  </si>
  <si>
    <t>Damir Markota</t>
  </si>
  <si>
    <t>Dimitrios Kaklamanakis</t>
  </si>
  <si>
    <t>Marcus Posley</t>
  </si>
  <si>
    <t>Marco Rahn</t>
  </si>
  <si>
    <t>Michail Lountzis</t>
  </si>
  <si>
    <t>Christoforos Stefanidis</t>
  </si>
  <si>
    <t>Brandis Raley-Ross</t>
  </si>
  <si>
    <t>Konstantin Schubert</t>
  </si>
  <si>
    <t>Evangelos Sakellariou</t>
  </si>
  <si>
    <t>Marko Cakarevic</t>
  </si>
  <si>
    <t>Bryon Allen</t>
  </si>
  <si>
    <t>Kwame Vaughn</t>
  </si>
  <si>
    <t>Dionysios Tataris</t>
  </si>
  <si>
    <t>Ryan Thompson</t>
  </si>
  <si>
    <t>Dorde Gagic</t>
  </si>
  <si>
    <t>Ioannis Kouzeloglou</t>
  </si>
  <si>
    <t>Michael Stockton</t>
  </si>
  <si>
    <t>Andreas Glyniadakis</t>
  </si>
  <si>
    <t>Gregor Hrovat</t>
  </si>
  <si>
    <t>Jan Heber</t>
  </si>
  <si>
    <t>Vasilis Christidis</t>
  </si>
  <si>
    <t>Preston Knowles</t>
  </si>
  <si>
    <t>Ryan Anderson</t>
  </si>
  <si>
    <t>D.J. Richardson</t>
  </si>
  <si>
    <t>Nikolaos Diplaros</t>
  </si>
  <si>
    <t>Alen Pjanic</t>
  </si>
  <si>
    <t>Reggie Keely</t>
  </si>
  <si>
    <t>Julius Wolf</t>
  </si>
  <si>
    <t>Giannis Georgalis</t>
  </si>
  <si>
    <t>Derek Needham</t>
  </si>
  <si>
    <t>Vasilis Mouratos</t>
  </si>
  <si>
    <t>Domagoj Vukovic</t>
  </si>
  <si>
    <t>Michail Tsairelis</t>
  </si>
  <si>
    <t>Benjamin David Lischka</t>
  </si>
  <si>
    <t>Ike Nwamu</t>
  </si>
  <si>
    <t>Adrian Breitlauch</t>
  </si>
  <si>
    <t>Gary Talton</t>
  </si>
  <si>
    <t>Stefan Fundic</t>
  </si>
  <si>
    <t>Isaac Bonga</t>
  </si>
  <si>
    <t>Gary Bell, Jr.</t>
  </si>
  <si>
    <t>Travis Bader</t>
  </si>
  <si>
    <t>Paul Watson</t>
  </si>
  <si>
    <t>Ive Ivanov</t>
  </si>
  <si>
    <t>Tyrone Brazelton</t>
  </si>
  <si>
    <t>Karim Jallow</t>
  </si>
  <si>
    <t>Yusuf Sanon</t>
  </si>
  <si>
    <t>Slaven Cupkovic</t>
  </si>
  <si>
    <t>Leon Okpara</t>
  </si>
  <si>
    <t>Iakovos Milentigievits Alifieris</t>
  </si>
  <si>
    <t>Dejan Kovacevic</t>
  </si>
  <si>
    <t>ShawnDre' Jones</t>
  </si>
  <si>
    <t>Dominic Artis</t>
  </si>
  <si>
    <t>Mateo Seric</t>
  </si>
  <si>
    <t>Bryce Douvier</t>
  </si>
  <si>
    <t>Dennis Mavin</t>
  </si>
  <si>
    <t>Phil Kalogiannidis</t>
  </si>
  <si>
    <t>Thomas Kottas</t>
  </si>
  <si>
    <t>Thomas Klepeisz</t>
  </si>
  <si>
    <t>Milic Starovlah</t>
  </si>
  <si>
    <t>Dimitrios Verginis</t>
  </si>
  <si>
    <t>Armin Trtovac</t>
  </si>
  <si>
    <t>Filip Covic</t>
  </si>
  <si>
    <t>Georgios Diamantakos</t>
  </si>
  <si>
    <t>Mahir Agva</t>
  </si>
  <si>
    <t>Robert Rikic</t>
  </si>
  <si>
    <t>Dimitris Stamatis</t>
  </si>
  <si>
    <t>Marcel Kessen</t>
  </si>
  <si>
    <t>Luka Bozic</t>
  </si>
  <si>
    <t>Kevin Langford</t>
  </si>
  <si>
    <t>Radenko Pilcevic</t>
  </si>
  <si>
    <t>Paris Maragkos</t>
  </si>
  <si>
    <t>Mirza Begic</t>
  </si>
  <si>
    <t>Alexis Spyridonidis</t>
  </si>
  <si>
    <t>Frantz Massenat</t>
  </si>
  <si>
    <t>Mihajlo Andric</t>
  </si>
  <si>
    <t>Jamar Abrams</t>
  </si>
  <si>
    <t>Tony Easley</t>
  </si>
  <si>
    <t>Jake Wiley</t>
  </si>
  <si>
    <t>Nikola Tanaskovic</t>
  </si>
  <si>
    <t>Johnny Berhanemeskel</t>
  </si>
  <si>
    <t>Marko Pecarski</t>
  </si>
  <si>
    <t>Anton Gavel</t>
  </si>
  <si>
    <t>Michael Ojo</t>
  </si>
  <si>
    <t>Jan Wimberg</t>
  </si>
  <si>
    <t>Nemanja Nenadic</t>
  </si>
  <si>
    <t>Andrej Mangold</t>
  </si>
  <si>
    <t>Julian Jasinski</t>
  </si>
  <si>
    <t>Chris Johnson</t>
  </si>
  <si>
    <t>Aleksandar Lazic</t>
  </si>
  <si>
    <t>Jordan Loveridge</t>
  </si>
  <si>
    <t>Vuk Radojcic</t>
  </si>
  <si>
    <t>Roko Ukic</t>
  </si>
  <si>
    <t>Oliver Mackeldanz</t>
  </si>
  <si>
    <t>Dominic Gilbert</t>
  </si>
  <si>
    <t>CIB</t>
  </si>
  <si>
    <t>Alex King</t>
  </si>
  <si>
    <t>Ziga Jurcek</t>
  </si>
  <si>
    <t>Quincy Miller</t>
  </si>
  <si>
    <t>Stefan Djordjevic</t>
  </si>
  <si>
    <t>Leon Kratzer</t>
  </si>
  <si>
    <t>Marcell Pongo</t>
  </si>
  <si>
    <t>Petar Popovic</t>
  </si>
  <si>
    <t>Jarekious Bradley</t>
  </si>
  <si>
    <t>Marko Radovanovic</t>
  </si>
  <si>
    <t>Marko Jeremic</t>
  </si>
  <si>
    <t>Brandon Spearman</t>
  </si>
  <si>
    <t>Javon McCrea</t>
  </si>
  <si>
    <t>Fabian Bleck</t>
  </si>
  <si>
    <t>Luka Tomas</t>
  </si>
  <si>
    <t>Tim Ohlbrecht</t>
  </si>
  <si>
    <t>Nemanja Nikolic</t>
  </si>
  <si>
    <t>John Cox</t>
  </si>
  <si>
    <t>Toni Jelenkovic</t>
  </si>
  <si>
    <t>Immanuel McElroy</t>
  </si>
  <si>
    <t>Ranko Mamuzikj</t>
  </si>
  <si>
    <t>MZT</t>
  </si>
  <si>
    <t>Marc Liyanage</t>
  </si>
  <si>
    <t>Max Landis</t>
  </si>
  <si>
    <t>Petar Aranitovic</t>
  </si>
  <si>
    <t>Jeril Taylor</t>
  </si>
  <si>
    <t>Haris Hujic</t>
  </si>
  <si>
    <t>Bogdan Bojic</t>
  </si>
  <si>
    <t>Lennard Larysz</t>
  </si>
  <si>
    <t>Jordan Morgan</t>
  </si>
  <si>
    <t>Anthony Morse</t>
  </si>
  <si>
    <t>Nikola Miskovic</t>
  </si>
  <si>
    <t>Ivan Elliott</t>
  </si>
  <si>
    <t>Deividas Busma</t>
  </si>
  <si>
    <t>Darius Carter</t>
  </si>
  <si>
    <t>Tadija Tadic</t>
  </si>
  <si>
    <t>Marko Bacak</t>
  </si>
  <si>
    <t>Stefan Sinovec</t>
  </si>
  <si>
    <t>Luis Figge</t>
  </si>
  <si>
    <t>Bozo Djumic</t>
  </si>
  <si>
    <t>Nemanja Jaramaz</t>
  </si>
  <si>
    <t>Mate Mandic</t>
  </si>
  <si>
    <t>Kristian Kullamae</t>
  </si>
  <si>
    <t>Ferdinand Zylka</t>
  </si>
  <si>
    <t>Cleveland Melvin</t>
  </si>
  <si>
    <t>Maxime De Zeeuw</t>
  </si>
  <si>
    <t>Ognjen Jaramaz</t>
  </si>
  <si>
    <t>Trey Lewis</t>
  </si>
  <si>
    <t>Kyle Gibson</t>
  </si>
  <si>
    <t>Jahmar Young</t>
  </si>
  <si>
    <t>Niklas Kiel</t>
  </si>
  <si>
    <t>Vasilije Bacovic</t>
  </si>
  <si>
    <t>Konstantin Klein</t>
  </si>
  <si>
    <t>Filip Toncinic</t>
  </si>
  <si>
    <t>Constantin Ebert</t>
  </si>
  <si>
    <t>Srdan Kocic</t>
  </si>
  <si>
    <t>Dominic Lockhart</t>
  </si>
  <si>
    <t>Darko Bajo</t>
  </si>
  <si>
    <t>Martin Breunig</t>
  </si>
  <si>
    <t>Domen Lorbek</t>
  </si>
  <si>
    <t>William Buford</t>
  </si>
  <si>
    <t>Samardo Samuels</t>
  </si>
  <si>
    <t>Till Gloger</t>
  </si>
  <si>
    <t>Lazar Pavicevic</t>
  </si>
  <si>
    <t>Dee Davis</t>
  </si>
  <si>
    <t>Andreja Stevanovic</t>
  </si>
  <si>
    <t>Stefan Momirov</t>
  </si>
  <si>
    <t>Bjarne Kraushaar</t>
  </si>
  <si>
    <t>Strahinja Gavrilovic</t>
  </si>
  <si>
    <t>Andreas Obst</t>
  </si>
  <si>
    <t>Malcolm Lee</t>
  </si>
  <si>
    <t>Johannes Richter</t>
  </si>
  <si>
    <t>Luka Zoric</t>
  </si>
  <si>
    <t>Kresimir Ljubicic</t>
  </si>
  <si>
    <t>Ron Curry</t>
  </si>
  <si>
    <t>Aleksandar Bursac</t>
  </si>
  <si>
    <t>Tom-Niclas Alte</t>
  </si>
  <si>
    <t>Toni Katic</t>
  </si>
  <si>
    <t>David Kramer</t>
  </si>
  <si>
    <t>Petar Rakicevic</t>
  </si>
  <si>
    <t>Harper Kamp</t>
  </si>
  <si>
    <t>Benedikt Turudic</t>
  </si>
  <si>
    <t>Aleksa Uskokovic</t>
  </si>
  <si>
    <t>Aleksa Radanov</t>
  </si>
  <si>
    <t>Garai Zeeb</t>
  </si>
  <si>
    <t>Ivan Ramljak</t>
  </si>
  <si>
    <t>Derrick Allen</t>
  </si>
  <si>
    <t>Marco Voeller</t>
  </si>
  <si>
    <t>Rados Seslija</t>
  </si>
  <si>
    <t>Jan Barbaric</t>
  </si>
  <si>
    <t>Dorde Drenovac</t>
  </si>
  <si>
    <t>Aleksandar Ponjavic</t>
  </si>
  <si>
    <t>Michael Kessens</t>
  </si>
  <si>
    <t>Nemanja Kapetanovic</t>
  </si>
  <si>
    <t>Isaiah Philmore</t>
  </si>
  <si>
    <t>Ivan Novacic</t>
  </si>
  <si>
    <t>Robert Oehle</t>
  </si>
  <si>
    <t>Vaughn Duggins</t>
  </si>
  <si>
    <t>Ivan Slutskii</t>
  </si>
  <si>
    <t>Lars Wendt</t>
  </si>
  <si>
    <t>Maverick Rowan</t>
  </si>
  <si>
    <t>Martynas Mazeika</t>
  </si>
  <si>
    <t>Billy Preston</t>
  </si>
  <si>
    <t>Barry Stewart</t>
  </si>
  <si>
    <t>Boris Bakic</t>
  </si>
  <si>
    <t>Dino Dizdarevic</t>
  </si>
  <si>
    <t>Per Gunther</t>
  </si>
  <si>
    <t>Igor Tratnik</t>
  </si>
  <si>
    <t>David Brembley</t>
  </si>
  <si>
    <t>Sergio Kerusch</t>
  </si>
  <si>
    <t>Ante Gospic</t>
  </si>
  <si>
    <t>Lamont Jones</t>
  </si>
  <si>
    <t>Karviar Shepherd</t>
  </si>
  <si>
    <t>Sava Lesic</t>
  </si>
  <si>
    <t>Boban Stajic</t>
  </si>
  <si>
    <t>Jared Jordan</t>
  </si>
  <si>
    <t>Roko Badzim</t>
  </si>
  <si>
    <t>Mauricio Marin</t>
  </si>
  <si>
    <t>Toni Perkovic</t>
  </si>
  <si>
    <t>Josip Bilinovac</t>
  </si>
  <si>
    <t>Malte Schwarz</t>
  </si>
  <si>
    <t>Nik Slavica</t>
  </si>
  <si>
    <t>A.J. English III</t>
  </si>
  <si>
    <t>Jan Span</t>
  </si>
  <si>
    <t>Lars Lagerpusch</t>
  </si>
  <si>
    <t>Marin Rozic</t>
  </si>
  <si>
    <t>Oliver Clay</t>
  </si>
  <si>
    <t>Filip Barovic</t>
  </si>
  <si>
    <t>Nicolai Simon</t>
  </si>
  <si>
    <t>Daniel Jansen</t>
  </si>
  <si>
    <t>Kris Richard</t>
  </si>
  <si>
    <t>Kostja Mushidi</t>
  </si>
  <si>
    <t>Richard Freudenberg</t>
  </si>
  <si>
    <t>Nikola Gajic</t>
  </si>
  <si>
    <t>Joanic Gruttner Bacoul</t>
  </si>
  <si>
    <t>Adem Mekic</t>
  </si>
  <si>
    <t>Brad Loesing</t>
  </si>
  <si>
    <t>Jure Lalic</t>
  </si>
  <si>
    <t>Sid Theis</t>
  </si>
  <si>
    <t>Domagoj Bosnjak</t>
  </si>
  <si>
    <t>Zygimantas Janavicius</t>
  </si>
  <si>
    <t>Dennis Nawrocki</t>
  </si>
  <si>
    <t>Obrad Tomic</t>
  </si>
  <si>
    <t>Evan Smotrycz</t>
  </si>
  <si>
    <t>Talor Battle</t>
  </si>
  <si>
    <t>Carl Baptiste</t>
  </si>
  <si>
    <t>Ognjen Carapic</t>
  </si>
  <si>
    <t>Bazoumana Kone</t>
  </si>
  <si>
    <t>Andrija Marjanovic</t>
  </si>
  <si>
    <t>Daniel Schmidt</t>
  </si>
  <si>
    <t>Vuk Radivojevic</t>
  </si>
  <si>
    <t>Jacob Mampuya</t>
  </si>
  <si>
    <t>Jakov Vladovic</t>
  </si>
  <si>
    <t>Ermen Reyes-Napoles</t>
  </si>
  <si>
    <t>Strahinja Micovic</t>
  </si>
  <si>
    <t>Vanja Marinkovic</t>
  </si>
  <si>
    <t>Jordan Sibert</t>
  </si>
  <si>
    <t>Filip Stanic</t>
  </si>
  <si>
    <t>Mihailo Jovicic</t>
  </si>
  <si>
    <t>Tim Schwartz</t>
  </si>
  <si>
    <t>Milos Koprivica</t>
  </si>
  <si>
    <t>Mathis Monninghoff</t>
  </si>
  <si>
    <t>Predrag Samardziski</t>
  </si>
  <si>
    <t>Dennis Kramer</t>
  </si>
  <si>
    <t>Stefan Pot</t>
  </si>
  <si>
    <t>Phillipp Heyden</t>
  </si>
  <si>
    <t>Marko Mijovic</t>
  </si>
  <si>
    <t>David Taylor</t>
  </si>
  <si>
    <t>Kristijan Krajina</t>
  </si>
  <si>
    <t>Darrel Mitchell</t>
  </si>
  <si>
    <t>Nikola Pavlicevic</t>
  </si>
  <si>
    <t>Robert Zinn</t>
  </si>
  <si>
    <t>Marko Ljubicic</t>
  </si>
  <si>
    <t>Leon Williams</t>
  </si>
  <si>
    <t>Brett Bailey</t>
  </si>
  <si>
    <t>Ryan Brooks</t>
  </si>
  <si>
    <t>Mislav Brzoja</t>
  </si>
  <si>
    <t>Marko Tomas</t>
  </si>
  <si>
    <t>Damjan Stojanovski</t>
  </si>
  <si>
    <t>Dominique Johnson</t>
  </si>
  <si>
    <t>Tre Bussey</t>
  </si>
  <si>
    <t>Andrej Maslinko</t>
  </si>
  <si>
    <t>Andrija Coric</t>
  </si>
  <si>
    <t>Aaron Geramipoor</t>
  </si>
  <si>
    <t>Sime Spralja</t>
  </si>
  <si>
    <t>Sead Sehovic</t>
  </si>
  <si>
    <t>Vukota Pavic</t>
  </si>
  <si>
    <t>Marko Mugosa</t>
  </si>
  <si>
    <t>French Pro A 2017-18 BPM</t>
  </si>
  <si>
    <t>Radoje Vujosevic</t>
  </si>
  <si>
    <t>Andrej Nastovski</t>
  </si>
  <si>
    <t>Filip Kraljevic</t>
  </si>
  <si>
    <t>Jacques Alingue</t>
  </si>
  <si>
    <t>DIJ</t>
  </si>
  <si>
    <t>Marko Calic</t>
  </si>
  <si>
    <t>Zack Wright</t>
  </si>
  <si>
    <t>STR</t>
  </si>
  <si>
    <t>Karlo Uljarevic</t>
  </si>
  <si>
    <t>Taylor Smith</t>
  </si>
  <si>
    <t>GRV</t>
  </si>
  <si>
    <t>Yordan Minchev</t>
  </si>
  <si>
    <t>Gerald Robinson</t>
  </si>
  <si>
    <t>ASM</t>
  </si>
  <si>
    <t>Kevin Murphy</t>
  </si>
  <si>
    <t>Branislav Ratkovica</t>
  </si>
  <si>
    <t>Louis Labeyrie</t>
  </si>
  <si>
    <t>Desi Washington</t>
  </si>
  <si>
    <t>Miro Bilan</t>
  </si>
  <si>
    <t>Eric Garcia</t>
  </si>
  <si>
    <t>Paul Lacombe</t>
  </si>
  <si>
    <t>Djoko Salic</t>
  </si>
  <si>
    <t>William Howard</t>
  </si>
  <si>
    <t>CSP</t>
  </si>
  <si>
    <t>Darko Sokolov</t>
  </si>
  <si>
    <t>Aaron Craft</t>
  </si>
  <si>
    <t>Lovre Basic</t>
  </si>
  <si>
    <t>Nate Wolters</t>
  </si>
  <si>
    <t>CHA</t>
  </si>
  <si>
    <t>Danilo Sibalic</t>
  </si>
  <si>
    <t>Chris Lofton</t>
  </si>
  <si>
    <t>LEM</t>
  </si>
  <si>
    <t>Marko Simonovski</t>
  </si>
  <si>
    <t>Zachery Peacock</t>
  </si>
  <si>
    <t>JLB</t>
  </si>
  <si>
    <t>Chris Evans</t>
  </si>
  <si>
    <t>Bojan Radulovic</t>
  </si>
  <si>
    <t>Alpha Kaba</t>
  </si>
  <si>
    <t>LYV</t>
  </si>
  <si>
    <t>Dorde Majstorovic</t>
  </si>
  <si>
    <t>Terry Tarpey</t>
  </si>
  <si>
    <t>Amara Sy</t>
  </si>
  <si>
    <t>Drazen Bubnic</t>
  </si>
  <si>
    <t>Frank Hassell</t>
  </si>
  <si>
    <t>PORT</t>
  </si>
  <si>
    <t>Mickael Gelabale</t>
  </si>
  <si>
    <t>Erjon Kastrati</t>
  </si>
  <si>
    <t>Rion Brown</t>
  </si>
  <si>
    <t>Trae Golden</t>
  </si>
  <si>
    <t>Stefan Glogovac</t>
  </si>
  <si>
    <t>Boris Diaw</t>
  </si>
  <si>
    <t>PLV</t>
  </si>
  <si>
    <t>David Holston</t>
  </si>
  <si>
    <t>Radosav Spasojevic</t>
  </si>
  <si>
    <t>Bastien Pinault</t>
  </si>
  <si>
    <t>D.J. Stephens</t>
  </si>
  <si>
    <t>Sergii Gladyr</t>
  </si>
  <si>
    <t>Igor Penov</t>
  </si>
  <si>
    <t>Bojan Trajkovski</t>
  </si>
  <si>
    <t>Quentin Serron</t>
  </si>
  <si>
    <t>Lahaou Konate</t>
  </si>
  <si>
    <t>NAN</t>
  </si>
  <si>
    <t>Lamonte Ulmer</t>
  </si>
  <si>
    <t>RCB</t>
  </si>
  <si>
    <t>Elie Okobo</t>
  </si>
  <si>
    <t>PAU</t>
  </si>
  <si>
    <t>Mykal Riley</t>
  </si>
  <si>
    <t>David Logan</t>
  </si>
  <si>
    <t>David Lighty</t>
  </si>
  <si>
    <t>Leopold Cavaliere</t>
  </si>
  <si>
    <t>Jonathan Rousselle</t>
  </si>
  <si>
    <t>CHO</t>
  </si>
  <si>
    <t>Ken Horton</t>
  </si>
  <si>
    <t>Josh Carter</t>
  </si>
  <si>
    <t>Mouphtaou Yarou</t>
  </si>
  <si>
    <t>ANT</t>
  </si>
  <si>
    <t>Ryan Pearson</t>
  </si>
  <si>
    <t>Nic Moore</t>
  </si>
  <si>
    <t>Tim Blue</t>
  </si>
  <si>
    <t>Shawn James</t>
  </si>
  <si>
    <t>BBD</t>
  </si>
  <si>
    <t>Kenny Hayes</t>
  </si>
  <si>
    <t>Yannis Morin</t>
  </si>
  <si>
    <t>Antoine Eito</t>
  </si>
  <si>
    <t>Pierre-Antoine Gillet</t>
  </si>
  <si>
    <t>Garrett Sim</t>
  </si>
  <si>
    <t>D.J. Cooper</t>
  </si>
  <si>
    <t>Quincy Diggs</t>
  </si>
  <si>
    <t>Youssou Ndoye</t>
  </si>
  <si>
    <t>Chris Dowe</t>
  </si>
  <si>
    <t>Jeremy Nzeulie</t>
  </si>
  <si>
    <t>Jamar Wilson</t>
  </si>
  <si>
    <t>Romain Duport</t>
  </si>
  <si>
    <t>John Roberson</t>
  </si>
  <si>
    <t>Amine Noua</t>
  </si>
  <si>
    <t>Georgi Joseph</t>
  </si>
  <si>
    <t>Hugo Invernizzi</t>
  </si>
  <si>
    <t>Ali Traore</t>
  </si>
  <si>
    <t>Mouhammadou Jaiteh</t>
  </si>
  <si>
    <t>Florent Pietrus</t>
  </si>
  <si>
    <t>Justin Harper</t>
  </si>
  <si>
    <t>Jaron Johnson</t>
  </si>
  <si>
    <t>Klemen Prepelic</t>
  </si>
  <si>
    <t>Axel Bouteille</t>
  </si>
  <si>
    <t>Darryl Watkins</t>
  </si>
  <si>
    <t>Gilvydas Biruta</t>
  </si>
  <si>
    <t>Justin Cobbs</t>
  </si>
  <si>
    <t>Elmedin Kikanovic</t>
  </si>
  <si>
    <t>Mike Dixon</t>
  </si>
  <si>
    <t>Heiko Schaffartzik</t>
  </si>
  <si>
    <t>Raphiael Putney</t>
  </si>
  <si>
    <t>Levi Randolph</t>
  </si>
  <si>
    <t>Gavin Ware</t>
  </si>
  <si>
    <t>Myles Hesson</t>
  </si>
  <si>
    <t>Maxime Courby</t>
  </si>
  <si>
    <t>Jean-Frederic Morency</t>
  </si>
  <si>
    <t>Haukur Palsson</t>
  </si>
  <si>
    <t>Pape-Philippe Amagou</t>
  </si>
  <si>
    <t>Will Yeguete</t>
  </si>
  <si>
    <t>Toddrick Gotcher</t>
  </si>
  <si>
    <t>Valentin Bigote</t>
  </si>
  <si>
    <t>Paul Carter</t>
  </si>
  <si>
    <t>Vitalis Chikoko</t>
  </si>
  <si>
    <t>Mohamed Hachad</t>
  </si>
  <si>
    <t>Jeremy Leloup</t>
  </si>
  <si>
    <t>A.J. Slaughter</t>
  </si>
  <si>
    <t>Youssoupha Fall</t>
  </si>
  <si>
    <t>Junior Zero</t>
  </si>
  <si>
    <t>Erik Murphy</t>
  </si>
  <si>
    <t>Darion Atkins</t>
  </si>
  <si>
    <t>Dylan Affo Mama</t>
  </si>
  <si>
    <t>Taqwa Pinero</t>
  </si>
  <si>
    <t>Lucas Bourhis</t>
  </si>
  <si>
    <t>Moses Ehambe</t>
  </si>
  <si>
    <t>Petr Cornelie</t>
  </si>
  <si>
    <t>Matthias Flosse</t>
  </si>
  <si>
    <t>Lance Harris</t>
  </si>
  <si>
    <t>Max Kouguere</t>
  </si>
  <si>
    <t>Sarra Camara</t>
  </si>
  <si>
    <t>Sofiane Briki</t>
  </si>
  <si>
    <t>Kevin Dinal</t>
  </si>
  <si>
    <t>Edward Daniel</t>
  </si>
  <si>
    <t>Charles Lombahe-Kahudi</t>
  </si>
  <si>
    <t>Vee Sanford</t>
  </si>
  <si>
    <t>Frederic Loubaki</t>
  </si>
  <si>
    <t>Viktor C. Gaddefors</t>
  </si>
  <si>
    <t>Benjamin Delage</t>
  </si>
  <si>
    <t>Khadim Sow</t>
  </si>
  <si>
    <t>Mbaye N'Diaye</t>
  </si>
  <si>
    <t>Jules Rambaut</t>
  </si>
  <si>
    <t>Warren Woghiren</t>
  </si>
  <si>
    <t>Youri Morose</t>
  </si>
  <si>
    <t>Reda Diabi</t>
  </si>
  <si>
    <t>HYT</t>
  </si>
  <si>
    <t>Jonathan Fairell</t>
  </si>
  <si>
    <t>Damien Larribau</t>
  </si>
  <si>
    <t>Arthur Leboeuf</t>
  </si>
  <si>
    <t>Robin Pradines</t>
  </si>
  <si>
    <t>Mel Esso Essis</t>
  </si>
  <si>
    <t>Benjamin Sene</t>
  </si>
  <si>
    <t>Samir Gbetkom Bikantchou</t>
  </si>
  <si>
    <t>Louis Rucklin</t>
  </si>
  <si>
    <t>Jean-Baptiste Maille</t>
  </si>
  <si>
    <t>Ludovic Beyhurst</t>
  </si>
  <si>
    <t>Marc Kwedi</t>
  </si>
  <si>
    <t>Noah Burrell</t>
  </si>
  <si>
    <t>Leopold Ca</t>
  </si>
  <si>
    <t>Shekinah Munanga</t>
  </si>
  <si>
    <t>Pape Sy</t>
  </si>
  <si>
    <t>Theo Bouteille</t>
  </si>
  <si>
    <t>Jean Victor Traore</t>
  </si>
  <si>
    <t>Yakuba Ouattara</t>
  </si>
  <si>
    <t>Melvyn Govindy</t>
  </si>
  <si>
    <t>Meven Le Douarin</t>
  </si>
  <si>
    <t>Tim Eboh</t>
  </si>
  <si>
    <t>Thimotee Bazille</t>
  </si>
  <si>
    <t>Brian Conklin</t>
  </si>
  <si>
    <t>Quentin Goulmy</t>
  </si>
  <si>
    <t>Alexandre Aygalenq</t>
  </si>
  <si>
    <t>Romeo Travis</t>
  </si>
  <si>
    <t>Babacar Niasse</t>
  </si>
  <si>
    <t>Nianta Diarra</t>
  </si>
  <si>
    <t>Isaiah Cousins</t>
  </si>
  <si>
    <t>Ivan Fevrier</t>
  </si>
  <si>
    <t>Kevin Cham</t>
  </si>
  <si>
    <t>Romain Poinas</t>
  </si>
  <si>
    <t>Jakim Donaldson</t>
  </si>
  <si>
    <t>Damien Inglis</t>
  </si>
  <si>
    <t>Mathieu Nzita</t>
  </si>
  <si>
    <t>Bangaly Fofana</t>
  </si>
  <si>
    <t>Gedeon Pitard</t>
  </si>
  <si>
    <t>Isaac Mayembo</t>
  </si>
  <si>
    <t>Warren Racine</t>
  </si>
  <si>
    <t>DeMarcus Nelson</t>
  </si>
  <si>
    <t>Martin Hermannsson</t>
  </si>
  <si>
    <t>Trent Meacham</t>
  </si>
  <si>
    <t>Adrien Labanere</t>
  </si>
  <si>
    <t>Thibault Desseignet</t>
  </si>
  <si>
    <t>Nicolas Lang</t>
  </si>
  <si>
    <t>Louis Cassier</t>
  </si>
  <si>
    <t>Etienne Ca</t>
  </si>
  <si>
    <t>Corentin Lopez</t>
  </si>
  <si>
    <t>Antoine Mendy</t>
  </si>
  <si>
    <t>Abdel Sylla</t>
  </si>
  <si>
    <t>Nicolas Dorez</t>
  </si>
  <si>
    <t>Wilfried Gantswa-Babami</t>
  </si>
  <si>
    <t>Karvel Anderson</t>
  </si>
  <si>
    <t>Chase Simon</t>
  </si>
  <si>
    <t>Johan Passave-Ducteil</t>
  </si>
  <si>
    <t>Ferdinand Prenom</t>
  </si>
  <si>
    <t>Theo Maledon</t>
  </si>
  <si>
    <t>Abdoulaye Loum</t>
  </si>
  <si>
    <t>Jevohn Shepherd</t>
  </si>
  <si>
    <t>Jamal Shuler</t>
  </si>
  <si>
    <t>Danny Gibson</t>
  </si>
  <si>
    <t>Maxime Roos</t>
  </si>
  <si>
    <t>Jerome Sanchez</t>
  </si>
  <si>
    <t>Jean-Marc Pansa</t>
  </si>
  <si>
    <t>Ndudi Ebi</t>
  </si>
  <si>
    <t>Axel Julien</t>
  </si>
  <si>
    <t>Maxence Dadiet</t>
  </si>
  <si>
    <t>Markus Kennedy</t>
  </si>
  <si>
    <t>Jean-Michel Mipoka</t>
  </si>
  <si>
    <t>Jerry Boutsiele</t>
  </si>
  <si>
    <t>Meredis Houmounou</t>
  </si>
  <si>
    <t>Thibault Daval-Braquet</t>
  </si>
  <si>
    <t>Tyler Harvey</t>
  </si>
  <si>
    <t>Kris Joseph</t>
  </si>
  <si>
    <t>Tweety Carter</t>
  </si>
  <si>
    <t>Alexandre Karolak</t>
  </si>
  <si>
    <t>Louis Campbell</t>
  </si>
  <si>
    <t>Jordan Tolbert</t>
  </si>
  <si>
    <t>Killian Hayes</t>
  </si>
  <si>
    <t>Brandon Ubel</t>
  </si>
  <si>
    <t>Yannick Bokolo</t>
  </si>
  <si>
    <t>Israeli BSL 2017-18 BPM</t>
  </si>
  <si>
    <t>Luc Loubaki</t>
  </si>
  <si>
    <t>Sadio Doucoure</t>
  </si>
  <si>
    <t>Glen Rice</t>
  </si>
  <si>
    <t>HAP</t>
  </si>
  <si>
    <t>Ian Miller</t>
  </si>
  <si>
    <t>Jordan Loyd</t>
  </si>
  <si>
    <t>EIL</t>
  </si>
  <si>
    <t>Ilian Evtimov</t>
  </si>
  <si>
    <t>Rod Odom</t>
  </si>
  <si>
    <t>Alexandre Chassang</t>
  </si>
  <si>
    <t>Jordan Hamilton</t>
  </si>
  <si>
    <t>Alain Koffi</t>
  </si>
  <si>
    <t>Cliff Alexander</t>
  </si>
  <si>
    <t>Cam Long</t>
  </si>
  <si>
    <t>ASH</t>
  </si>
  <si>
    <t>Rasheed Sulaimon</t>
  </si>
  <si>
    <t>Tony Gaffney</t>
  </si>
  <si>
    <t>Lance Jeter</t>
  </si>
  <si>
    <t>Jessie Begarin</t>
  </si>
  <si>
    <t>Sek Henry</t>
  </si>
  <si>
    <t>Yancy Gates</t>
  </si>
  <si>
    <t>Tautvydas Lydeka</t>
  </si>
  <si>
    <t>TaShawn Thomas</t>
  </si>
  <si>
    <t>Steven Smith</t>
  </si>
  <si>
    <t>John Flowers</t>
  </si>
  <si>
    <t>J.P. Prince</t>
  </si>
  <si>
    <t>Murphy Holloway</t>
  </si>
  <si>
    <t>MRL</t>
  </si>
  <si>
    <t>Mathieu Wojciechowski</t>
  </si>
  <si>
    <t>David Laury</t>
  </si>
  <si>
    <t>Terry Smith</t>
  </si>
  <si>
    <t>Ronald Roberts</t>
  </si>
  <si>
    <t>HAPJ</t>
  </si>
  <si>
    <t>Robert Arnold</t>
  </si>
  <si>
    <t>Richard Howell</t>
  </si>
  <si>
    <t>Corey Walden</t>
  </si>
  <si>
    <t>Dan Nwaelele</t>
  </si>
  <si>
    <t>Abdoulaye N'Doye</t>
  </si>
  <si>
    <t>Ryan Evans</t>
  </si>
  <si>
    <t>Gary Browne</t>
  </si>
  <si>
    <t>IRO</t>
  </si>
  <si>
    <t>Frejus Zerbo</t>
  </si>
  <si>
    <t>Fernando Raposo</t>
  </si>
  <si>
    <t>Terry Allen</t>
  </si>
  <si>
    <t>Drew Crawford</t>
  </si>
  <si>
    <t>Matt Howard</t>
  </si>
  <si>
    <t>J.J. Frazier</t>
  </si>
  <si>
    <t>Mark Tollefsen</t>
  </si>
  <si>
    <t>James Farr</t>
  </si>
  <si>
    <t>Yotam Halperin</t>
  </si>
  <si>
    <t>Tom Wiscart Goetz</t>
  </si>
  <si>
    <t>D'Angelo Harrison</t>
  </si>
  <si>
    <t>GAL</t>
  </si>
  <si>
    <t>Alade Aminu</t>
  </si>
  <si>
    <t>Tomer Ginat</t>
  </si>
  <si>
    <t>Vafessa Fofana</t>
  </si>
  <si>
    <t>Jerel McNeal</t>
  </si>
  <si>
    <t>Jerel Blassingame</t>
  </si>
  <si>
    <t>Derwin Kitchen</t>
  </si>
  <si>
    <t>Stratos Perperoglou</t>
  </si>
  <si>
    <t>Remi Lesca</t>
  </si>
  <si>
    <t>Dinma Odiakosa</t>
  </si>
  <si>
    <t>Zach LeDay</t>
  </si>
  <si>
    <t>Adam Smith</t>
  </si>
  <si>
    <t>Cyrille Eliezer-Vanerot</t>
  </si>
  <si>
    <t>Brandon Bowman</t>
  </si>
  <si>
    <t>HAI</t>
  </si>
  <si>
    <t>Pierre Drouault</t>
  </si>
  <si>
    <t>Olivier Cortale</t>
  </si>
  <si>
    <t>Lior Eliyahu</t>
  </si>
  <si>
    <t>Jonathan Tornato</t>
  </si>
  <si>
    <t>Justin Edwards</t>
  </si>
  <si>
    <t>Bar Timor</t>
  </si>
  <si>
    <t>Eloy Vargas</t>
  </si>
  <si>
    <t>Darrin Dorsey</t>
  </si>
  <si>
    <t>Daequan Cook</t>
  </si>
  <si>
    <t>Chris Otule</t>
  </si>
  <si>
    <t>Kyan Anderson</t>
  </si>
  <si>
    <t>Oz Blayzer</t>
  </si>
  <si>
    <t>Khalid Boukichou</t>
  </si>
  <si>
    <t>Jonathan Skjoldebrand</t>
  </si>
  <si>
    <t>NAH</t>
  </si>
  <si>
    <t>Dru Joyce</t>
  </si>
  <si>
    <t>Bathiste Tchouaffe</t>
  </si>
  <si>
    <t>Willy Workman</t>
  </si>
  <si>
    <t>Gary Chathuant</t>
  </si>
  <si>
    <t>David Michineau</t>
  </si>
  <si>
    <t>Luka Asceric</t>
  </si>
  <si>
    <t>Angel Rodriguez</t>
  </si>
  <si>
    <t>Stephan Gauthier</t>
  </si>
  <si>
    <t>Ray Cowels</t>
  </si>
  <si>
    <t>Reginald Becton</t>
  </si>
  <si>
    <t>Joe Alexander</t>
  </si>
  <si>
    <t>Willie Deane</t>
  </si>
  <si>
    <t>Khalif Wyatt</t>
  </si>
  <si>
    <t>Paul Rigot</t>
  </si>
  <si>
    <t>Tyler Stone</t>
  </si>
  <si>
    <t>Aurelien Salmon</t>
  </si>
  <si>
    <t>Mike Rosario</t>
  </si>
  <si>
    <t>Arthur Rozenfeld</t>
  </si>
  <si>
    <t>Adam Mokoka</t>
  </si>
  <si>
    <t>Adam Ariel</t>
  </si>
  <si>
    <t>Shawn Dawson</t>
  </si>
  <si>
    <t>BHS</t>
  </si>
  <si>
    <t>Steve Taylor, Jr.</t>
  </si>
  <si>
    <t>Joaquin Szuchman</t>
  </si>
  <si>
    <t>Mike Efevberha</t>
  </si>
  <si>
    <t>Benoit Mangin</t>
  </si>
  <si>
    <t>J.R. Reynolds</t>
  </si>
  <si>
    <t>Jerome Dyson</t>
  </si>
  <si>
    <t>Giovan Oniangue</t>
  </si>
  <si>
    <t>Sylvain Francisco</t>
  </si>
  <si>
    <t>Puerto Rican BSN 2017-18 BPM</t>
  </si>
  <si>
    <t>Guy Pnini</t>
  </si>
  <si>
    <t>Arnaud Kerckhof</t>
  </si>
  <si>
    <t>Elhadji Digue Diawara</t>
  </si>
  <si>
    <t>Elad Hoffman</t>
  </si>
  <si>
    <t>Alex Young</t>
  </si>
  <si>
    <t>Kyle Vinales</t>
  </si>
  <si>
    <t>CAC</t>
  </si>
  <si>
    <t>Tu Holloway</t>
  </si>
  <si>
    <t>Reyshawn Terry</t>
  </si>
  <si>
    <t>PIR</t>
  </si>
  <si>
    <t>Luke Martinez</t>
  </si>
  <si>
    <t>Jonathan Rodriguez</t>
  </si>
  <si>
    <t>AGU</t>
  </si>
  <si>
    <t>Golan Gutt</t>
  </si>
  <si>
    <t>ATL</t>
  </si>
  <si>
    <t>Austin Daye</t>
  </si>
  <si>
    <t>Javier Mojica</t>
  </si>
  <si>
    <t>VAQ</t>
  </si>
  <si>
    <t>Ismael Romero</t>
  </si>
  <si>
    <t>Tree Treadwell</t>
  </si>
  <si>
    <t>Mike Young</t>
  </si>
  <si>
    <t>LEO</t>
  </si>
  <si>
    <t>Ben McCauley</t>
  </si>
  <si>
    <t>Cliff Duran</t>
  </si>
  <si>
    <t>Nimrod Levi</t>
  </si>
  <si>
    <t>Deji Akindele</t>
  </si>
  <si>
    <t>CAP</t>
  </si>
  <si>
    <t>J'Covan Brown</t>
  </si>
  <si>
    <t>Johwen Villegas</t>
  </si>
  <si>
    <t>Evan Yates</t>
  </si>
  <si>
    <t>Javier Gonzalez</t>
  </si>
  <si>
    <t>Ousmane Drame</t>
  </si>
  <si>
    <t>Denzel Livingston</t>
  </si>
  <si>
    <t>Chris Gaston</t>
  </si>
  <si>
    <t>Netanel Artzi</t>
  </si>
  <si>
    <t>Jeremy Pargo</t>
  </si>
  <si>
    <t>Benjamin Colon</t>
  </si>
  <si>
    <t>Jeff Adrien</t>
  </si>
  <si>
    <t>Carlos Lopez-Sosa</t>
  </si>
  <si>
    <t>Shlomi Harush</t>
  </si>
  <si>
    <t>Ali Berdiel</t>
  </si>
  <si>
    <t>FAJ</t>
  </si>
  <si>
    <t>Roman Sorkin</t>
  </si>
  <si>
    <t>Eric Dawson</t>
  </si>
  <si>
    <t>Tarence Kinsey</t>
  </si>
  <si>
    <t>Gerald Lee</t>
  </si>
  <si>
    <t>Ike Ofoegbu</t>
  </si>
  <si>
    <t>Jason Siggers</t>
  </si>
  <si>
    <t>Luis Hernandez</t>
  </si>
  <si>
    <t>Carlos Emory</t>
  </si>
  <si>
    <t>Tzuf Moshe</t>
  </si>
  <si>
    <t>Marcus Fillyaw</t>
  </si>
  <si>
    <t>Ben Carter</t>
  </si>
  <si>
    <t>Ricardo Melendez</t>
  </si>
  <si>
    <t>Tomer Cohen</t>
  </si>
  <si>
    <t>Denis Clemente</t>
  </si>
  <si>
    <t>Keith Langford</t>
  </si>
  <si>
    <t>Alex Galindo</t>
  </si>
  <si>
    <t>Jose Guitian</t>
  </si>
  <si>
    <t>Yotam Hanochi</t>
  </si>
  <si>
    <t>Christopher Ortiz</t>
  </si>
  <si>
    <t>Chris Walker</t>
  </si>
  <si>
    <t>Dor Wachner</t>
  </si>
  <si>
    <t>Kleon Penn</t>
  </si>
  <si>
    <t>Brian Diaz</t>
  </si>
  <si>
    <t>Itay Shriki</t>
  </si>
  <si>
    <t>O.J. Mayo</t>
  </si>
  <si>
    <t>Ido Shabat</t>
  </si>
  <si>
    <t>Christian Jomar Pizarro Rios</t>
  </si>
  <si>
    <t>William Orozco</t>
  </si>
  <si>
    <t>Amit Shitrit</t>
  </si>
  <si>
    <t>Tyler Polo</t>
  </si>
  <si>
    <t>Tal Zach</t>
  </si>
  <si>
    <t>Victor Caratni</t>
  </si>
  <si>
    <t>Raymond Cintron</t>
  </si>
  <si>
    <t>Igor Mayor</t>
  </si>
  <si>
    <t>Jonathan Garcia Bermudez</t>
  </si>
  <si>
    <t>Aviel Levi</t>
  </si>
  <si>
    <t>Guillermo Diaz</t>
  </si>
  <si>
    <t>Jimmy McDonnell</t>
  </si>
  <si>
    <t>Michael Moshkovitz</t>
  </si>
  <si>
    <t>DeJuan Marrero</t>
  </si>
  <si>
    <t>Harol Dadon</t>
  </si>
  <si>
    <t>Erick Rosado</t>
  </si>
  <si>
    <t>Tyler Dawson</t>
  </si>
  <si>
    <t>Max Amaro</t>
  </si>
  <si>
    <t>Tywain McKee</t>
  </si>
  <si>
    <t>Sammy Mojica</t>
  </si>
  <si>
    <t>Tom Sapir</t>
  </si>
  <si>
    <t>Alvin Cruz</t>
  </si>
  <si>
    <t>Chris Smith</t>
  </si>
  <si>
    <t>Darius Morales</t>
  </si>
  <si>
    <t>Amit Simhon</t>
  </si>
  <si>
    <t>Alexis Negron</t>
  </si>
  <si>
    <t>Roy Indik</t>
  </si>
  <si>
    <t>Juan Nieves</t>
  </si>
  <si>
    <t>Shahar Amir</t>
  </si>
  <si>
    <t>Adrian Banks</t>
  </si>
  <si>
    <t>Xavier Zambrana</t>
  </si>
  <si>
    <t>Wilfredo Rodriguez</t>
  </si>
  <si>
    <t>Dominique Archie</t>
  </si>
  <si>
    <t>Daniel Reuven</t>
  </si>
  <si>
    <t>Filiberto Rivera</t>
  </si>
  <si>
    <t>Devon Collier</t>
  </si>
  <si>
    <t>Harrison Neri</t>
  </si>
  <si>
    <t>Derek Reese</t>
  </si>
  <si>
    <t>Jabril Trawick</t>
  </si>
  <si>
    <t>Christian Soto</t>
  </si>
  <si>
    <t>Derrick Sharp</t>
  </si>
  <si>
    <t>Francis Han</t>
  </si>
  <si>
    <t>Iftah Ziv</t>
  </si>
  <si>
    <t>Joel Nieves</t>
  </si>
  <si>
    <t>Gal Baruch</t>
  </si>
  <si>
    <t>Paul Graham III</t>
  </si>
  <si>
    <t>Omer Birnfeld</t>
  </si>
  <si>
    <t>Nate Butler-Lind</t>
  </si>
  <si>
    <t>Terrence Curry</t>
  </si>
  <si>
    <t>Yariv Amiram</t>
  </si>
  <si>
    <t>Owens Kelly Perez</t>
  </si>
  <si>
    <t>K.J. Maura</t>
  </si>
  <si>
    <t>Noam Avivi</t>
  </si>
  <si>
    <t>Alexis Colon</t>
  </si>
  <si>
    <t>Denzel Bowles</t>
  </si>
  <si>
    <t>Chanan Colman</t>
  </si>
  <si>
    <t>Damion James</t>
  </si>
  <si>
    <t>Travis Warech</t>
  </si>
  <si>
    <t>Jared Ruiz</t>
  </si>
  <si>
    <t>Deni Avdija</t>
  </si>
  <si>
    <t>Juan Pablo Pineiro</t>
  </si>
  <si>
    <t>Brian Rosario</t>
  </si>
  <si>
    <t>Jermaine Beal</t>
  </si>
  <si>
    <t>Brandon Costner</t>
  </si>
  <si>
    <t>Elijah Johnson</t>
  </si>
  <si>
    <t>Christian Lopez</t>
  </si>
  <si>
    <t>Amit Erlich</t>
  </si>
  <si>
    <t>T.J. Williams</t>
  </si>
  <si>
    <t>Noam Hason</t>
  </si>
  <si>
    <t>Ferdinand Morales</t>
  </si>
  <si>
    <t>T.J. Cline</t>
  </si>
  <si>
    <t>A.D. Vassallo</t>
  </si>
  <si>
    <t>Rafi Manco</t>
  </si>
  <si>
    <t>Jorge Matos</t>
  </si>
  <si>
    <t>Esteban Cordero</t>
  </si>
  <si>
    <t>Melsahn Basabe</t>
  </si>
  <si>
    <t>Rom Cornelius</t>
  </si>
  <si>
    <t>Diego Maldonado</t>
  </si>
  <si>
    <t>Nitzan Hanochi</t>
  </si>
  <si>
    <t>Jeffrey Cartagena</t>
  </si>
  <si>
    <t>Yogev Ohayon</t>
  </si>
  <si>
    <t>Gabriel Colon</t>
  </si>
  <si>
    <t>Emilio Parks</t>
  </si>
  <si>
    <t>Hakim Warrick</t>
  </si>
  <si>
    <t>Ansel Guzman</t>
  </si>
  <si>
    <t>Juan Ramon Rivas</t>
  </si>
  <si>
    <t>Omar Samhan</t>
  </si>
  <si>
    <t>Corey Webster</t>
  </si>
  <si>
    <t>Alejandro Carmona Sanchez</t>
  </si>
  <si>
    <t>Tjader Fernandez</t>
  </si>
  <si>
    <t>Paul Delaney</t>
  </si>
  <si>
    <t>Angel Rivera</t>
  </si>
  <si>
    <t>Tristan Spurlock</t>
  </si>
  <si>
    <t>Onzie Branch</t>
  </si>
  <si>
    <t>Sean Labanowski</t>
  </si>
  <si>
    <t>Carlos Rivera</t>
  </si>
  <si>
    <t>Jacorey Williams</t>
  </si>
  <si>
    <t>Tyrone Nash</t>
  </si>
  <si>
    <t>Rafael Perez</t>
  </si>
  <si>
    <t>Eric Griffin</t>
  </si>
  <si>
    <t>Kevin Young</t>
  </si>
  <si>
    <t>Matt Lopez</t>
  </si>
  <si>
    <t>Trahson Burrell</t>
  </si>
  <si>
    <t>Carlos Arroyo</t>
  </si>
  <si>
    <t>Joseph Soto</t>
  </si>
  <si>
    <t>Jonathan Mor</t>
  </si>
  <si>
    <t>Gabriel Ruiz</t>
  </si>
  <si>
    <t>Terrence Watson</t>
  </si>
  <si>
    <t>Angel Garcia</t>
  </si>
  <si>
    <t>Amir Reuven</t>
  </si>
  <si>
    <t>David Huertas</t>
  </si>
  <si>
    <t>Igor Nesterenko</t>
  </si>
  <si>
    <t>Tony Mitchell</t>
  </si>
  <si>
    <t>Daniel Aidan</t>
  </si>
  <si>
    <t>Ernesto Rodriguez Mendez</t>
  </si>
  <si>
    <t>Adam Honig</t>
  </si>
  <si>
    <t>Gilberto Clavell</t>
  </si>
  <si>
    <t>Peter John Ramos</t>
  </si>
  <si>
    <t>Talib Zanna</t>
  </si>
  <si>
    <t>Angel Matias</t>
  </si>
  <si>
    <t>Alex Franklin</t>
  </si>
  <si>
    <t>Gaby Belardo</t>
  </si>
  <si>
    <t>Kalin Lucas</t>
  </si>
  <si>
    <t>Tal Michael Dunne</t>
  </si>
  <si>
    <t>Alex Rosenberg</t>
  </si>
  <si>
    <t>Rasham Suarez</t>
  </si>
  <si>
    <t>Andres Torres</t>
  </si>
  <si>
    <t>Eyal Shulman</t>
  </si>
  <si>
    <t>Devin Williams</t>
  </si>
  <si>
    <t>Aviram Zelkovits</t>
  </si>
  <si>
    <t>Chris Brady</t>
  </si>
  <si>
    <t>Niv Baloul</t>
  </si>
  <si>
    <t>Angel Alamo</t>
  </si>
  <si>
    <t>Gil Amitay</t>
  </si>
  <si>
    <t>Josh Powell</t>
  </si>
  <si>
    <t>Amit Ebo</t>
  </si>
  <si>
    <t>Alonzo Gee</t>
  </si>
  <si>
    <t>Isaac Rosefelt</t>
  </si>
  <si>
    <t>Jezreel De Jesus</t>
  </si>
  <si>
    <t>Ben Altit</t>
  </si>
  <si>
    <t>Isaac Sosa</t>
  </si>
  <si>
    <t>Frederic Bourdillon</t>
  </si>
  <si>
    <t>Marcus D. Williams</t>
  </si>
  <si>
    <t>Elishay Kadir</t>
  </si>
  <si>
    <t>Will Martinez</t>
  </si>
  <si>
    <t>Taurean Green</t>
  </si>
  <si>
    <t>Alexey Tzubrevitch</t>
  </si>
  <si>
    <t>Jeff Allen</t>
  </si>
  <si>
    <t>Avi Ben-Chimol</t>
  </si>
  <si>
    <t>Turkish BSL 2017-18 BPM</t>
  </si>
  <si>
    <t>Tom Maayan</t>
  </si>
  <si>
    <t>Cat Barber</t>
  </si>
  <si>
    <t>Moustapha Fall</t>
  </si>
  <si>
    <t>SAK</t>
  </si>
  <si>
    <t>Stu Douglass</t>
  </si>
  <si>
    <t>Tamir Blatt</t>
  </si>
  <si>
    <t>Sammy Mejia</t>
  </si>
  <si>
    <t>TOF</t>
  </si>
  <si>
    <t>Ram Elias-Pour</t>
  </si>
  <si>
    <t>Trevor Gaskins</t>
  </si>
  <si>
    <t>ZIv Ben-Zvi</t>
  </si>
  <si>
    <t>Sam Singer</t>
  </si>
  <si>
    <t>Stanton Kidd</t>
  </si>
  <si>
    <t>DBI</t>
  </si>
  <si>
    <t>Tal Karpels</t>
  </si>
  <si>
    <t>Angelo Caloiaro</t>
  </si>
  <si>
    <t>BVS</t>
  </si>
  <si>
    <t>Oded David Brandwein</t>
  </si>
  <si>
    <t>Damian Kulig</t>
  </si>
  <si>
    <t>Raviv Limonad</t>
  </si>
  <si>
    <t>Alex Renfroe</t>
  </si>
  <si>
    <t>Amit Bier-Katz</t>
  </si>
  <si>
    <t>Josh Duncan</t>
  </si>
  <si>
    <t>ESK</t>
  </si>
  <si>
    <t>Scottie Wilbekin</t>
  </si>
  <si>
    <t>Guni Israeli</t>
  </si>
  <si>
    <t>Pierria Henry</t>
  </si>
  <si>
    <t>Alando Tucker</t>
  </si>
  <si>
    <t>Kyle Weems</t>
  </si>
  <si>
    <t>BES</t>
  </si>
  <si>
    <t>Yaniv Solomon</t>
  </si>
  <si>
    <t>Furkan Aldemir</t>
  </si>
  <si>
    <t>Idan Zalmanson</t>
  </si>
  <si>
    <t>Spencer Weisz</t>
  </si>
  <si>
    <t>Richard Hendrix</t>
  </si>
  <si>
    <t>Tony Crocker</t>
  </si>
  <si>
    <t>Zach Graham</t>
  </si>
  <si>
    <t>Will Graves</t>
  </si>
  <si>
    <t>Sertac Sanli</t>
  </si>
  <si>
    <t>Jon Diebler</t>
  </si>
  <si>
    <t>Robert Carter, Jr.</t>
  </si>
  <si>
    <t>GAZ</t>
  </si>
  <si>
    <t>Niv Berkowitz</t>
  </si>
  <si>
    <t>D.J. Kennedy</t>
  </si>
  <si>
    <t>PIN</t>
  </si>
  <si>
    <t>Daniel Koperberg</t>
  </si>
  <si>
    <t>Raviv Pitshon</t>
  </si>
  <si>
    <t>Howard Sant-Roos</t>
  </si>
  <si>
    <t>Dagan Yavzuri</t>
  </si>
  <si>
    <t>Adas Juskevicius</t>
  </si>
  <si>
    <t>Ezequiel Skverer</t>
  </si>
  <si>
    <t>Chris Obekpa</t>
  </si>
  <si>
    <t>TRA</t>
  </si>
  <si>
    <t>Afik Nissim</t>
  </si>
  <si>
    <t>Eric Buckner</t>
  </si>
  <si>
    <t>IBB</t>
  </si>
  <si>
    <t>Emir Preldzic</t>
  </si>
  <si>
    <t>Roi Huber</t>
  </si>
  <si>
    <t>Naor Sharon</t>
  </si>
  <si>
    <t>Scotty Hopson</t>
  </si>
  <si>
    <t>Gasper Vidmar</t>
  </si>
  <si>
    <t>Jake Odum</t>
  </si>
  <si>
    <t>Billy Baron</t>
  </si>
  <si>
    <t>Nathan Boothe</t>
  </si>
  <si>
    <t>D.J. Strawberry</t>
  </si>
  <si>
    <t>Muhsin Yasar</t>
  </si>
  <si>
    <t>Kartal Ozmizrak</t>
  </si>
  <si>
    <t>Micheal Eric</t>
  </si>
  <si>
    <t>Viacheslav Kravtsov</t>
  </si>
  <si>
    <t>Mark Lyons</t>
  </si>
  <si>
    <t>Evaldas Kairys</t>
  </si>
  <si>
    <t>DEM</t>
  </si>
  <si>
    <t>JaJuan Johnson</t>
  </si>
  <si>
    <t>Baris Ermis</t>
  </si>
  <si>
    <t>Davon Jefferson</t>
  </si>
  <si>
    <t>YES</t>
  </si>
  <si>
    <t>Stefan Bircevic</t>
  </si>
  <si>
    <t>Ridvan Oncel</t>
  </si>
  <si>
    <t>Raymar Morgan</t>
  </si>
  <si>
    <t>Josh Owens</t>
  </si>
  <si>
    <t>Tolga Gecim</t>
  </si>
  <si>
    <t>Erving Walker</t>
  </si>
  <si>
    <t>UUB</t>
  </si>
  <si>
    <t>Osiris Eldridge</t>
  </si>
  <si>
    <t>James Bell</t>
  </si>
  <si>
    <t>Vojdan Stojanovski</t>
  </si>
  <si>
    <t>Samet Geyik</t>
  </si>
  <si>
    <t>Caleb Green</t>
  </si>
  <si>
    <t>Yigit Arslan</t>
  </si>
  <si>
    <t>Earl Calloway</t>
  </si>
  <si>
    <t>Andy Rautins</t>
  </si>
  <si>
    <t>Ryan Boatright</t>
  </si>
  <si>
    <t>Muratcan Guler</t>
  </si>
  <si>
    <t>Jackie Carmichael</t>
  </si>
  <si>
    <t>Okben Ulubay</t>
  </si>
  <si>
    <t>Berkan Durmaz</t>
  </si>
  <si>
    <t>Emircan Kosut</t>
  </si>
  <si>
    <t>Juan Palacios</t>
  </si>
  <si>
    <t>Efe Ceran</t>
  </si>
  <si>
    <t>Suleyman Yavas</t>
  </si>
  <si>
    <t>Kenny Boynton</t>
  </si>
  <si>
    <t>Mehmet Alemdaroglu</t>
  </si>
  <si>
    <t>Serhat Tuzinoglu</t>
  </si>
  <si>
    <t>Efe Tirpanci</t>
  </si>
  <si>
    <t>D.J. White</t>
  </si>
  <si>
    <t>C.J. Watson</t>
  </si>
  <si>
    <t>Emre Tanisan</t>
  </si>
  <si>
    <t>Jeff Ayres</t>
  </si>
  <si>
    <t>Batuhan Emre Kaplan</t>
  </si>
  <si>
    <t>Mert Konuk</t>
  </si>
  <si>
    <t>Berkihan Yigit Buke</t>
  </si>
  <si>
    <t>Metin Turen</t>
  </si>
  <si>
    <t>Diamon Simpson</t>
  </si>
  <si>
    <t>Ozcan Surucu</t>
  </si>
  <si>
    <t>Agah Abdussamed Kizilkaya</t>
  </si>
  <si>
    <t>Muhammed Altinkalem</t>
  </si>
  <si>
    <t>Tevfik Gokseven</t>
  </si>
  <si>
    <t>Kamer Muhammed Bayraktar</t>
  </si>
  <si>
    <t>James Birsen</t>
  </si>
  <si>
    <t>Sean Williams</t>
  </si>
  <si>
    <t>Mert Celep</t>
  </si>
  <si>
    <t>Mustafa Kircali</t>
  </si>
  <si>
    <t>Ahmet Tuncer</t>
  </si>
  <si>
    <t>Dorukhan Engindeniz</t>
  </si>
  <si>
    <t>Ali Yurtseven</t>
  </si>
  <si>
    <t>Kristijan Nikolov</t>
  </si>
  <si>
    <t>Serkan Aydin</t>
  </si>
  <si>
    <t>Jarrod Jones</t>
  </si>
  <si>
    <t>Gaffar Cetin</t>
  </si>
  <si>
    <t>Erkan Veyseloglu</t>
  </si>
  <si>
    <t>Isaiah Miles</t>
  </si>
  <si>
    <t>Caner Topaloglu</t>
  </si>
  <si>
    <t>Burak Selen</t>
  </si>
  <si>
    <t>Darrell Williams</t>
  </si>
  <si>
    <t>Gian Clavell</t>
  </si>
  <si>
    <t>Ilkan Karaman</t>
  </si>
  <si>
    <t>Vlad Moldoveanu</t>
  </si>
  <si>
    <t>Hakan Demirel</t>
  </si>
  <si>
    <t>Efe Besok</t>
  </si>
  <si>
    <t>Arda Erdogan</t>
  </si>
  <si>
    <t>Can Korkmaz</t>
  </si>
  <si>
    <t>Omer Al</t>
  </si>
  <si>
    <t>Dwight Hardy</t>
  </si>
  <si>
    <t>Paul Harris</t>
  </si>
  <si>
    <t>Sean Armand</t>
  </si>
  <si>
    <t>Stevie Browning</t>
  </si>
  <si>
    <t>Erkan Yilmaz</t>
  </si>
  <si>
    <t>Tony Taylor</t>
  </si>
  <si>
    <t>Yigit Ozovali</t>
  </si>
  <si>
    <t>Semih Erden</t>
  </si>
  <si>
    <t>Dogus Ozdemiroglu</t>
  </si>
  <si>
    <t>Nikola Jankovic</t>
  </si>
  <si>
    <t>Bracey Wright</t>
  </si>
  <si>
    <t>Furkan Ayca</t>
  </si>
  <si>
    <t>Maxim Mutaf</t>
  </si>
  <si>
    <t>Kadir Bayram</t>
  </si>
  <si>
    <t>Michael Thompson</t>
  </si>
  <si>
    <t>Henry Walker</t>
  </si>
  <si>
    <t>Berke Aygunduz</t>
  </si>
  <si>
    <t>Can Ogut</t>
  </si>
  <si>
    <t>Sehmus Hazer</t>
  </si>
  <si>
    <t>Jaka Klobucar</t>
  </si>
  <si>
    <t>Marin Maric</t>
  </si>
  <si>
    <t>E.J. Rowland</t>
  </si>
  <si>
    <t>Kaan Konak</t>
  </si>
  <si>
    <t>Erden Eryuz</t>
  </si>
  <si>
    <t>Kenan Sipahi</t>
  </si>
  <si>
    <t>Kerem Gonlum</t>
  </si>
  <si>
    <t>Sarunas Vasiliauskas</t>
  </si>
  <si>
    <t>Berke Atar</t>
  </si>
  <si>
    <t>Ege Arar</t>
  </si>
  <si>
    <t>Scott Wood</t>
  </si>
  <si>
    <t>Bekir Sabri Karli</t>
  </si>
  <si>
    <t>Mehmet Erim Ozgul</t>
  </si>
  <si>
    <t>Deividas Dulkys</t>
  </si>
  <si>
    <t>Yigit Ozkan</t>
  </si>
  <si>
    <t>Berkay Candan</t>
  </si>
  <si>
    <t>Metehan Akyel</t>
  </si>
  <si>
    <t>Mehmet Ozdogan</t>
  </si>
  <si>
    <t>Kenny Kadji</t>
  </si>
  <si>
    <t>C.J. Harris</t>
  </si>
  <si>
    <t>Tevfik Akdamar</t>
  </si>
  <si>
    <t>Ivan Paunic</t>
  </si>
  <si>
    <t>Mutlu Akpinar</t>
  </si>
  <si>
    <t>Rodney Pryor</t>
  </si>
  <si>
    <t>Mutlu Demir</t>
  </si>
  <si>
    <t>Goksenin Koksal</t>
  </si>
  <si>
    <t>Tayfun Erulku</t>
  </si>
  <si>
    <t>Earl Clark</t>
  </si>
  <si>
    <t>Richard Solomon</t>
  </si>
  <si>
    <t>Mehmet Yagmur</t>
  </si>
  <si>
    <t>Ra'Shad James</t>
  </si>
  <si>
    <t>Muhammed Baygul</t>
  </si>
  <si>
    <t>Jordan Taylor</t>
  </si>
  <si>
    <t>Leon Harun Apaydin</t>
  </si>
  <si>
    <t>Berk Ugurlu</t>
  </si>
  <si>
    <t>Yusuf Necip Secen</t>
  </si>
  <si>
    <t>Dusan Cantekin</t>
  </si>
  <si>
    <t>Melih Yildiz</t>
  </si>
  <si>
    <t>Gorkem Dogan</t>
  </si>
  <si>
    <t>Antywane Robinson</t>
  </si>
  <si>
    <t>Lazeric Jones</t>
  </si>
  <si>
    <t>Tufan Onen</t>
  </si>
  <si>
    <t>Adonis Thomas</t>
  </si>
  <si>
    <t>Gani Erdi Gulaslan</t>
  </si>
  <si>
    <t>Ugur Dokuyan</t>
  </si>
  <si>
    <t>Deniz Kilicli</t>
  </si>
  <si>
    <t>DaJuan Summers</t>
  </si>
  <si>
    <t>Murat Goktas</t>
  </si>
  <si>
    <t>Anton Odabasi</t>
  </si>
  <si>
    <t>Erkin Senel</t>
  </si>
  <si>
    <t>Erol Can Cinko</t>
  </si>
  <si>
    <t>Cady Lalanne</t>
  </si>
  <si>
    <t>Merthan Mutlu</t>
  </si>
  <si>
    <t>Ryan Toolson</t>
  </si>
  <si>
    <t>Egemen Guven</t>
  </si>
  <si>
    <t>Marko Banic</t>
  </si>
  <si>
    <t>Quinton Hosley</t>
  </si>
  <si>
    <t>Murat Kozan</t>
  </si>
  <si>
    <t>Can Altintig</t>
  </si>
  <si>
    <t>Sean Marshall</t>
  </si>
  <si>
    <t>Will Bynum</t>
  </si>
  <si>
    <t>Alp Karahan</t>
  </si>
  <si>
    <t>Orhan Haciyeva</t>
  </si>
  <si>
    <t>Caner Erdeniz</t>
  </si>
  <si>
    <t>Jure Balazic</t>
  </si>
  <si>
    <t>Ogulcan Baykan</t>
  </si>
  <si>
    <t>Ersin Dagli</t>
  </si>
  <si>
    <t>Will Cummings</t>
  </si>
  <si>
    <t>Yunus Sonsirma</t>
  </si>
  <si>
    <t>Rolands Freimanis</t>
  </si>
  <si>
    <t>Bora Hun Pacun</t>
  </si>
  <si>
    <t>Ivan Marinkovic</t>
  </si>
  <si>
    <t>Muhammet Senli</t>
  </si>
  <si>
    <t>Dogukan Sanli</t>
  </si>
  <si>
    <t>Burak Yildizli</t>
  </si>
  <si>
    <t>Byron Allen</t>
  </si>
  <si>
    <t>Ayberk Olmaz</t>
  </si>
  <si>
    <t>Tadija Dragicevic</t>
  </si>
  <si>
    <t>Brady Heslip</t>
  </si>
  <si>
    <t>Alper Saruhan</t>
  </si>
  <si>
    <t>Enes Taskiran</t>
  </si>
  <si>
    <t>Dominic Waters</t>
  </si>
  <si>
    <t>Safak Edge</t>
  </si>
  <si>
    <t>Burak Eslik</t>
  </si>
  <si>
    <t>Mert Cevik</t>
  </si>
  <si>
    <t>Italian Lega Basket Serie A 2017-18 BPM</t>
  </si>
  <si>
    <t>Tyler Cain</t>
  </si>
  <si>
    <t>VAR</t>
  </si>
  <si>
    <t>Thomas Scrubb</t>
  </si>
  <si>
    <t>AVE</t>
  </si>
  <si>
    <t>Kyrylo Fesenko</t>
  </si>
  <si>
    <t>Gediminas Orelik</t>
  </si>
  <si>
    <t>VEN</t>
  </si>
  <si>
    <t>Marcus Slaughter</t>
  </si>
  <si>
    <t>BOL</t>
  </si>
  <si>
    <t>Michael Bramos</t>
  </si>
  <si>
    <t>Maarty Leunen</t>
  </si>
  <si>
    <t>Achille Polonara</t>
  </si>
  <si>
    <t>SAS</t>
  </si>
  <si>
    <t>Siim-Sander Vene</t>
  </si>
  <si>
    <t>Brian Sacchetti</t>
  </si>
  <si>
    <t>BRE</t>
  </si>
  <si>
    <t>Julian Wright</t>
  </si>
  <si>
    <t>REG</t>
  </si>
  <si>
    <t>Darius Johnson-Odom</t>
  </si>
  <si>
    <t>CRE</t>
  </si>
  <si>
    <t>David Moss</t>
  </si>
  <si>
    <t>Trevor Mbakwe</t>
  </si>
  <si>
    <t>TOR</t>
  </si>
  <si>
    <t>Kelvin Martin</t>
  </si>
  <si>
    <t>Dominique Sutton</t>
  </si>
  <si>
    <t>TREN</t>
  </si>
  <si>
    <t>Ojars Silins</t>
  </si>
  <si>
    <t>Scott Bamforth</t>
  </si>
  <si>
    <t>Dustin Hogue</t>
  </si>
  <si>
    <t>Mitchell Watt</t>
  </si>
  <si>
    <t>Donta Smith</t>
  </si>
  <si>
    <t>NBB</t>
  </si>
  <si>
    <t>Aleksa Avramovic</t>
  </si>
  <si>
    <t>Andres Pablo Forray</t>
  </si>
  <si>
    <t>Michele Vitali</t>
  </si>
  <si>
    <t>Drake Diener</t>
  </si>
  <si>
    <t>Hrvoje Peric</t>
  </si>
  <si>
    <t>Bruno Cerella</t>
  </si>
  <si>
    <t>Rok Stipcevic</t>
  </si>
  <si>
    <t>Franko Bushati</t>
  </si>
  <si>
    <t>Randy Culpepper</t>
  </si>
  <si>
    <t>Shane Lawal</t>
  </si>
  <si>
    <t>Stan Okoye</t>
  </si>
  <si>
    <t>Deron Washington</t>
  </si>
  <si>
    <t>Dyshawn Pierre</t>
  </si>
  <si>
    <t>Lamar Patterson</t>
  </si>
  <si>
    <t>Norvel Pelle</t>
  </si>
  <si>
    <t>Dez Wells</t>
  </si>
  <si>
    <t>Tyrus McGee</t>
  </si>
  <si>
    <t>PIS</t>
  </si>
  <si>
    <t>James White</t>
  </si>
  <si>
    <t>ORL</t>
  </si>
  <si>
    <t>Andrea Zerini</t>
  </si>
  <si>
    <t>Travis Diener</t>
  </si>
  <si>
    <t>Benjamin Ortner</t>
  </si>
  <si>
    <t>Jeremy Chappell</t>
  </si>
  <si>
    <t>Pietro Aradori</t>
  </si>
  <si>
    <t>Lee Moore</t>
  </si>
  <si>
    <t>Dario Hunt</t>
  </si>
  <si>
    <t>Alessandro Gentile</t>
  </si>
  <si>
    <t>Shavon Shields</t>
  </si>
  <si>
    <t>Chinese CBA 2017-18 BPM</t>
  </si>
  <si>
    <t>Oliver Lafayette</t>
  </si>
  <si>
    <t>Gianluca Della Rosa</t>
  </si>
  <si>
    <t>Filippo Baldi</t>
  </si>
  <si>
    <t>Paul Biligha</t>
  </si>
  <si>
    <t>Riccardo Bolpin</t>
  </si>
  <si>
    <t>Jamaal Franklin</t>
  </si>
  <si>
    <t>SICH</t>
  </si>
  <si>
    <t>Shawn Jones</t>
  </si>
  <si>
    <t>Luca Vitali</t>
  </si>
  <si>
    <t>MarShon Brooks</t>
  </si>
  <si>
    <t>JIA</t>
  </si>
  <si>
    <t>Abdel Kadel Pierre Fall</t>
  </si>
  <si>
    <t>Michael Umeh</t>
  </si>
  <si>
    <t>Courtney Fortson</t>
  </si>
  <si>
    <t>ZGL</t>
  </si>
  <si>
    <t>Christian Burns</t>
  </si>
  <si>
    <t>Michele Ruzzier</t>
  </si>
  <si>
    <t>Russ Smith</t>
  </si>
  <si>
    <t>FUJ</t>
  </si>
  <si>
    <t>Giovanni Veronesi</t>
  </si>
  <si>
    <t>Ty Lawson</t>
  </si>
  <si>
    <t>SHA</t>
  </si>
  <si>
    <t>Manuchar Markoishvili</t>
  </si>
  <si>
    <t>Martino Mastellari</t>
  </si>
  <si>
    <t>Lester Hudson</t>
  </si>
  <si>
    <t>LIA</t>
  </si>
  <si>
    <t>Andrea Crosariol</t>
  </si>
  <si>
    <t>Darius Adams</t>
  </si>
  <si>
    <t>XIN</t>
  </si>
  <si>
    <t>Bruno Fitipaldo</t>
  </si>
  <si>
    <t>Aaron Jackson</t>
  </si>
  <si>
    <t>BSD</t>
  </si>
  <si>
    <t>Keith Haynes</t>
  </si>
  <si>
    <t>Jimmer Fredette</t>
  </si>
  <si>
    <t>SDS</t>
  </si>
  <si>
    <t>Michael Jenkins</t>
  </si>
  <si>
    <t>Jared Sullinger</t>
  </si>
  <si>
    <t>DON</t>
  </si>
  <si>
    <t>Kyle Fogg</t>
  </si>
  <si>
    <t>GFD</t>
  </si>
  <si>
    <t>Von Wafer</t>
  </si>
  <si>
    <t>JIL</t>
  </si>
  <si>
    <t>Lorenzo Bucarelli</t>
  </si>
  <si>
    <t>ZCB</t>
  </si>
  <si>
    <t>Simone Doneda</t>
  </si>
  <si>
    <t>Jonathan Gibson</t>
  </si>
  <si>
    <t>QIN</t>
  </si>
  <si>
    <t>Sasha Vujacic</t>
  </si>
  <si>
    <t>Pooh Jeter</t>
  </si>
  <si>
    <t>TIA</t>
  </si>
  <si>
    <t>Emmanuel Omogbo</t>
  </si>
  <si>
    <t>PES</t>
  </si>
  <si>
    <t>Jarnell Stokes</t>
  </si>
  <si>
    <t>Andrea Picarelli</t>
  </si>
  <si>
    <t>Donatas Motiejunas</t>
  </si>
  <si>
    <t>Dominique Jones</t>
  </si>
  <si>
    <t>TONG</t>
  </si>
  <si>
    <t>Matteo Parravicini</t>
  </si>
  <si>
    <t>Giordano Bortolani</t>
  </si>
  <si>
    <t>Justin Hamilton</t>
  </si>
  <si>
    <t>Chane Behanan</t>
  </si>
  <si>
    <t>James Mays</t>
  </si>
  <si>
    <t>Michele Esposito</t>
  </si>
  <si>
    <t>Brandon Jennings</t>
  </si>
  <si>
    <t>SZD</t>
  </si>
  <si>
    <t>Ezio Gallizzi</t>
  </si>
  <si>
    <t>Mikk Jurkatamm</t>
  </si>
  <si>
    <t>Mike Harris</t>
  </si>
  <si>
    <t>Hamed Haddadi</t>
  </si>
  <si>
    <t>Andrea Petracca</t>
  </si>
  <si>
    <t>Willie Warren</t>
  </si>
  <si>
    <t>Lorenzo Mittica</t>
  </si>
  <si>
    <t>Andrew Nicholson</t>
  </si>
  <si>
    <t>GST</t>
  </si>
  <si>
    <t>Lorenzo Querci</t>
  </si>
  <si>
    <t>Zaid Abbas</t>
  </si>
  <si>
    <t>BEIK</t>
  </si>
  <si>
    <t>Alessandro Morgillo</t>
  </si>
  <si>
    <t>Giorgio Galipo</t>
  </si>
  <si>
    <t>Luis Scola</t>
  </si>
  <si>
    <t>Luca Conti</t>
  </si>
  <si>
    <t>Rui Zhao</t>
  </si>
  <si>
    <t>Omar Seck</t>
  </si>
  <si>
    <t>J.J. Hickson</t>
  </si>
  <si>
    <t>Andrea Ancellotti</t>
  </si>
  <si>
    <t>Miroslav Raduljica</t>
  </si>
  <si>
    <t>Mattia Favaretto</t>
  </si>
  <si>
    <t>Shavlik Randolph</t>
  </si>
  <si>
    <t>Alessandro Cipolla</t>
  </si>
  <si>
    <t>Donald Sloan</t>
  </si>
  <si>
    <t>Klaudio Ndoja</t>
  </si>
  <si>
    <t>Jianlian Yi</t>
  </si>
  <si>
    <t>Marco Portannese</t>
  </si>
  <si>
    <t>Zhao Jiwei</t>
  </si>
  <si>
    <t>Simone Vecerina</t>
  </si>
  <si>
    <t>Tyler Hansbrough</t>
  </si>
  <si>
    <t>Samuele Giardini</t>
  </si>
  <si>
    <t>Emin Mavric</t>
  </si>
  <si>
    <t>Eli Holman</t>
  </si>
  <si>
    <t>Guy Akoua</t>
  </si>
  <si>
    <t>Zheng Liu</t>
  </si>
  <si>
    <t>Alessandro Pajola</t>
  </si>
  <si>
    <t>Junfei Ren</t>
  </si>
  <si>
    <t>Gabriele Crescenzi</t>
  </si>
  <si>
    <t>Ding Yanyuhang</t>
  </si>
  <si>
    <t>Betinho Gomes</t>
  </si>
  <si>
    <t>Dejun Han</t>
  </si>
  <si>
    <t>Pietro Bocconcelli</t>
  </si>
  <si>
    <t>Xiaochuan Di</t>
  </si>
  <si>
    <t>Marco Bergamaschi</t>
  </si>
  <si>
    <t>Jinqiu Hu</t>
  </si>
  <si>
    <t>Jason Rich</t>
  </si>
  <si>
    <t>Giacomo Devecchi</t>
  </si>
  <si>
    <t>Diante Garrett</t>
  </si>
  <si>
    <t>Stefano Tonut</t>
  </si>
  <si>
    <t>Brandon Bass</t>
  </si>
  <si>
    <t>Yannick Franke</t>
  </si>
  <si>
    <t>Yu Dehao</t>
  </si>
  <si>
    <t>Giancarlo Ferrero</t>
  </si>
  <si>
    <t>Andray Blatche</t>
  </si>
  <si>
    <t>Andrea Donda</t>
  </si>
  <si>
    <t>Yannis Bourousis</t>
  </si>
  <si>
    <t>Georgi Sirakov</t>
  </si>
  <si>
    <t>Tonglin Sun</t>
  </si>
  <si>
    <t>Valerii Likhodei</t>
  </si>
  <si>
    <t>Darius Morris</t>
  </si>
  <si>
    <t>Davide Parente</t>
  </si>
  <si>
    <t>Zhou Peng</t>
  </si>
  <si>
    <t>Guido Rosselli</t>
  </si>
  <si>
    <t>Lorenzo D'ercole</t>
  </si>
  <si>
    <t>Carl Landry</t>
  </si>
  <si>
    <t>Quinton Stephens</t>
  </si>
  <si>
    <t>Qian Wu</t>
  </si>
  <si>
    <t>Hamady Ndiaye</t>
  </si>
  <si>
    <t>Giulio Gazzotti</t>
  </si>
  <si>
    <t>YanXi Zhu</t>
  </si>
  <si>
    <t>Salvatore Parrillo</t>
  </si>
  <si>
    <t>Max Zhang</t>
  </si>
  <si>
    <t>Maciej Lampe</t>
  </si>
  <si>
    <t>Tomas Ress</t>
  </si>
  <si>
    <t>Luca Pappalardo</t>
  </si>
  <si>
    <t>Sui Ran</t>
  </si>
  <si>
    <t>Andrea De Nicolao</t>
  </si>
  <si>
    <t>Semaj Christon</t>
  </si>
  <si>
    <t>Marques Green</t>
  </si>
  <si>
    <t>Sani Sakakini</t>
  </si>
  <si>
    <t>Jonathan Tavernari</t>
  </si>
  <si>
    <t>Chunjun Zhang</t>
  </si>
  <si>
    <t>Ariel Filloy</t>
  </si>
  <si>
    <t>Antonio Sabatino</t>
  </si>
  <si>
    <t>Muhao Li</t>
  </si>
  <si>
    <t>Salvatore Parlato</t>
  </si>
  <si>
    <t>Hongfei Shi</t>
  </si>
  <si>
    <t>Rihards Kuksiks</t>
  </si>
  <si>
    <t>Xiaohui Wang</t>
  </si>
  <si>
    <t>Daniele Magro</t>
  </si>
  <si>
    <t>Zhi Xuan Liu</t>
  </si>
  <si>
    <t>Ailun Guo</t>
  </si>
  <si>
    <t>Arturs Strautins</t>
  </si>
  <si>
    <t>Anton J. Gaddefors</t>
  </si>
  <si>
    <t>TaiLong Zhao</t>
  </si>
  <si>
    <t>Maurizio Tassone</t>
  </si>
  <si>
    <t>Lithuanian LKL 2017-18 BPM</t>
  </si>
  <si>
    <t>Tyler Larson</t>
  </si>
  <si>
    <t>Lingxu Zeng</t>
  </si>
  <si>
    <t>Diego Flaccadori</t>
  </si>
  <si>
    <t>Sun Minghui</t>
  </si>
  <si>
    <t>Daniel Donzelli</t>
  </si>
  <si>
    <t>Jaime Smith</t>
  </si>
  <si>
    <t>Stephon Marbury</t>
  </si>
  <si>
    <t>Michael Qualls</t>
  </si>
  <si>
    <t>Rokas Giedraitis</t>
  </si>
  <si>
    <t>LIE</t>
  </si>
  <si>
    <t>Ronald Moore</t>
  </si>
  <si>
    <t>Kai Guo</t>
  </si>
  <si>
    <t>Arnas Butkevicius</t>
  </si>
  <si>
    <t>NEP</t>
  </si>
  <si>
    <t>Zhelin Wang</t>
  </si>
  <si>
    <t>Ying-Chun Chen</t>
  </si>
  <si>
    <t>Eric Mika</t>
  </si>
  <si>
    <t>Luca Lechthaler</t>
  </si>
  <si>
    <t>Chin-Min Yang</t>
  </si>
  <si>
    <t>Lin Chih-Chieh</t>
  </si>
  <si>
    <t>Brian Randle</t>
  </si>
  <si>
    <t>Marcus Landry</t>
  </si>
  <si>
    <t>Tyrese Rice</t>
  </si>
  <si>
    <t>Martynas Echodas</t>
  </si>
  <si>
    <t>Marco Spissu</t>
  </si>
  <si>
    <t>Terrence Jones</t>
  </si>
  <si>
    <t>Arturas Jomantas</t>
  </si>
  <si>
    <t>Quan Gu</t>
  </si>
  <si>
    <t>HanLin Tao</t>
  </si>
  <si>
    <t>Dejan Ivanov</t>
  </si>
  <si>
    <t>Guo Xu</t>
  </si>
  <si>
    <t>Edgaras Zelionis</t>
  </si>
  <si>
    <t>Leonardo Candi</t>
  </si>
  <si>
    <t>Jianhua Song</t>
  </si>
  <si>
    <t>Travis Peterson</t>
  </si>
  <si>
    <t>Jamon Lucas</t>
  </si>
  <si>
    <t>Amedeo Della Valle</t>
  </si>
  <si>
    <t>Wang Tong</t>
  </si>
  <si>
    <t>Tommaso Laquintana</t>
  </si>
  <si>
    <t>Youwei Zhang</t>
  </si>
  <si>
    <t>Stefano Gentile</t>
  </si>
  <si>
    <t>Mindaugas Lukauskis</t>
  </si>
  <si>
    <t>Mohamed Toure</t>
  </si>
  <si>
    <t>Wael Arakji</t>
  </si>
  <si>
    <t>Dallas Moore</t>
  </si>
  <si>
    <t>Taylor Braun</t>
  </si>
  <si>
    <t>Quanxi Wu</t>
  </si>
  <si>
    <t>Niccolo De Vico</t>
  </si>
  <si>
    <t>Tomas Delininkaitis</t>
  </si>
  <si>
    <t>Cameron Wells</t>
  </si>
  <si>
    <t>Duncan Reid</t>
  </si>
  <si>
    <t>Jorge Gutierrez</t>
  </si>
  <si>
    <t>Mindaugas Girdziunas</t>
  </si>
  <si>
    <t>Scott Suggs</t>
  </si>
  <si>
    <t>Bi Pengfei</t>
  </si>
  <si>
    <t>Charles Thomas</t>
  </si>
  <si>
    <t>Chris Kramer</t>
  </si>
  <si>
    <t>TEC</t>
  </si>
  <si>
    <t>Zhang Hao</t>
  </si>
  <si>
    <t>Tomas Dimsa</t>
  </si>
  <si>
    <t>Blaz Mesicek</t>
  </si>
  <si>
    <t>Laurynas Birutis</t>
  </si>
  <si>
    <t>SIA</t>
  </si>
  <si>
    <t>William Hatcher</t>
  </si>
  <si>
    <t>Vyacheslav Bobrov</t>
  </si>
  <si>
    <t>PZV</t>
  </si>
  <si>
    <t>Jiao Haolong</t>
  </si>
  <si>
    <t>Andre Jones</t>
  </si>
  <si>
    <t>Guo Xiaopeng</t>
  </si>
  <si>
    <t>Arminas Urbutis</t>
  </si>
  <si>
    <t>Luca Campani</t>
  </si>
  <si>
    <t>Jamil Wilson</t>
  </si>
  <si>
    <t>Renaldas Seibutis</t>
  </si>
  <si>
    <t>Fengbo Liu</t>
  </si>
  <si>
    <t>Milenko Tepic</t>
  </si>
  <si>
    <t>Donatas Tarolis</t>
  </si>
  <si>
    <t>Federico Onuoha</t>
  </si>
  <si>
    <t>Patrik Auda</t>
  </si>
  <si>
    <t>Biao Qiu</t>
  </si>
  <si>
    <t>Giacomo Maspero</t>
  </si>
  <si>
    <t>Zanis Peiners</t>
  </si>
  <si>
    <t>Marco Cardillo</t>
  </si>
  <si>
    <t>Jimmy Baron</t>
  </si>
  <si>
    <t>Ban Duo</t>
  </si>
  <si>
    <t>Riccardo Cervi</t>
  </si>
  <si>
    <t>Junlin Wang</t>
  </si>
  <si>
    <t>BFT</t>
  </si>
  <si>
    <t>Dovis Bickauskis</t>
  </si>
  <si>
    <t>JUV</t>
  </si>
  <si>
    <t>Vojislav Stojanovic</t>
  </si>
  <si>
    <t>Simas Jasaitis</t>
  </si>
  <si>
    <t>Garrett Nevels</t>
  </si>
  <si>
    <t>Huang Ziheng</t>
  </si>
  <si>
    <t>Loukas Mavrokefalidis</t>
  </si>
  <si>
    <t>Damian Hollis</t>
  </si>
  <si>
    <t>Jakub Wojciechowski</t>
  </si>
  <si>
    <t>Darius Lavrinovic</t>
  </si>
  <si>
    <t>Pu Wang</t>
  </si>
  <si>
    <t>Cesare Barbon</t>
  </si>
  <si>
    <t>Nicola Natali</t>
  </si>
  <si>
    <t>Anthony Ireland</t>
  </si>
  <si>
    <t>Shi Jun</t>
  </si>
  <si>
    <t>Raphael Gaspardo</t>
  </si>
  <si>
    <t>Ksystof Lavrinovic</t>
  </si>
  <si>
    <t>Andrea Traini</t>
  </si>
  <si>
    <t>Hongrui Duan</t>
  </si>
  <si>
    <t>Laimis Kisielius</t>
  </si>
  <si>
    <t>Valerio Mazzola</t>
  </si>
  <si>
    <t>Federico Bonacini</t>
  </si>
  <si>
    <t>Simas Galdikas</t>
  </si>
  <si>
    <t>Marcus Thornton</t>
  </si>
  <si>
    <t>Matteo Lagana</t>
  </si>
  <si>
    <t>Vaidas Cepukaitis</t>
  </si>
  <si>
    <t>YuBo Xia</t>
  </si>
  <si>
    <t>Vytas Sulskis</t>
  </si>
  <si>
    <t>Antonio Iannuzzi</t>
  </si>
  <si>
    <t>Nikita Balashov</t>
  </si>
  <si>
    <t>Davide Raucci</t>
  </si>
  <si>
    <t>Zhuo Zhang</t>
  </si>
  <si>
    <t>Giuseppe Poeta</t>
  </si>
  <si>
    <t>LaRon Dendy</t>
  </si>
  <si>
    <t>David Cournooh</t>
  </si>
  <si>
    <t>Trevon Hughes</t>
  </si>
  <si>
    <t>Chris Wright</t>
  </si>
  <si>
    <t>Liu Bo</t>
  </si>
  <si>
    <t>Egidijus Mockevicius</t>
  </si>
  <si>
    <t>Michele Serpilli</t>
  </si>
  <si>
    <t>Eigirdas Zukauskas</t>
  </si>
  <si>
    <t>PRI</t>
  </si>
  <si>
    <t>Tay Waller</t>
  </si>
  <si>
    <t>ZhongMian He</t>
  </si>
  <si>
    <t>Darko Planinic</t>
  </si>
  <si>
    <t>Nick Zeisloft</t>
  </si>
  <si>
    <t>Liang Cai</t>
  </si>
  <si>
    <t>DZU</t>
  </si>
  <si>
    <t>Kenny Lawson, Jr.</t>
  </si>
  <si>
    <t>Arinze Onuaku</t>
  </si>
  <si>
    <t>Nick Faust</t>
  </si>
  <si>
    <t>Fabio Mian</t>
  </si>
  <si>
    <t>Rokas Jokubaitis</t>
  </si>
  <si>
    <t>Landon Milbourne</t>
  </si>
  <si>
    <t>Honghan Li</t>
  </si>
  <si>
    <t>Giampaolo Ricci</t>
  </si>
  <si>
    <t>Aidas Einikis</t>
  </si>
  <si>
    <t>Marco Giuri</t>
  </si>
  <si>
    <t>KED</t>
  </si>
  <si>
    <t>Gen Li</t>
  </si>
  <si>
    <t>Pablo Bertone</t>
  </si>
  <si>
    <t>Ben Madgen</t>
  </si>
  <si>
    <t>Henry Sims</t>
  </si>
  <si>
    <t>Karolis Lukosiunas</t>
  </si>
  <si>
    <t>Justin Knox</t>
  </si>
  <si>
    <t>Samad Nik Bahrami</t>
  </si>
  <si>
    <t>Federico Mussini</t>
  </si>
  <si>
    <t>Gabas Maldunas</t>
  </si>
  <si>
    <t>Matteo Tambone</t>
  </si>
  <si>
    <t>Lei Wang</t>
  </si>
  <si>
    <t>Engin Atsur</t>
  </si>
  <si>
    <t>Kenny Gaines</t>
  </si>
  <si>
    <t>Mario Little</t>
  </si>
  <si>
    <t>Ruoyu Su</t>
  </si>
  <si>
    <t>Damon Lynn</t>
  </si>
  <si>
    <t>David Okeke</t>
  </si>
  <si>
    <t>Duda Sanadze</t>
  </si>
  <si>
    <t>Gintautas Matulis</t>
  </si>
  <si>
    <t>Denis Ikovlev</t>
  </si>
  <si>
    <t>Zhang Yixing</t>
  </si>
  <si>
    <t>Jaylen Bond</t>
  </si>
  <si>
    <t>Ryan Harrow</t>
  </si>
  <si>
    <t>Yakhouba Diawara</t>
  </si>
  <si>
    <t>Antanas Bertasus</t>
  </si>
  <si>
    <t>Haoyang Jing</t>
  </si>
  <si>
    <t>Vander Blue</t>
  </si>
  <si>
    <t>Mirza Alibegovic</t>
  </si>
  <si>
    <t>Li Yi</t>
  </si>
  <si>
    <t>Mindaungas Kupsas</t>
  </si>
  <si>
    <t>Arnoldas Kulboka</t>
  </si>
  <si>
    <t>Tomas Rimsa</t>
  </si>
  <si>
    <t>Mario Delas</t>
  </si>
  <si>
    <t>Lu Wenbo</t>
  </si>
  <si>
    <t>Jerry Johnson</t>
  </si>
  <si>
    <t>Diego Monaldi</t>
  </si>
  <si>
    <t>Obinna Oleka</t>
  </si>
  <si>
    <t>Ugnius Nikitinas</t>
  </si>
  <si>
    <t>Pan Ning</t>
  </si>
  <si>
    <t>Mario Ihring</t>
  </si>
  <si>
    <t>Marco Ceron</t>
  </si>
  <si>
    <t>Eric Maynor</t>
  </si>
  <si>
    <t>Martynas Linkevicius</t>
  </si>
  <si>
    <t>Shuo Fang</t>
  </si>
  <si>
    <t>Deividas Sirvydis</t>
  </si>
  <si>
    <t>Lester Medford</t>
  </si>
  <si>
    <t>Lei Meng</t>
  </si>
  <si>
    <t>Giedrius Stankevicius</t>
  </si>
  <si>
    <t>Lin Chang</t>
  </si>
  <si>
    <t>Sean Hill</t>
  </si>
  <si>
    <t>Jonte Flowers</t>
  </si>
  <si>
    <t>Hou Xingyu</t>
  </si>
  <si>
    <t>Kristupas Zemaitis</t>
  </si>
  <si>
    <t>Dainius Salenga</t>
  </si>
  <si>
    <t>Xiaoxu Li</t>
  </si>
  <si>
    <t>Mantvydas Zukauskas</t>
  </si>
  <si>
    <t>T.J. Carter</t>
  </si>
  <si>
    <t>Vytautas Sarakauskas</t>
  </si>
  <si>
    <t>Tian-ju He</t>
  </si>
  <si>
    <t>Alexander Zakharov</t>
  </si>
  <si>
    <t>Maksym Kornienko</t>
  </si>
  <si>
    <t>Wang Rui</t>
  </si>
  <si>
    <t>James Woodard</t>
  </si>
  <si>
    <t>Tomas Pacesas</t>
  </si>
  <si>
    <t>Dayu Zhang</t>
  </si>
  <si>
    <t>Arunas Mikalauskas</t>
  </si>
  <si>
    <t>JinLin Guo</t>
  </si>
  <si>
    <t>Giedrius Staniulis</t>
  </si>
  <si>
    <t>Dziugas Slavinskas</t>
  </si>
  <si>
    <t>Xuhong Zhao</t>
  </si>
  <si>
    <t>Dominykas Domarkas</t>
  </si>
  <si>
    <t>Yang Jinmeng</t>
  </si>
  <si>
    <t>Arnas Velicka</t>
  </si>
  <si>
    <t>Martynas Pocevicius</t>
  </si>
  <si>
    <t>Zhandong Zhou</t>
  </si>
  <si>
    <t>Changdong Yu</t>
  </si>
  <si>
    <t>Mindaugas Susinskas</t>
  </si>
  <si>
    <t>Zhe Sun</t>
  </si>
  <si>
    <t>Laurynas Beliauskas</t>
  </si>
  <si>
    <t>Sun Chunpeng</t>
  </si>
  <si>
    <t>Edvinas Seskus</t>
  </si>
  <si>
    <t>Tautvydas Paliukenas</t>
  </si>
  <si>
    <t>Hanlin Dong</t>
  </si>
  <si>
    <t>Kelanbaike Makan</t>
  </si>
  <si>
    <t>Donatas Sabeckis</t>
  </si>
  <si>
    <t>Cheng Zhong</t>
  </si>
  <si>
    <t>Troy Taylor</t>
  </si>
  <si>
    <t>Nick Minnerath</t>
  </si>
  <si>
    <t>Egor Gontarev</t>
  </si>
  <si>
    <t>Caibao Zhang</t>
  </si>
  <si>
    <t>Arvydas Siksnius</t>
  </si>
  <si>
    <t>Lei Guo</t>
  </si>
  <si>
    <t>Egidijus Dimsa</t>
  </si>
  <si>
    <t>Lorenzo Williams</t>
  </si>
  <si>
    <t>Zhou Zhao</t>
  </si>
  <si>
    <t>Paulius Petrilevicius</t>
  </si>
  <si>
    <t>Yinglun Shao</t>
  </si>
  <si>
    <t>Laimonas Chatkevicius</t>
  </si>
  <si>
    <t>Bartas Aleksandravicius</t>
  </si>
  <si>
    <t>Brandon Fields</t>
  </si>
  <si>
    <t>Cheng Jia</t>
  </si>
  <si>
    <t>Roberts Stumbris</t>
  </si>
  <si>
    <t>Alexey Zhukanenko</t>
  </si>
  <si>
    <t>Tal Co</t>
  </si>
  <si>
    <t>Tadas Klimavicius</t>
  </si>
  <si>
    <t>Jameel McKay</t>
  </si>
  <si>
    <t>Justas Sinica</t>
  </si>
  <si>
    <t>Duo Meng</t>
  </si>
  <si>
    <t>Julius Kazakauskas</t>
  </si>
  <si>
    <t>Karlis Apsitis</t>
  </si>
  <si>
    <t>Zhang Kai</t>
  </si>
  <si>
    <t>Zhi Luo</t>
  </si>
  <si>
    <t>Gediminas Zalalis</t>
  </si>
  <si>
    <t>Lukas Aukstikalnis</t>
  </si>
  <si>
    <t>Minchen Chong</t>
  </si>
  <si>
    <t>Povilas Cukinas</t>
  </si>
  <si>
    <t>Charles Callison</t>
  </si>
  <si>
    <t>Jie Zhao</t>
  </si>
  <si>
    <t>LaMelo Ball</t>
  </si>
  <si>
    <t>Gintaras Leonavicius</t>
  </si>
  <si>
    <t>Yibo Wang</t>
  </si>
  <si>
    <t>Margiris Normantas</t>
  </si>
  <si>
    <t>Lis Shoshi</t>
  </si>
  <si>
    <t>Hanchen Luo</t>
  </si>
  <si>
    <t>Andrejs Selakovs</t>
  </si>
  <si>
    <t>Xinkai Wang</t>
  </si>
  <si>
    <t>Alex Hernandez</t>
  </si>
  <si>
    <t>Chen Linjian</t>
  </si>
  <si>
    <t>Evaldas Saulys</t>
  </si>
  <si>
    <t>Mindaugas Kacinas</t>
  </si>
  <si>
    <t>Zhenduo Leng</t>
  </si>
  <si>
    <t>Sarunas Valunta</t>
  </si>
  <si>
    <t>Songtao Zhang</t>
  </si>
  <si>
    <t>Kervin Bristol</t>
  </si>
  <si>
    <t>Jabari Brown</t>
  </si>
  <si>
    <t>Brad Tinsley</t>
  </si>
  <si>
    <t>Azat Aersilan</t>
  </si>
  <si>
    <t>Matas Jucikas</t>
  </si>
  <si>
    <t>Denys Lukashov</t>
  </si>
  <si>
    <t>Yuezhuo Gu</t>
  </si>
  <si>
    <t>Regimantas Miniotas</t>
  </si>
  <si>
    <t>Haoran Ding</t>
  </si>
  <si>
    <t>Rytis Juknevicius</t>
  </si>
  <si>
    <t>Karolis Guscikas</t>
  </si>
  <si>
    <t>Li Keqi</t>
  </si>
  <si>
    <t>Carl Lindbom</t>
  </si>
  <si>
    <t>Xudong Luo</t>
  </si>
  <si>
    <t>Malcolm Grant</t>
  </si>
  <si>
    <t>Hongbo Liu</t>
  </si>
  <si>
    <t>Ignas Fiodorovas</t>
  </si>
  <si>
    <t>Xiang Tianyu</t>
  </si>
  <si>
    <t>Anatoly Kashirov</t>
  </si>
  <si>
    <t>Steponas Babrauskas</t>
  </si>
  <si>
    <t>Zhu Rongzhen</t>
  </si>
  <si>
    <t>Rytis Pipiras</t>
  </si>
  <si>
    <t>Yuanyu Li</t>
  </si>
  <si>
    <t>Arturs Ausejs</t>
  </si>
  <si>
    <t>Hang Zhao</t>
  </si>
  <si>
    <t>LiAngelo Ball</t>
  </si>
  <si>
    <t>Laurynas Samenas</t>
  </si>
  <si>
    <t>Zijie Shen</t>
  </si>
  <si>
    <t>Simas Buterlevicius</t>
  </si>
  <si>
    <t>Derrick Williams</t>
  </si>
  <si>
    <t>Paulius Danisevicius</t>
  </si>
  <si>
    <t>Zygimantas Skucas</t>
  </si>
  <si>
    <t>Shawn Long</t>
  </si>
  <si>
    <t>Vaidotas Volkus</t>
  </si>
  <si>
    <t>Gediminas Navickas</t>
  </si>
  <si>
    <t>Fanri Zeng</t>
  </si>
  <si>
    <t>Tomas Lekunas</t>
  </si>
  <si>
    <t>Taruike Jianiyou</t>
  </si>
  <si>
    <t>Justas Tamulis</t>
  </si>
  <si>
    <t>Jonas Zakas</t>
  </si>
  <si>
    <t>Fei Cao</t>
  </si>
  <si>
    <t>Ignas Vaitkus</t>
  </si>
  <si>
    <t>Zhun Zheng</t>
  </si>
  <si>
    <t>Akeem Wright</t>
  </si>
  <si>
    <t>Qingpeng Zhang</t>
  </si>
  <si>
    <t>Mauro Veljacic</t>
  </si>
  <si>
    <t>Wen-Ting Tseng</t>
  </si>
  <si>
    <t>Vladislav Korenyuk</t>
  </si>
  <si>
    <t>Sarunas Beniusis</t>
  </si>
  <si>
    <t>Guo Yifei</t>
  </si>
  <si>
    <t>Dom Samac</t>
  </si>
  <si>
    <t>Dino Pita</t>
  </si>
  <si>
    <t>Ruheng Wang</t>
  </si>
  <si>
    <t>Rashaun Broadus</t>
  </si>
  <si>
    <t>Jinglong Li</t>
  </si>
  <si>
    <t>Paulius Ivanauskas</t>
  </si>
  <si>
    <t>Martynas Varnas</t>
  </si>
  <si>
    <t>Lehei De</t>
  </si>
  <si>
    <t>Tomas Galeckas</t>
  </si>
  <si>
    <t>Tang Zihao</t>
  </si>
  <si>
    <t>Gediminas Maceina</t>
  </si>
  <si>
    <t>Junwei Ren</t>
  </si>
  <si>
    <t>Yu Liang</t>
  </si>
  <si>
    <t>Lai Junhao</t>
  </si>
  <si>
    <t>Ike Diogu</t>
  </si>
  <si>
    <t>Hong Wang</t>
  </si>
  <si>
    <t>Shang Gao</t>
  </si>
  <si>
    <t>Qixin Zhou</t>
  </si>
  <si>
    <t>Yongpeng Zhang</t>
  </si>
  <si>
    <t>Su Wei</t>
  </si>
  <si>
    <t>Caiyu Tang</t>
  </si>
  <si>
    <t>Mengjun Xu</t>
  </si>
  <si>
    <t>Mingxuan Hu</t>
  </si>
  <si>
    <t>Yahui Liu</t>
  </si>
  <si>
    <t>KangMing Song</t>
  </si>
  <si>
    <t>Liu Guangcen</t>
  </si>
  <si>
    <t>Yuchen Shi</t>
  </si>
  <si>
    <t>Shuaipeng Cheng</t>
  </si>
  <si>
    <t>Zhang Zuming</t>
  </si>
  <si>
    <t>Long-Mao Hu</t>
  </si>
  <si>
    <t>Shunan Liu</t>
  </si>
  <si>
    <t>Zhijiang Xing</t>
  </si>
  <si>
    <t>Yacai Xie</t>
  </si>
  <si>
    <t>Shuai Yuan</t>
  </si>
  <si>
    <t>Yang Linyi</t>
  </si>
  <si>
    <t>Qing-Ming Wang</t>
  </si>
  <si>
    <t>Abudurexiti Abudushalamu</t>
  </si>
  <si>
    <t>Da Meng</t>
  </si>
  <si>
    <t>Liu Hang</t>
  </si>
  <si>
    <t>Zhang Fan</t>
  </si>
  <si>
    <t>Tian Lei</t>
  </si>
  <si>
    <t>Pengfei Yan</t>
  </si>
  <si>
    <t>Zhang Hui</t>
  </si>
  <si>
    <t>Qiao Wenhan</t>
  </si>
  <si>
    <t>Ming Yang</t>
  </si>
  <si>
    <t>Mingxin Ju</t>
  </si>
  <si>
    <t>ZhongHao Xu</t>
  </si>
  <si>
    <t>Tianyi Hou</t>
  </si>
  <si>
    <t>Ke Wu</t>
  </si>
  <si>
    <t>Lu Yiwen</t>
  </si>
  <si>
    <t>He Zhongda</t>
  </si>
  <si>
    <t>Wei Lu</t>
  </si>
  <si>
    <t>Cairen Zhang</t>
  </si>
  <si>
    <t>Peng Ju</t>
  </si>
  <si>
    <t>Kai Jiang</t>
  </si>
  <si>
    <t>Liu Zeyi</t>
  </si>
  <si>
    <t>Tian Guisen</t>
  </si>
  <si>
    <t>HanJun Chang</t>
  </si>
  <si>
    <t>ShiYan Gao</t>
  </si>
  <si>
    <t>Li Bin</t>
  </si>
  <si>
    <t>GengLin Yang</t>
  </si>
  <si>
    <t>Jingyu Li</t>
  </si>
  <si>
    <t>Chenhao Diao</t>
  </si>
  <si>
    <t>Yifan Hou</t>
  </si>
  <si>
    <t>Zhai Yi</t>
  </si>
  <si>
    <t>Jianghuai Li</t>
  </si>
  <si>
    <t>Li Yang</t>
  </si>
  <si>
    <t>Zhengdong Tang</t>
  </si>
  <si>
    <t>Wang Xu</t>
  </si>
  <si>
    <t>Zhang Zelong</t>
  </si>
  <si>
    <t>Li Rongpei</t>
  </si>
  <si>
    <t>Jin Xin</t>
  </si>
  <si>
    <t>Feng Xin</t>
  </si>
  <si>
    <t>Zong Zan</t>
  </si>
  <si>
    <t>Xining He</t>
  </si>
  <si>
    <t>Zheng Wang</t>
  </si>
  <si>
    <t>Hsueh-Lin Lee</t>
  </si>
  <si>
    <t>Yang Yue</t>
  </si>
  <si>
    <t>Hegi Teng</t>
  </si>
  <si>
    <t>Wang Zhengbo</t>
  </si>
  <si>
    <t>Lingyuan Meng</t>
  </si>
  <si>
    <t>Wei Meng</t>
  </si>
  <si>
    <t>ChangChun Yu</t>
  </si>
  <si>
    <t>Yichao Huang</t>
  </si>
  <si>
    <t>Chengyu Zhang</t>
  </si>
  <si>
    <t>Jinming Cui</t>
  </si>
  <si>
    <t>Ziming Fan</t>
  </si>
  <si>
    <t>Bai Haotian</t>
  </si>
  <si>
    <t>XueWen Zhang</t>
  </si>
  <si>
    <t>Ji Zhe</t>
  </si>
  <si>
    <t>Lilong Cai</t>
  </si>
  <si>
    <t>Tianyi Yao</t>
  </si>
  <si>
    <t>Tianyi Zhao</t>
  </si>
  <si>
    <t>Yasong Chang</t>
  </si>
  <si>
    <t>Yu Shulong</t>
  </si>
  <si>
    <t>Lei Xu</t>
  </si>
  <si>
    <t>Tian Jiafu</t>
  </si>
  <si>
    <t>Zirui Wang</t>
  </si>
  <si>
    <t>XiaoDong Chen</t>
  </si>
  <si>
    <t>Cai Chen</t>
  </si>
  <si>
    <t>Zhihan Zhang</t>
  </si>
  <si>
    <t>Huaibo Dai</t>
  </si>
  <si>
    <t>JiangPeng Duan</t>
  </si>
  <si>
    <t>Biao Zhang</t>
  </si>
  <si>
    <t>Heng Yifeng</t>
  </si>
  <si>
    <t>Kai Yang</t>
  </si>
  <si>
    <t>JiaHan Xu</t>
  </si>
  <si>
    <t>VTB United League 2017-18 BPM</t>
  </si>
  <si>
    <t>Lei Fu</t>
  </si>
  <si>
    <t>Chen Chen</t>
  </si>
  <si>
    <t>Ming Lian</t>
  </si>
  <si>
    <t>Tursun Mardan</t>
  </si>
  <si>
    <t>Ryan Broekhoff</t>
  </si>
  <si>
    <t>LOK</t>
  </si>
  <si>
    <t>Deshaui Shi</t>
  </si>
  <si>
    <t>Ye Tian</t>
  </si>
  <si>
    <t>Gang Yu</t>
  </si>
  <si>
    <t>Luo Kaiwen</t>
  </si>
  <si>
    <t>Hao Fu</t>
  </si>
  <si>
    <t>XueSong Li</t>
  </si>
  <si>
    <t>Trent Lockett</t>
  </si>
  <si>
    <t>XiaoYu Liu</t>
  </si>
  <si>
    <t>Jie Sun</t>
  </si>
  <si>
    <t>Maurice Ndour</t>
  </si>
  <si>
    <t>Yan Cao</t>
  </si>
  <si>
    <t>Zhennian Zuo</t>
  </si>
  <si>
    <t>Joe Ragland</t>
  </si>
  <si>
    <t>Ning Hongyu</t>
  </si>
  <si>
    <t>Ang Lee</t>
  </si>
  <si>
    <t>Xuhang Zhu</t>
  </si>
  <si>
    <t>Li Tiange</t>
  </si>
  <si>
    <t>Jamar Smith</t>
  </si>
  <si>
    <t>Lei Chen</t>
  </si>
  <si>
    <t>Chou Yi-Hsiang</t>
  </si>
  <si>
    <t>Vladislav Trushkin</t>
  </si>
  <si>
    <t>ChangYi Chai</t>
  </si>
  <si>
    <t>Evgeny Kolesnikov</t>
  </si>
  <si>
    <t>XiangLong Meng</t>
  </si>
  <si>
    <t>David Kravish</t>
  </si>
  <si>
    <t>MIN</t>
  </si>
  <si>
    <t>Dmitriy Khvostov</t>
  </si>
  <si>
    <t>Xu Yufeng</t>
  </si>
  <si>
    <t>Mingyang Sun</t>
  </si>
  <si>
    <t>Evgeny Valiev</t>
  </si>
  <si>
    <t>ZEN</t>
  </si>
  <si>
    <t>Nan Wu</t>
  </si>
  <si>
    <t>Vladimir Ivlev</t>
  </si>
  <si>
    <t>Chen Yu</t>
  </si>
  <si>
    <t>Huang Rongqi</t>
  </si>
  <si>
    <t>Coty Clarke</t>
  </si>
  <si>
    <t>AVT</t>
  </si>
  <si>
    <t>Bolin Han</t>
  </si>
  <si>
    <t>Tianyi Liu</t>
  </si>
  <si>
    <t>Frank Elegar</t>
  </si>
  <si>
    <t>Wei Liu</t>
  </si>
  <si>
    <t>Stephane Lasme</t>
  </si>
  <si>
    <t>Yi Shi</t>
  </si>
  <si>
    <t>Mardy Collins</t>
  </si>
  <si>
    <t>Vladimir Veremeenko</t>
  </si>
  <si>
    <t>NIZ</t>
  </si>
  <si>
    <t>Pavel Antipov</t>
  </si>
  <si>
    <t>Evgeny Baburin</t>
  </si>
  <si>
    <t>Melvin Ejim</t>
  </si>
  <si>
    <t>Dmitry Kulagin</t>
  </si>
  <si>
    <t>Chris Babb</t>
  </si>
  <si>
    <t>Justin Carter</t>
  </si>
  <si>
    <t>AST</t>
  </si>
  <si>
    <t>Branden Frazier</t>
  </si>
  <si>
    <t>Codi Miller-McIntyre</t>
  </si>
  <si>
    <t>PARM</t>
  </si>
  <si>
    <t>Drew Gordon</t>
  </si>
  <si>
    <t>Anthony Clemmons</t>
  </si>
  <si>
    <t>Kyle Kuric</t>
  </si>
  <si>
    <t>Eurocup 2017-18 BPM</t>
  </si>
  <si>
    <t>Quim Colom</t>
  </si>
  <si>
    <t>Trevor Lacey</t>
  </si>
  <si>
    <t>Maxim Sheleketo</t>
  </si>
  <si>
    <t>Tre McLean</t>
  </si>
  <si>
    <t>Alexander Perez Kaufmann</t>
  </si>
  <si>
    <t>RIG</t>
  </si>
  <si>
    <t>Shayne Whittington</t>
  </si>
  <si>
    <t>Suleiman Braimoh</t>
  </si>
  <si>
    <t>ENI</t>
  </si>
  <si>
    <t>Stanislav Ilnitskiy</t>
  </si>
  <si>
    <t>Ken Brown</t>
  </si>
  <si>
    <t>Mareks Mejeris</t>
  </si>
  <si>
    <t>Ivan Lazarev</t>
  </si>
  <si>
    <t>Kostas Kaimakoglou</t>
  </si>
  <si>
    <t>Andrei Desiatnikov</t>
  </si>
  <si>
    <t>Brian Qvale</t>
  </si>
  <si>
    <t>Ian Hummer</t>
  </si>
  <si>
    <t>Stevan Jelovac</t>
  </si>
  <si>
    <t>Justin Robinson</t>
  </si>
  <si>
    <t>Kaspars Berzins</t>
  </si>
  <si>
    <t>Pavel Sergeev</t>
  </si>
  <si>
    <t>Demonte Harper</t>
  </si>
  <si>
    <t>Andrei Koscheev</t>
  </si>
  <si>
    <t>Alexander Petenev</t>
  </si>
  <si>
    <t>Ruslan Pateev</t>
  </si>
  <si>
    <t>Nikita Barinov</t>
  </si>
  <si>
    <t>Sergei Tkachenko</t>
  </si>
  <si>
    <t>Ike Udanoh</t>
  </si>
  <si>
    <t>Madis Soodla</t>
  </si>
  <si>
    <t>KCT</t>
  </si>
  <si>
    <t>Maxim Proshchenko</t>
  </si>
  <si>
    <t>Sergey Rozhkov</t>
  </si>
  <si>
    <t>Gleb Sheiko</t>
  </si>
  <si>
    <t>Dimitri Uzinskiy</t>
  </si>
  <si>
    <t>Sergey Karasev</t>
  </si>
  <si>
    <t>Ilya Popov</t>
  </si>
  <si>
    <t>Matthias Tass</t>
  </si>
  <si>
    <t>Aleksandr Bille</t>
  </si>
  <si>
    <t>Vadim Sherbak</t>
  </si>
  <si>
    <t>Kirill Koonovalov</t>
  </si>
  <si>
    <t>Aleksandr Platunov</t>
  </si>
  <si>
    <t>Artem Klimenko</t>
  </si>
  <si>
    <t>Anton Vashkevich</t>
  </si>
  <si>
    <t>Erik Keedus</t>
  </si>
  <si>
    <t>Savelii Makarov</t>
  </si>
  <si>
    <t>Davis Rozitis</t>
  </si>
  <si>
    <t>Anthony Hilliard</t>
  </si>
  <si>
    <t>Chris Czerapowicz</t>
  </si>
  <si>
    <t>Branko Mirkovic</t>
  </si>
  <si>
    <t>Grigory Motovilov</t>
  </si>
  <si>
    <t>Grigori Shukhovtsov</t>
  </si>
  <si>
    <t>Danilo Andjusic</t>
  </si>
  <si>
    <t>Janari Joesaar</t>
  </si>
  <si>
    <t>Denis Levshin</t>
  </si>
  <si>
    <t>Petr Gubanov</t>
  </si>
  <si>
    <t>Martin Dorbek</t>
  </si>
  <si>
    <t>Ivan Nelyubov</t>
  </si>
  <si>
    <t>Anton Ponkrashov</t>
  </si>
  <si>
    <t>Denis Pavlenko</t>
  </si>
  <si>
    <t>Anton Kvitkovsky</t>
  </si>
  <si>
    <t>Maxim Marchuk</t>
  </si>
  <si>
    <t>Yauheni Beliankou</t>
  </si>
  <si>
    <t>Alexander Gudumak</t>
  </si>
  <si>
    <t>Aliaksei Trastsinetski</t>
  </si>
  <si>
    <t>Fedor Klyuchnikov</t>
  </si>
  <si>
    <t>Zabian Dowdell</t>
  </si>
  <si>
    <t>Devon Saddler</t>
  </si>
  <si>
    <t>Maxim Kolyushkin</t>
  </si>
  <si>
    <t>Maxim Tkachenko</t>
  </si>
  <si>
    <t>Andrejs Grazulis</t>
  </si>
  <si>
    <t>Timofey Yakushin</t>
  </si>
  <si>
    <t>Sergey Toporov</t>
  </si>
  <si>
    <t>Larry Gordon</t>
  </si>
  <si>
    <t>Artis Ate</t>
  </si>
  <si>
    <t>Arnas Labuckas</t>
  </si>
  <si>
    <t>Rustam Murzagaliyev</t>
  </si>
  <si>
    <t>Dmitri Paliashchuk</t>
  </si>
  <si>
    <t>Artem Yakovenko</t>
  </si>
  <si>
    <t>Alexey Vzdykhalkin</t>
  </si>
  <si>
    <t>Konstantin Bulanov</t>
  </si>
  <si>
    <t>Georgy Zhbanov</t>
  </si>
  <si>
    <t>Nikolajs Zotovs</t>
  </si>
  <si>
    <t>Marko Simonovic</t>
  </si>
  <si>
    <t>Corey Hawkins</t>
  </si>
  <si>
    <t>Ilja Gromovs</t>
  </si>
  <si>
    <t>Scottie Reynolds</t>
  </si>
  <si>
    <t>Maxim Grigoryev</t>
  </si>
  <si>
    <t>Alexander Pavlov</t>
  </si>
  <si>
    <t>Jovan Kljajic</t>
  </si>
  <si>
    <t>Matic Rebec</t>
  </si>
  <si>
    <t>Vadim Panin</t>
  </si>
  <si>
    <t>Micah Downs</t>
  </si>
  <si>
    <t>Timofei Gerasimov</t>
  </si>
  <si>
    <t>Martins Meiers</t>
  </si>
  <si>
    <t>Suki Wiggs</t>
  </si>
  <si>
    <t>Leonidas Kaselakis</t>
  </si>
  <si>
    <t>Evgeny Voronov</t>
  </si>
  <si>
    <t>Alexandr Zhigulin</t>
  </si>
  <si>
    <t>Antwan Scott</t>
  </si>
  <si>
    <t>Nikita Mikhailovskii</t>
  </si>
  <si>
    <t>Igor Kanygin</t>
  </si>
  <si>
    <t>German Pro A 2017-18 BPM</t>
  </si>
  <si>
    <t>Anatoly Kolesnikov</t>
  </si>
  <si>
    <t>Ivan Ukhov</t>
  </si>
  <si>
    <t>Artem Komolov</t>
  </si>
  <si>
    <t>Dramir Zibirov</t>
  </si>
  <si>
    <t>Chris Carter</t>
  </si>
  <si>
    <t>RAS</t>
  </si>
  <si>
    <t>Frank Gaines</t>
  </si>
  <si>
    <t>Andris Misters</t>
  </si>
  <si>
    <t>Sherman Gay</t>
  </si>
  <si>
    <t>CRA</t>
  </si>
  <si>
    <t>Sergej Vabischevich</t>
  </si>
  <si>
    <t>Konrad Wysocki</t>
  </si>
  <si>
    <t>Sandro Gacic</t>
  </si>
  <si>
    <t>Seth Hinrichs</t>
  </si>
  <si>
    <t>Ivan Strebkov</t>
  </si>
  <si>
    <t>Josh Young</t>
  </si>
  <si>
    <t>Dmitriy Gavrilov</t>
  </si>
  <si>
    <t>Frank Turner</t>
  </si>
  <si>
    <t>Bojan Subotic</t>
  </si>
  <si>
    <t>Chase Griffin</t>
  </si>
  <si>
    <t>Artem Zabelin</t>
  </si>
  <si>
    <t>Philipp Herkenhoff</t>
  </si>
  <si>
    <t>Klavs Cavars</t>
  </si>
  <si>
    <t>Keith Ramsey</t>
  </si>
  <si>
    <t>RHEI</t>
  </si>
  <si>
    <t>Justin Gray</t>
  </si>
  <si>
    <t>Craig Bradshaw</t>
  </si>
  <si>
    <t>PS</t>
  </si>
  <si>
    <t>Viachaslau Korzh</t>
  </si>
  <si>
    <t>Richie Williams</t>
  </si>
  <si>
    <t>Vasiliy Martynov</t>
  </si>
  <si>
    <t>Patrick Flomo</t>
  </si>
  <si>
    <t>Kristjan Kangur</t>
  </si>
  <si>
    <t>Michael Cuffee</t>
  </si>
  <si>
    <t>Sergey Chernov</t>
  </si>
  <si>
    <t>BCMB</t>
  </si>
  <si>
    <t>Robin Christen</t>
  </si>
  <si>
    <t>Kavin Gilder-Tilbury</t>
  </si>
  <si>
    <t>Evan McGaughey</t>
  </si>
  <si>
    <t>MLP</t>
  </si>
  <si>
    <t>Gregor Arbet</t>
  </si>
  <si>
    <t>Orlando Parker</t>
  </si>
  <si>
    <t>Jermaine Bucknor</t>
  </si>
  <si>
    <t>TRI</t>
  </si>
  <si>
    <t>Isaiah Briscoe</t>
  </si>
  <si>
    <t>Andrew Smith</t>
  </si>
  <si>
    <t>Sebastian Herrera</t>
  </si>
  <si>
    <t>Joe Lawson</t>
  </si>
  <si>
    <t>BVC</t>
  </si>
  <si>
    <t>Vladimir Pichkurov</t>
  </si>
  <si>
    <t>Corban Collins</t>
  </si>
  <si>
    <t>VFL</t>
  </si>
  <si>
    <t>Vasily Zavoruev</t>
  </si>
  <si>
    <t>Shy Ely</t>
  </si>
  <si>
    <t>Chase Adams</t>
  </si>
  <si>
    <t>Kristaps Janicenoks</t>
  </si>
  <si>
    <t>HEBE</t>
  </si>
  <si>
    <t>Dominik Spohr</t>
  </si>
  <si>
    <t>HAG</t>
  </si>
  <si>
    <t>Enosch Wolf</t>
  </si>
  <si>
    <t>HAM</t>
  </si>
  <si>
    <t>Cedric Simmons</t>
  </si>
  <si>
    <t>Jarelle Reischel</t>
  </si>
  <si>
    <t>Alex Herrera</t>
  </si>
  <si>
    <t>Thomas Van Der Mars</t>
  </si>
  <si>
    <t>David Gonzalvez</t>
  </si>
  <si>
    <t>Artem Vikhrov</t>
  </si>
  <si>
    <t>Simon Schmitz</t>
  </si>
  <si>
    <t>Maksim Salash</t>
  </si>
  <si>
    <t>Philipp Neumann</t>
  </si>
  <si>
    <t>Jannik Freese</t>
  </si>
  <si>
    <t>Sergey Mitusov</t>
  </si>
  <si>
    <t>Andy Mazurczak</t>
  </si>
  <si>
    <t>Yanick Moreira</t>
  </si>
  <si>
    <t>Dan Oppland</t>
  </si>
  <si>
    <t>NUE</t>
  </si>
  <si>
    <t>Kaspars Vecvagars</t>
  </si>
  <si>
    <t>Maksim Dybovskii</t>
  </si>
  <si>
    <t>Andreas Kronhardt</t>
  </si>
  <si>
    <t>Aleksandr Vinnik</t>
  </si>
  <si>
    <t>Derrick Marks</t>
  </si>
  <si>
    <t>Anton Ponomarev</t>
  </si>
  <si>
    <t>Jaleen Smith</t>
  </si>
  <si>
    <t>Nikolay Zhmako</t>
  </si>
  <si>
    <t>Niklas Ney</t>
  </si>
  <si>
    <t>Maurice Pluskota</t>
  </si>
  <si>
    <t>Arnolds Helmanis</t>
  </si>
  <si>
    <t>DaVonte Lacy</t>
  </si>
  <si>
    <t>URS</t>
  </si>
  <si>
    <t>Gleb Goldyrev</t>
  </si>
  <si>
    <t>Malte Ziegenhagen</t>
  </si>
  <si>
    <t>Vitali Liutych</t>
  </si>
  <si>
    <t>Sten Sokk</t>
  </si>
  <si>
    <t>Max DiLeo</t>
  </si>
  <si>
    <t>Luquon Choice</t>
  </si>
  <si>
    <t>Denis Zakharov</t>
  </si>
  <si>
    <t>Keith Rendleman</t>
  </si>
  <si>
    <t>Rustam Yargaliev</t>
  </si>
  <si>
    <t>Robin Carl Lodders</t>
  </si>
  <si>
    <t>Niklas Wurzner</t>
  </si>
  <si>
    <t>Filip Adamovic</t>
  </si>
  <si>
    <t>Mikita Meshcharakou</t>
  </si>
  <si>
    <t>Aliaksandr Kudrautsau</t>
  </si>
  <si>
    <t>Josef Herold</t>
  </si>
  <si>
    <t>Aliaksandr Semianiuk</t>
  </si>
  <si>
    <t>Justin Raffington</t>
  </si>
  <si>
    <t>Artem Komissarov</t>
  </si>
  <si>
    <t>Hrvoje Kovacevic</t>
  </si>
  <si>
    <t>Joel-Sadu Aminu</t>
  </si>
  <si>
    <t>Kevin Yebo</t>
  </si>
  <si>
    <t>Ethan O'Day</t>
  </si>
  <si>
    <t>FIN</t>
  </si>
  <si>
    <t>Albert Kuppe</t>
  </si>
  <si>
    <t>Justin Alston</t>
  </si>
  <si>
    <t>Thomas Grun</t>
  </si>
  <si>
    <t>Sebastian Schroder</t>
  </si>
  <si>
    <t>Matt Vest</t>
  </si>
  <si>
    <t>Rich Igbineweka</t>
  </si>
  <si>
    <t>Radii Caisin</t>
  </si>
  <si>
    <t>Cyrus Tate</t>
  </si>
  <si>
    <t>Elijah Allen</t>
  </si>
  <si>
    <t>Aaron Kayser</t>
  </si>
  <si>
    <t>Thomas Muller-Laschet</t>
  </si>
  <si>
    <t>Tim Koch</t>
  </si>
  <si>
    <t>Jonathon Williams</t>
  </si>
  <si>
    <t>Robert Crawford</t>
  </si>
  <si>
    <t>Andrew Jones</t>
  </si>
  <si>
    <t>Jonas Gottschalk</t>
  </si>
  <si>
    <t>Jeremy Dunbar</t>
  </si>
  <si>
    <t>Filip Kukic</t>
  </si>
  <si>
    <t>Toney McCray</t>
  </si>
  <si>
    <t>Lukas Wank</t>
  </si>
  <si>
    <t>Andreas Nicklaus</t>
  </si>
  <si>
    <t>Dirk Madrich</t>
  </si>
  <si>
    <t>Sasa Milosevic</t>
  </si>
  <si>
    <t>Bruno Albrecht</t>
  </si>
  <si>
    <t>Kevin Smit</t>
  </si>
  <si>
    <t>Thomas Henkel</t>
  </si>
  <si>
    <t>Till Joscha Joenke</t>
  </si>
  <si>
    <t>Lazar Scekic</t>
  </si>
  <si>
    <t>ORAN</t>
  </si>
  <si>
    <t>Florian Koeppl</t>
  </si>
  <si>
    <t>Kilian Dietz</t>
  </si>
  <si>
    <t>Martin Bogdanov</t>
  </si>
  <si>
    <t>Jannik Lodders</t>
  </si>
  <si>
    <t>Anton Shoutvin</t>
  </si>
  <si>
    <t>Heinrich Uberall</t>
  </si>
  <si>
    <t>Griffin Bauer</t>
  </si>
  <si>
    <t>Jonah Bredt</t>
  </si>
  <si>
    <t>Maximilian Fouhy</t>
  </si>
  <si>
    <t>Matt Gibson</t>
  </si>
  <si>
    <t>Jeramie Woods</t>
  </si>
  <si>
    <t>Michael Smith</t>
  </si>
  <si>
    <t>Kerr Kriisa</t>
  </si>
  <si>
    <t>Marius Behr</t>
  </si>
  <si>
    <t>David Godbold</t>
  </si>
  <si>
    <t>Lucas Loth</t>
  </si>
  <si>
    <t>Seger Bonifant</t>
  </si>
  <si>
    <t>David Aichele</t>
  </si>
  <si>
    <t>Leon Hoppe</t>
  </si>
  <si>
    <t>Will Darley</t>
  </si>
  <si>
    <t>Denis Vrsaljko</t>
  </si>
  <si>
    <t>Fritz Hemschemeier</t>
  </si>
  <si>
    <t>Stefan Ilzhofer</t>
  </si>
  <si>
    <t>Michael Fleischmann</t>
  </si>
  <si>
    <t>Melvin Jostmann</t>
  </si>
  <si>
    <t>Nils Leonhardt</t>
  </si>
  <si>
    <t>Lucien Schmikale</t>
  </si>
  <si>
    <t>Johannes Joos</t>
  </si>
  <si>
    <t>Jajuan Johnson</t>
  </si>
  <si>
    <t>Virgil Matthews</t>
  </si>
  <si>
    <t>Mardracus Wade</t>
  </si>
  <si>
    <t>Patrick Teka</t>
  </si>
  <si>
    <t>Greg Logins</t>
  </si>
  <si>
    <t>Van Girard</t>
  </si>
  <si>
    <t>Devonte Brown</t>
  </si>
  <si>
    <t>Kyle Dranginis</t>
  </si>
  <si>
    <t>Anthony Canty</t>
  </si>
  <si>
    <t>Edward Reisig</t>
  </si>
  <si>
    <t>Christian Fintel</t>
  </si>
  <si>
    <t>Jakob Schope</t>
  </si>
  <si>
    <t>Jelani Hewitt</t>
  </si>
  <si>
    <t>Tim Kopple</t>
  </si>
  <si>
    <t>Adom Jacko</t>
  </si>
  <si>
    <t>Tre Burnette</t>
  </si>
  <si>
    <t>Jason George</t>
  </si>
  <si>
    <t>Eric Palm</t>
  </si>
  <si>
    <t>Roland Nyama</t>
  </si>
  <si>
    <t>Ben Gahlert</t>
  </si>
  <si>
    <t>Luc Van Slooten</t>
  </si>
  <si>
    <t>Jonas Richter</t>
  </si>
  <si>
    <t>Rene Kindzeka</t>
  </si>
  <si>
    <t>Nils Mittmann</t>
  </si>
  <si>
    <t>William Darouiche</t>
  </si>
  <si>
    <t>Manuel Feuerpfeil</t>
  </si>
  <si>
    <t>Derreck Brooks</t>
  </si>
  <si>
    <t>Brian Wenzel</t>
  </si>
  <si>
    <t>Besnik Bekteshi</t>
  </si>
  <si>
    <t>Zachary Ensminger</t>
  </si>
  <si>
    <t>James Reid</t>
  </si>
  <si>
    <t>Franklyn Aunitz</t>
  </si>
  <si>
    <t>Luka Buntic</t>
  </si>
  <si>
    <t>Levi Giese</t>
  </si>
  <si>
    <t>Nicholas Tischler</t>
  </si>
  <si>
    <t>Stefan Schmidt</t>
  </si>
  <si>
    <t>Chris Fowler</t>
  </si>
  <si>
    <t>Michael Jost</t>
  </si>
  <si>
    <t>Christopher Razis</t>
  </si>
  <si>
    <t>Lucas Gertz</t>
  </si>
  <si>
    <t>Carson Puriefoy</t>
  </si>
  <si>
    <t>Rob Ferguson</t>
  </si>
  <si>
    <t>Daniel Mixich</t>
  </si>
  <si>
    <t>Georg Voigtmann</t>
  </si>
  <si>
    <t>Alex Foster</t>
  </si>
  <si>
    <t>Armani Cotton</t>
  </si>
  <si>
    <t>Jonas Grof</t>
  </si>
  <si>
    <t>Mate Fazekas</t>
  </si>
  <si>
    <t>Charles Barton</t>
  </si>
  <si>
    <t>Jesse Morgan</t>
  </si>
  <si>
    <t>Marvin Omuvwie</t>
  </si>
  <si>
    <t>Lennart Steffen</t>
  </si>
  <si>
    <t>Josh Greene</t>
  </si>
  <si>
    <t>Jacob Parker</t>
  </si>
  <si>
    <t>Maximilian Kuhle</t>
  </si>
  <si>
    <t>Devon Moore</t>
  </si>
  <si>
    <t>Paul Albrecht</t>
  </si>
  <si>
    <t>Morgan Grim</t>
  </si>
  <si>
    <t>Timo Lanmuller</t>
  </si>
  <si>
    <t>Jonathan Maier</t>
  </si>
  <si>
    <t>Malo Valerien</t>
  </si>
  <si>
    <t>Achmadschah Zazai</t>
  </si>
  <si>
    <t>Tibor Taras</t>
  </si>
  <si>
    <t>Arne Wendler</t>
  </si>
  <si>
    <t>Anthony Dallier</t>
  </si>
  <si>
    <t>Robert Nortmann</t>
  </si>
  <si>
    <t>Benedikt Nicolay</t>
  </si>
  <si>
    <t>Phillip Daubner</t>
  </si>
  <si>
    <t>Lavon Long</t>
  </si>
  <si>
    <t>Leon Baeck</t>
  </si>
  <si>
    <t>Luca Kahl</t>
  </si>
  <si>
    <t>Felix Per Edwardsson</t>
  </si>
  <si>
    <t>Dmitrj Kreis</t>
  </si>
  <si>
    <t>Cole Preston</t>
  </si>
  <si>
    <t>Nils Hassfurther</t>
  </si>
  <si>
    <t>Moritz Sanders</t>
  </si>
  <si>
    <t>Soren Fritze</t>
  </si>
  <si>
    <t>Benedict Van Laack</t>
  </si>
  <si>
    <t>Lukas Rosenbohm</t>
  </si>
  <si>
    <t>Bradley Hayes</t>
  </si>
  <si>
    <t>Javon Baumann</t>
  </si>
  <si>
    <t>Thomas Cooper</t>
  </si>
  <si>
    <t>Marco Hollersbacher</t>
  </si>
  <si>
    <t>German Pro B 2017-18 BPM</t>
  </si>
  <si>
    <t>Gerard Gomila</t>
  </si>
  <si>
    <t>Martin Seiferth</t>
  </si>
  <si>
    <t>DRAG</t>
  </si>
  <si>
    <t>Chris Hortman</t>
  </si>
  <si>
    <t>SCHW</t>
  </si>
  <si>
    <t>Kaimyn Pruitt</t>
  </si>
  <si>
    <t>ITZ</t>
  </si>
  <si>
    <t>Daniel Keppeler</t>
  </si>
  <si>
    <t>Donte Nicholas</t>
  </si>
  <si>
    <t>ISER</t>
  </si>
  <si>
    <t>Marko Krstanovic</t>
  </si>
  <si>
    <t>ELCH</t>
  </si>
  <si>
    <t>Dion Prewster</t>
  </si>
  <si>
    <t>Demetrius Ward</t>
  </si>
  <si>
    <t>WOLF</t>
  </si>
  <si>
    <t>Dennis Heinzmann</t>
  </si>
  <si>
    <t>GIES</t>
  </si>
  <si>
    <t>Hayden Lescault</t>
  </si>
  <si>
    <t>Brandon Lockhart</t>
  </si>
  <si>
    <t>ROST</t>
  </si>
  <si>
    <t>Lars Kamp</t>
  </si>
  <si>
    <t>Jordan Talbert</t>
  </si>
  <si>
    <t>AKAD</t>
  </si>
  <si>
    <t>Nicolas Moebus</t>
  </si>
  <si>
    <t>Dexter Werner</t>
  </si>
  <si>
    <t>SSV</t>
  </si>
  <si>
    <t>Bo Meister</t>
  </si>
  <si>
    <t>Nick Tufegdzich</t>
  </si>
  <si>
    <t>ETB</t>
  </si>
  <si>
    <t>Montrael Scott</t>
  </si>
  <si>
    <t>Pierre Bland</t>
  </si>
  <si>
    <t>Dominik Wolf</t>
  </si>
  <si>
    <t>ART</t>
  </si>
  <si>
    <t>Jere Vucica</t>
  </si>
  <si>
    <t>Kristian Kuhn</t>
  </si>
  <si>
    <t>Terence Smith</t>
  </si>
  <si>
    <t>CUX</t>
  </si>
  <si>
    <t>Jarvis Davis</t>
  </si>
  <si>
    <t>Yasin Kolo</t>
  </si>
  <si>
    <t>MUNII</t>
  </si>
  <si>
    <t>Courtney Belger</t>
  </si>
  <si>
    <t>Moritz Noeres</t>
  </si>
  <si>
    <t>Kevin Thomas</t>
  </si>
  <si>
    <t>Rupert Hennen</t>
  </si>
  <si>
    <t>Brian Butler</t>
  </si>
  <si>
    <t>Robert Kulawick</t>
  </si>
  <si>
    <t>Henri Drell</t>
  </si>
  <si>
    <t>Bill Borekambi</t>
  </si>
  <si>
    <t>Ivan Buntic</t>
  </si>
  <si>
    <t>Jordan Burris</t>
  </si>
  <si>
    <t>COBU</t>
  </si>
  <si>
    <t>Shawn Gulley</t>
  </si>
  <si>
    <t>Justin Hedley</t>
  </si>
  <si>
    <t>Filmore Beck</t>
  </si>
  <si>
    <t>Kevin Strangmeyer</t>
  </si>
  <si>
    <t>OTB</t>
  </si>
  <si>
    <t>Kay Bruhnke</t>
  </si>
  <si>
    <t>Andre Calvin</t>
  </si>
  <si>
    <t>Josef Eichler</t>
  </si>
  <si>
    <t>Spanish LEB Gold 2017-18 BPM</t>
  </si>
  <si>
    <t>Davon Roberts</t>
  </si>
  <si>
    <t>Sebastian Schmitt</t>
  </si>
  <si>
    <t>JR</t>
  </si>
  <si>
    <t>Byron Sanford</t>
  </si>
  <si>
    <t>Matthew Meredith</t>
  </si>
  <si>
    <t>Ryon Howard</t>
  </si>
  <si>
    <t>Jonathan Malu</t>
  </si>
  <si>
    <t>Garrett Jackson</t>
  </si>
  <si>
    <t>Jasper Guenther</t>
  </si>
  <si>
    <t>Marius Stoll</t>
  </si>
  <si>
    <t>Brandon Watkins</t>
  </si>
  <si>
    <t>Andrius Mikutis</t>
  </si>
  <si>
    <t>Jules Dang Akodo</t>
  </si>
  <si>
    <t>Josh Wilcher</t>
  </si>
  <si>
    <t>Ole Angerstein</t>
  </si>
  <si>
    <t>Adam Touray</t>
  </si>
  <si>
    <t>Janek Schmidkunz</t>
  </si>
  <si>
    <t>DRE</t>
  </si>
  <si>
    <t>Johannes Lischka</t>
  </si>
  <si>
    <t>Paul Owusu-Frimpong</t>
  </si>
  <si>
    <t>RIST</t>
  </si>
  <si>
    <t>Mike Holton, Jr.</t>
  </si>
  <si>
    <t>RSV</t>
  </si>
  <si>
    <t>Deion Giddens</t>
  </si>
  <si>
    <t>Julian Albus</t>
  </si>
  <si>
    <t>Vincent Kittmann</t>
  </si>
  <si>
    <t>Aurimas Adomaitis</t>
  </si>
  <si>
    <t>Donovon Jack</t>
  </si>
  <si>
    <t>Edin Alispahic</t>
  </si>
  <si>
    <t>R.J. Slawson</t>
  </si>
  <si>
    <t>Tarique Thompson</t>
  </si>
  <si>
    <t>Nino Celebic</t>
  </si>
  <si>
    <t>Viktor Frankl-Maus</t>
  </si>
  <si>
    <t>Georgi Boyanov</t>
  </si>
  <si>
    <t>Robert Glockner</t>
  </si>
  <si>
    <t>Josh Smith</t>
  </si>
  <si>
    <t>Philip Zwiener</t>
  </si>
  <si>
    <t>Jacob Hollatz</t>
  </si>
  <si>
    <t>Patrick Carney</t>
  </si>
  <si>
    <t>Florian Wendeler</t>
  </si>
  <si>
    <t>Mark Gebhardt</t>
  </si>
  <si>
    <t>Marin Petric</t>
  </si>
  <si>
    <t>Jonas Weitzel</t>
  </si>
  <si>
    <t>Dennis Teucher</t>
  </si>
  <si>
    <t>Ashton Smith</t>
  </si>
  <si>
    <t>Malick Fall</t>
  </si>
  <si>
    <t>Leon Bahner</t>
  </si>
  <si>
    <t>Alexander Blessig</t>
  </si>
  <si>
    <t>Sebastian Heck</t>
  </si>
  <si>
    <t>Julian Scott</t>
  </si>
  <si>
    <t>David Ewald</t>
  </si>
  <si>
    <t>Lamar Roberson</t>
  </si>
  <si>
    <t>Stefan Fekete</t>
  </si>
  <si>
    <t>Alexander Angerer</t>
  </si>
  <si>
    <t>Travis Thompson</t>
  </si>
  <si>
    <t>Chris Frazier</t>
  </si>
  <si>
    <t>Henri Vaihinger</t>
  </si>
  <si>
    <t>Nikita Khartchenkov</t>
  </si>
  <si>
    <t>C.J. Oldham</t>
  </si>
  <si>
    <t>Melvin Nyamekye Papenful</t>
  </si>
  <si>
    <t>Karlo Rozic</t>
  </si>
  <si>
    <t>Tim Uhlemann</t>
  </si>
  <si>
    <t>Marian Schick</t>
  </si>
  <si>
    <t>Marco Buljevic</t>
  </si>
  <si>
    <t>Christopher Wolf</t>
  </si>
  <si>
    <t>Steffen Kiese</t>
  </si>
  <si>
    <t>Maximillion Begue</t>
  </si>
  <si>
    <t>Helge Baues</t>
  </si>
  <si>
    <t>Kristof Schwarz</t>
  </si>
  <si>
    <t>Jeremy Black</t>
  </si>
  <si>
    <t>KIT</t>
  </si>
  <si>
    <t>Daniel Thurau</t>
  </si>
  <si>
    <t>Jonas Boehm</t>
  </si>
  <si>
    <t>Felix Engel</t>
  </si>
  <si>
    <t>Niclas Jonathan Sperber</t>
  </si>
  <si>
    <t>Scotty Liedtke</t>
  </si>
  <si>
    <t>Christoph Bauer</t>
  </si>
  <si>
    <t>Marius Poeschel</t>
  </si>
  <si>
    <t>Obi Kyei</t>
  </si>
  <si>
    <t>Felipe Galvez-Braatz</t>
  </si>
  <si>
    <t>Ron Mvouika</t>
  </si>
  <si>
    <t>Sasha Grant</t>
  </si>
  <si>
    <t>Rijad Avdic</t>
  </si>
  <si>
    <t>Beat Weichsler</t>
  </si>
  <si>
    <t>Leon Hutter</t>
  </si>
  <si>
    <t>Idrissa Diene</t>
  </si>
  <si>
    <t>Leon Puellen</t>
  </si>
  <si>
    <t>David Roell</t>
  </si>
  <si>
    <t>Leo Alban</t>
  </si>
  <si>
    <t>Justus Klinke</t>
  </si>
  <si>
    <t>Jakob Jessberger</t>
  </si>
  <si>
    <t>Alexander Hopp</t>
  </si>
  <si>
    <t>Dion Mohammed Braimoh</t>
  </si>
  <si>
    <t>Lennart Okeke</t>
  </si>
  <si>
    <t>Menno Moller</t>
  </si>
  <si>
    <t>Kyle Benton</t>
  </si>
  <si>
    <t>Erik Krumme</t>
  </si>
  <si>
    <t>Tobias Korndoerfer</t>
  </si>
  <si>
    <t>Max Stolzel</t>
  </si>
  <si>
    <t>Sharik Aboubakar</t>
  </si>
  <si>
    <t>Linus Hoffman</t>
  </si>
  <si>
    <t>Soren Queck</t>
  </si>
  <si>
    <t>Jannis Hahn</t>
  </si>
  <si>
    <t>Len Schoormann</t>
  </si>
  <si>
    <t>Darian Cardenas Ruda</t>
  </si>
  <si>
    <t>Noah Berge</t>
  </si>
  <si>
    <t>Daniel Eisenhardt</t>
  </si>
  <si>
    <t>Tomasz Szewczyk</t>
  </si>
  <si>
    <t>Marcel Davis</t>
  </si>
  <si>
    <t>Tim Schonborn</t>
  </si>
  <si>
    <t>Yannik Kairies</t>
  </si>
  <si>
    <t>Niklas Kropp</t>
  </si>
  <si>
    <t>Niko Schumann</t>
  </si>
  <si>
    <t>Jari Beckmann</t>
  </si>
  <si>
    <t>Thomas Michel</t>
  </si>
  <si>
    <t>Dzemal Selimovic</t>
  </si>
  <si>
    <t>Daniel Urbano</t>
  </si>
  <si>
    <t>Viktor Ziring</t>
  </si>
  <si>
    <t>Jim Gietz</t>
  </si>
  <si>
    <t>Kory Brown</t>
  </si>
  <si>
    <t>Fabian Strauss</t>
  </si>
  <si>
    <t>Tim Kordyaka</t>
  </si>
  <si>
    <t>Damien Cortes</t>
  </si>
  <si>
    <t>Frieder Diestelhorst</t>
  </si>
  <si>
    <t>Karl Mamady Dia</t>
  </si>
  <si>
    <t>Malte Delow</t>
  </si>
  <si>
    <t>Willie Mangum</t>
  </si>
  <si>
    <t>Benjamin Nick</t>
  </si>
  <si>
    <t>Nelson Weidemann</t>
  </si>
  <si>
    <t>Jonas Wagner</t>
  </si>
  <si>
    <t>Janek Meyer</t>
  </si>
  <si>
    <t>Mathias Perl</t>
  </si>
  <si>
    <t>Tobias Moller Opdahl</t>
  </si>
  <si>
    <t>Nils Niendorf</t>
  </si>
  <si>
    <t>Jon Mesghna</t>
  </si>
  <si>
    <t>Erol Ersek</t>
  </si>
  <si>
    <t>Moritz Hubner</t>
  </si>
  <si>
    <t>Kilian Binapfl</t>
  </si>
  <si>
    <t>Mirko Krieger</t>
  </si>
  <si>
    <t>Kevin Wysocki</t>
  </si>
  <si>
    <t>John-Robert Stark</t>
  </si>
  <si>
    <t>David Feldmann</t>
  </si>
  <si>
    <t>Ivo Slavchev</t>
  </si>
  <si>
    <t>Jacob Engelhardt</t>
  </si>
  <si>
    <t>Tilman Buschbeck</t>
  </si>
  <si>
    <t>Daniel Zdravevski</t>
  </si>
  <si>
    <t>Paulius Poska</t>
  </si>
  <si>
    <t>Kai Globig</t>
  </si>
  <si>
    <t>Justus Hollatz</t>
  </si>
  <si>
    <t>Tobias Jahn</t>
  </si>
  <si>
    <t>Gilles Dierickx</t>
  </si>
  <si>
    <t>Sinan Ozdil</t>
  </si>
  <si>
    <t>Matej Rudan</t>
  </si>
  <si>
    <t>Aaron Schmitz</t>
  </si>
  <si>
    <t>Sebastian Schroter</t>
  </si>
  <si>
    <t>Jamin Knothe</t>
  </si>
  <si>
    <t>Niklas Meesmann</t>
  </si>
  <si>
    <t>Patrick Reusch</t>
  </si>
  <si>
    <t>Dino Butorac</t>
  </si>
  <si>
    <t>Marek Mboya Kotieno</t>
  </si>
  <si>
    <t>Tobias Weigl</t>
  </si>
  <si>
    <t>Phillip Von-Quenaudon</t>
  </si>
  <si>
    <t>Nelson Kahler</t>
  </si>
  <si>
    <t>Hendrik Prasuhn</t>
  </si>
  <si>
    <t>David Hicks</t>
  </si>
  <si>
    <t>Marley Jean-Louis</t>
  </si>
  <si>
    <t>Coheen Kalondji</t>
  </si>
  <si>
    <t>Bruce Beckford</t>
  </si>
  <si>
    <t>Eyke Prahst</t>
  </si>
  <si>
    <t>Yannick Hildebrandt</t>
  </si>
  <si>
    <t>Sebastian Fulle</t>
  </si>
  <si>
    <t>Michael Agyapong</t>
  </si>
  <si>
    <t>Luka Kamber</t>
  </si>
  <si>
    <t>Manuel-Christopher Kessen</t>
  </si>
  <si>
    <t>Eric Curth</t>
  </si>
  <si>
    <t>Andreas Hasenkamm</t>
  </si>
  <si>
    <t>Joachim Feimann</t>
  </si>
  <si>
    <t>Larry Hall</t>
  </si>
  <si>
    <t>Timo Matthias Volk</t>
  </si>
  <si>
    <t>Tim Leonhardt</t>
  </si>
  <si>
    <t>Daniel Stawowski</t>
  </si>
  <si>
    <t>Olegas Legankovas</t>
  </si>
  <si>
    <t>Forrest Robinson</t>
  </si>
  <si>
    <t>Jonas Buss-Witteler</t>
  </si>
  <si>
    <t>Max Von Der Wippel</t>
  </si>
  <si>
    <t>Goetz Twiehoff</t>
  </si>
  <si>
    <t>Leon Friederici</t>
  </si>
  <si>
    <t>Valentin Blass</t>
  </si>
  <si>
    <t>Max Rockmann</t>
  </si>
  <si>
    <t>Zaire Thompson</t>
  </si>
  <si>
    <t>Tim Vogt</t>
  </si>
  <si>
    <t>Nils Peters</t>
  </si>
  <si>
    <t>Konstantin Kovalev</t>
  </si>
  <si>
    <t>Anton Geretzki</t>
  </si>
  <si>
    <t>Daniel Merkens</t>
  </si>
  <si>
    <t>Alieu Ceesay</t>
  </si>
  <si>
    <t>Nicolas Scumann</t>
  </si>
  <si>
    <t>Coreontae DeBerry</t>
  </si>
  <si>
    <t>Sven Saddedine</t>
  </si>
  <si>
    <t>Nemanja Markovic</t>
  </si>
  <si>
    <t>Fabian Vermum</t>
  </si>
  <si>
    <t>Thomas Reuter</t>
  </si>
  <si>
    <t>Alvin Onyia</t>
  </si>
  <si>
    <t>Anell Alexis</t>
  </si>
  <si>
    <t>Yassin Debache</t>
  </si>
  <si>
    <t>Jordan Geary Muller</t>
  </si>
  <si>
    <t>Salman Manzur</t>
  </si>
  <si>
    <t>Bruno Vrcic</t>
  </si>
  <si>
    <t>Mario Blessing</t>
  </si>
  <si>
    <t>David Stachanczyk</t>
  </si>
  <si>
    <t>Josh Dahmen</t>
  </si>
  <si>
    <t>Matthias Fichtner</t>
  </si>
  <si>
    <t>Jonas Peters</t>
  </si>
  <si>
    <t>Moritz Bothe</t>
  </si>
  <si>
    <t>Arnau Triginer</t>
  </si>
  <si>
    <t>Badu Buck</t>
  </si>
  <si>
    <t>Julius Stahl</t>
  </si>
  <si>
    <t>Leo Vrkas</t>
  </si>
  <si>
    <t>Cosmo Gruehn</t>
  </si>
  <si>
    <t>Aner Levron</t>
  </si>
  <si>
    <t>Noah Westerhaus</t>
  </si>
  <si>
    <t>Steven Bennett</t>
  </si>
  <si>
    <t>Michael Fuss</t>
  </si>
  <si>
    <t>Danileious Laverivociuous</t>
  </si>
  <si>
    <t>Piet Niehus</t>
  </si>
  <si>
    <t>Amani Camillo</t>
  </si>
  <si>
    <t>Jannick Jebens</t>
  </si>
  <si>
    <t>Michael Javernik</t>
  </si>
  <si>
    <t>Niklas Bilski</t>
  </si>
  <si>
    <t>Felix Meyer-Tonndorf</t>
  </si>
  <si>
    <t>Michael Kuczmann</t>
  </si>
  <si>
    <t>Gregory Graves</t>
  </si>
  <si>
    <t>Niklas Pons</t>
  </si>
  <si>
    <t>Marvin Heckel</t>
  </si>
  <si>
    <t>Benjamin Kaufhold</t>
  </si>
  <si>
    <t>Thorben Doding</t>
  </si>
  <si>
    <t>Philipp Lieser</t>
  </si>
  <si>
    <t>Jens Hirschberg</t>
  </si>
  <si>
    <t>Julius Dueh</t>
  </si>
  <si>
    <t>Felix Hecker</t>
  </si>
  <si>
    <t>Gabriel de Oliveira</t>
  </si>
  <si>
    <t>Sandro Kordis</t>
  </si>
  <si>
    <t>Pal Ghotra</t>
  </si>
  <si>
    <t>Ruben Dahmen</t>
  </si>
  <si>
    <t>Oshane Drews</t>
  </si>
  <si>
    <t>Steffen Walde</t>
  </si>
  <si>
    <t>Samuel Mpacko</t>
  </si>
  <si>
    <t>Frederik Henningsen</t>
  </si>
  <si>
    <t>Italian Serie A2 Basket 2017-18 BPM</t>
  </si>
  <si>
    <t>Marc Nagora</t>
  </si>
  <si>
    <t>Ronalds Elksnis</t>
  </si>
  <si>
    <t>Daniel Lopez</t>
  </si>
  <si>
    <t>Petar Madunic</t>
  </si>
  <si>
    <t>Raphael Bals</t>
  </si>
  <si>
    <t>Douglas Boyce</t>
  </si>
  <si>
    <t>Johannes Konradt</t>
  </si>
  <si>
    <t>Tim van der Velde</t>
  </si>
  <si>
    <t>Jacob Knauf</t>
  </si>
  <si>
    <t>Daniel Kirchner</t>
  </si>
  <si>
    <t>Erik Nyberg</t>
  </si>
  <si>
    <t>Noah Kamdem</t>
  </si>
  <si>
    <t>John Joseph Saigge</t>
  </si>
  <si>
    <t>Armin Musovic</t>
  </si>
  <si>
    <t>Michael Haucke</t>
  </si>
  <si>
    <t>Bryan Niessen</t>
  </si>
  <si>
    <t>Fabian Ristau</t>
  </si>
  <si>
    <t>Florian Rothenberg</t>
  </si>
  <si>
    <t>Daniel Boahene</t>
  </si>
  <si>
    <t>Kevin Eichelsdoerfer</t>
  </si>
  <si>
    <t>Galiano Fabio</t>
  </si>
  <si>
    <t>Sebastian Rauch</t>
  </si>
  <si>
    <t>Alexander Rueck</t>
  </si>
  <si>
    <t>Luka Burkardt</t>
  </si>
  <si>
    <t>Eivydas Molosciakas</t>
  </si>
  <si>
    <t>Luka Drezga</t>
  </si>
  <si>
    <t>Yasin Turan</t>
  </si>
  <si>
    <t>Simon Kutzschmar</t>
  </si>
  <si>
    <t>Tim Decker</t>
  </si>
  <si>
    <t>Elias Gueldenhaupt</t>
  </si>
  <si>
    <t>Finn Fleute</t>
  </si>
  <si>
    <t>Yannik Tauch</t>
  </si>
  <si>
    <t>Lars Kroeger</t>
  </si>
  <si>
    <t>Lennart Weichsel</t>
  </si>
  <si>
    <t>Till Hornscheidt</t>
  </si>
  <si>
    <t>Dario Fiorentino</t>
  </si>
  <si>
    <t>Kelvin Okundaye</t>
  </si>
  <si>
    <t>Marc Kunz</t>
  </si>
  <si>
    <t>Abdulai Abakar</t>
  </si>
  <si>
    <t>Thabo Paul</t>
  </si>
  <si>
    <t>Jeffrey Martin</t>
  </si>
  <si>
    <t>Philipp Hadenfeldt</t>
  </si>
  <si>
    <t>Alexander Moeller</t>
  </si>
  <si>
    <t>Davorin Kuntic</t>
  </si>
  <si>
    <t>Joachim Kochade</t>
  </si>
  <si>
    <t>Jacob Albrecht</t>
  </si>
  <si>
    <t>Nick Tienarend</t>
  </si>
  <si>
    <t>Colin Craven</t>
  </si>
  <si>
    <t>Nikola Gaurina</t>
  </si>
  <si>
    <t>Sasha Cuic</t>
  </si>
  <si>
    <t>Yannik Kneesch</t>
  </si>
  <si>
    <t>Chaed Wellian</t>
  </si>
  <si>
    <t>Nils Maisel</t>
  </si>
  <si>
    <t>Arthur Zaletskiy</t>
  </si>
  <si>
    <t>Dilhan Durant</t>
  </si>
  <si>
    <t>Brazilian NBB 2017-18 BPM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</si>
</sst>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+#,##0.00;-#,##0.00"/>
  </numFmts>
  <fonts count="5">
    <font>
      <sz val="10.0"/>
      <color rgb="FF000000"/>
      <name val="Arial"/>
    </font>
    <font>
      <b/>
      <sz val="16.0"/>
      <color rgb="FFFFFFFF"/>
      <name val="Arial"/>
    </font>
    <font/>
    <font>
      <b/>
      <sz val="12.0"/>
      <color rgb="FFFFFFFF"/>
      <name val="Arial"/>
    </font>
    <font>
      <name val="Arial"/>
    </font>
  </fonts>
  <fills count="4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F3F3F3"/>
        <bgColor rgb="FFF3F3F3"/>
      </patternFill>
    </fill>
  </fills>
  <borders count="14">
    <border/>
    <border>
      <left style="thick">
        <color rgb="FF000000"/>
      </left>
      <top style="thin">
        <color rgb="FFFFFFFF"/>
      </top>
      <bottom style="thin">
        <color rgb="FF073763"/>
      </bottom>
    </border>
    <border>
      <top style="thin">
        <color rgb="FFFFFFFF"/>
      </top>
      <bottom style="thin">
        <color rgb="FF073763"/>
      </bottom>
    </border>
    <border>
      <right style="thick">
        <color rgb="FF000000"/>
      </right>
      <top style="thin">
        <color rgb="FFFFFFFF"/>
      </top>
      <bottom style="thin">
        <color rgb="FF073763"/>
      </bottom>
    </border>
    <border>
      <left style="thick">
        <color rgb="FF000000"/>
      </left>
    </border>
    <border>
      <left style="thick">
        <color rgb="FF000000"/>
      </left>
      <right style="thin">
        <color rgb="FF073763"/>
      </right>
      <bottom style="thick">
        <color rgb="FF000000"/>
      </bottom>
    </border>
    <border>
      <right style="thin">
        <color rgb="FF073763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ck">
        <color rgb="FF000000"/>
      </left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right style="thick">
        <color rgb="FF000000"/>
      </right>
      <bottom style="thin">
        <color rgb="FFFFFFFF"/>
      </bottom>
    </border>
    <border>
      <left style="thick">
        <color rgb="FF000000"/>
      </left>
      <right style="thin">
        <color rgb="FFF3F3F3"/>
      </right>
      <bottom style="thin">
        <color rgb="FFFFFFFF"/>
      </bottom>
    </border>
    <border>
      <right style="thin">
        <color rgb="FFF3F3F3"/>
      </right>
      <bottom style="thin">
        <color rgb="FFFFFFFF"/>
      </bottom>
    </border>
    <border>
      <right style="thick">
        <color rgb="FF000000"/>
      </right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0" fillId="0" fontId="2" numFmtId="0" xfId="0" applyFont="1"/>
    <xf borderId="5" fillId="2" fontId="3" numFmtId="0" xfId="0" applyAlignment="1" applyBorder="1" applyFont="1">
      <alignment horizontal="center" vertical="bottom"/>
    </xf>
    <xf borderId="6" fillId="2" fontId="3" numFmtId="0" xfId="0" applyAlignment="1" applyBorder="1" applyFont="1">
      <alignment horizontal="center" vertical="bottom"/>
    </xf>
    <xf borderId="6" fillId="2" fontId="3" numFmtId="164" xfId="0" applyAlignment="1" applyBorder="1" applyFont="1" applyNumberFormat="1">
      <alignment horizontal="center" vertical="bottom"/>
    </xf>
    <xf borderId="6" fillId="2" fontId="3" numFmtId="165" xfId="0" applyAlignment="1" applyBorder="1" applyFont="1" applyNumberFormat="1">
      <alignment horizontal="center" vertical="bottom"/>
    </xf>
    <xf borderId="7" fillId="2" fontId="3" numFmtId="2" xfId="0" applyAlignment="1" applyBorder="1" applyFont="1" applyNumberFormat="1">
      <alignment horizontal="center" vertical="bottom"/>
    </xf>
    <xf borderId="7" fillId="2" fontId="3" numFmtId="4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center" vertical="bottom"/>
    </xf>
    <xf borderId="9" fillId="0" fontId="4" numFmtId="0" xfId="0" applyAlignment="1" applyBorder="1" applyFont="1">
      <alignment horizontal="center" vertical="bottom"/>
    </xf>
    <xf borderId="9" fillId="0" fontId="4" numFmtId="164" xfId="0" applyAlignment="1" applyBorder="1" applyFont="1" applyNumberFormat="1">
      <alignment horizontal="center" vertical="bottom"/>
    </xf>
    <xf borderId="9" fillId="0" fontId="4" numFmtId="165" xfId="0" applyAlignment="1" applyBorder="1" applyFont="1" applyNumberFormat="1">
      <alignment horizontal="center" vertical="bottom"/>
    </xf>
    <xf borderId="10" fillId="0" fontId="4" numFmtId="4" xfId="0" applyAlignment="1" applyBorder="1" applyFont="1" applyNumberFormat="1">
      <alignment horizontal="center" vertical="bottom"/>
    </xf>
    <xf borderId="10" fillId="0" fontId="4" numFmtId="2" xfId="0" applyAlignment="1" applyBorder="1" applyFont="1" applyNumberFormat="1">
      <alignment horizontal="center" vertical="bottom"/>
    </xf>
    <xf borderId="11" fillId="3" fontId="4" numFmtId="0" xfId="0" applyAlignment="1" applyBorder="1" applyFill="1" applyFont="1">
      <alignment horizontal="center" vertical="bottom"/>
    </xf>
    <xf borderId="12" fillId="3" fontId="4" numFmtId="0" xfId="0" applyAlignment="1" applyBorder="1" applyFont="1">
      <alignment horizontal="center" vertical="bottom"/>
    </xf>
    <xf borderId="12" fillId="3" fontId="4" numFmtId="164" xfId="0" applyAlignment="1" applyBorder="1" applyFont="1" applyNumberFormat="1">
      <alignment horizontal="center" vertical="bottom"/>
    </xf>
    <xf borderId="12" fillId="3" fontId="4" numFmtId="165" xfId="0" applyAlignment="1" applyBorder="1" applyFont="1" applyNumberFormat="1">
      <alignment horizontal="center" vertical="bottom"/>
    </xf>
    <xf borderId="10" fillId="3" fontId="4" numFmtId="4" xfId="0" applyAlignment="1" applyBorder="1" applyFont="1" applyNumberFormat="1">
      <alignment horizontal="center" vertical="bottom"/>
    </xf>
    <xf borderId="10" fillId="3" fontId="4" numFmtId="2" xfId="0" applyAlignment="1" applyBorder="1" applyFont="1" applyNumberFormat="1">
      <alignment horizontal="center" vertical="bottom"/>
    </xf>
    <xf borderId="0" fillId="0" fontId="2" numFmtId="3" xfId="0" applyFont="1" applyNumberFormat="1"/>
    <xf borderId="0" fillId="0" fontId="2" numFmtId="165" xfId="0" applyFont="1" applyNumberFormat="1"/>
    <xf borderId="13" fillId="0" fontId="2" numFmtId="0" xfId="0" applyBorder="1" applyFont="1"/>
    <xf borderId="13" fillId="0" fontId="2" numFmtId="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A61C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0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1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IFERROR(__xludf.DUMMYFUNCTION("IMPORTRANGE(""https://docs.google.com/spreadsheets/d/1-M2Y9j49jyKFCvqNEH4ifarejiPB1Zg_kqW0gqNgekc/edit#gid=1120027332"",""Leaders!A3:G502"")"),"")</f>
        <v/>
      </c>
      <c r="B3" s="13" t="str">
        <f>IFERROR(__xludf.DUMMYFUNCTION("""COMPUTED_VALUE"""),"")</f>
        <v/>
      </c>
      <c r="C3" s="14" t="str">
        <f>IFERROR(__xludf.DUMMYFUNCTION("""COMPUTED_VALUE"""),"")</f>
        <v/>
      </c>
      <c r="D3" s="15" t="str">
        <f>IFERROR(__xludf.DUMMYFUNCTION("""COMPUTED_VALUE"""),"")</f>
        <v/>
      </c>
      <c r="E3" s="15" t="str">
        <f>IFERROR(__xludf.DUMMYFUNCTION("""COMPUTED_VALUE"""),"")</f>
        <v/>
      </c>
      <c r="F3" s="15" t="str">
        <f>IFERROR(__xludf.DUMMYFUNCTION("""COMPUTED_VALUE"""),"")</f>
        <v/>
      </c>
      <c r="G3" s="16" t="str">
        <f>IFERROR(__xludf.DUMMYFUNCTION("""COMPUTED_VALUE"""),"")</f>
        <v/>
      </c>
      <c r="H3" s="4"/>
      <c r="I3" s="5" t="s">
        <v>11</v>
      </c>
      <c r="J3" s="5" t="s">
        <v>12</v>
      </c>
      <c r="K3" s="5">
        <v>674.0</v>
      </c>
      <c r="L3" s="5">
        <v>3.5627</v>
      </c>
      <c r="M3" s="5">
        <v>3.6909</v>
      </c>
      <c r="N3" s="5">
        <v>7.2536</v>
      </c>
      <c r="O3" s="5">
        <v>1.8961</v>
      </c>
    </row>
    <row r="4">
      <c r="A4" s="18" t="str">
        <f>IFERROR(__xludf.DUMMYFUNCTION("""COMPUTED_VALUE"""),"")</f>
        <v/>
      </c>
      <c r="B4" s="19" t="str">
        <f>IFERROR(__xludf.DUMMYFUNCTION("""COMPUTED_VALUE"""),"")</f>
        <v/>
      </c>
      <c r="C4" s="20" t="str">
        <f>IFERROR(__xludf.DUMMYFUNCTION("""COMPUTED_VALUE"""),"")</f>
        <v/>
      </c>
      <c r="D4" s="21" t="str">
        <f>IFERROR(__xludf.DUMMYFUNCTION("""COMPUTED_VALUE"""),"")</f>
        <v/>
      </c>
      <c r="E4" s="21" t="str">
        <f>IFERROR(__xludf.DUMMYFUNCTION("""COMPUTED_VALUE"""),"")</f>
        <v/>
      </c>
      <c r="F4" s="21" t="str">
        <f>IFERROR(__xludf.DUMMYFUNCTION("""COMPUTED_VALUE"""),"")</f>
        <v/>
      </c>
      <c r="G4" s="22" t="str">
        <f>IFERROR(__xludf.DUMMYFUNCTION("""COMPUTED_VALUE"""),"")</f>
        <v/>
      </c>
      <c r="H4" s="4"/>
      <c r="I4" s="5" t="s">
        <v>13</v>
      </c>
      <c r="J4" s="5" t="s">
        <v>14</v>
      </c>
      <c r="K4" s="5">
        <v>856.0</v>
      </c>
      <c r="L4" s="5">
        <v>5.11814</v>
      </c>
      <c r="M4" s="5">
        <v>1.75254</v>
      </c>
      <c r="N4" s="5">
        <v>6.87068</v>
      </c>
      <c r="O4" s="5">
        <v>2.30772</v>
      </c>
    </row>
    <row r="5">
      <c r="A5" s="12" t="str">
        <f>IFERROR(__xludf.DUMMYFUNCTION("""COMPUTED_VALUE"""),"")</f>
        <v/>
      </c>
      <c r="B5" s="13" t="str">
        <f>IFERROR(__xludf.DUMMYFUNCTION("""COMPUTED_VALUE"""),"")</f>
        <v/>
      </c>
      <c r="C5" s="14" t="str">
        <f>IFERROR(__xludf.DUMMYFUNCTION("""COMPUTED_VALUE"""),"")</f>
        <v/>
      </c>
      <c r="D5" s="15" t="str">
        <f>IFERROR(__xludf.DUMMYFUNCTION("""COMPUTED_VALUE"""),"")</f>
        <v/>
      </c>
      <c r="E5" s="15" t="str">
        <f>IFERROR(__xludf.DUMMYFUNCTION("""COMPUTED_VALUE"""),"")</f>
        <v/>
      </c>
      <c r="F5" s="15" t="str">
        <f>IFERROR(__xludf.DUMMYFUNCTION("""COMPUTED_VALUE"""),"")</f>
        <v/>
      </c>
      <c r="G5" s="16" t="str">
        <f>IFERROR(__xludf.DUMMYFUNCTION("""COMPUTED_VALUE"""),"")</f>
        <v/>
      </c>
      <c r="H5" s="4"/>
      <c r="I5" s="5" t="s">
        <v>18</v>
      </c>
      <c r="J5" s="5" t="s">
        <v>19</v>
      </c>
      <c r="K5" s="5">
        <v>899.5</v>
      </c>
      <c r="L5" s="5">
        <v>4.22319</v>
      </c>
      <c r="M5" s="5">
        <v>2.40249</v>
      </c>
      <c r="N5" s="5">
        <v>6.62568</v>
      </c>
      <c r="O5" s="5">
        <v>2.33968</v>
      </c>
    </row>
    <row r="6">
      <c r="A6" s="18" t="str">
        <f>IFERROR(__xludf.DUMMYFUNCTION("""COMPUTED_VALUE"""),"")</f>
        <v/>
      </c>
      <c r="B6" s="19" t="str">
        <f>IFERROR(__xludf.DUMMYFUNCTION("""COMPUTED_VALUE"""),"")</f>
        <v/>
      </c>
      <c r="C6" s="20" t="str">
        <f>IFERROR(__xludf.DUMMYFUNCTION("""COMPUTED_VALUE"""),"")</f>
        <v/>
      </c>
      <c r="D6" s="21" t="str">
        <f>IFERROR(__xludf.DUMMYFUNCTION("""COMPUTED_VALUE"""),"")</f>
        <v/>
      </c>
      <c r="E6" s="21" t="str">
        <f>IFERROR(__xludf.DUMMYFUNCTION("""COMPUTED_VALUE"""),"")</f>
        <v/>
      </c>
      <c r="F6" s="21" t="str">
        <f>IFERROR(__xludf.DUMMYFUNCTION("""COMPUTED_VALUE"""),"")</f>
        <v/>
      </c>
      <c r="G6" s="22" t="str">
        <f>IFERROR(__xludf.DUMMYFUNCTION("""COMPUTED_VALUE"""),"")</f>
        <v/>
      </c>
      <c r="H6" s="4"/>
      <c r="I6" s="5" t="s">
        <v>20</v>
      </c>
      <c r="J6" s="5" t="s">
        <v>14</v>
      </c>
      <c r="K6" s="5">
        <v>414.1</v>
      </c>
      <c r="L6" s="5">
        <v>1.22398</v>
      </c>
      <c r="M6" s="5">
        <v>5.30972</v>
      </c>
      <c r="N6" s="5">
        <v>6.53371</v>
      </c>
      <c r="O6" s="5">
        <v>1.07373</v>
      </c>
    </row>
    <row r="7">
      <c r="A7" s="12" t="str">
        <f>IFERROR(__xludf.DUMMYFUNCTION("""COMPUTED_VALUE"""),"")</f>
        <v/>
      </c>
      <c r="B7" s="13" t="str">
        <f>IFERROR(__xludf.DUMMYFUNCTION("""COMPUTED_VALUE"""),"")</f>
        <v/>
      </c>
      <c r="C7" s="14" t="str">
        <f>IFERROR(__xludf.DUMMYFUNCTION("""COMPUTED_VALUE"""),"")</f>
        <v/>
      </c>
      <c r="D7" s="15" t="str">
        <f>IFERROR(__xludf.DUMMYFUNCTION("""COMPUTED_VALUE"""),"")</f>
        <v/>
      </c>
      <c r="E7" s="15" t="str">
        <f>IFERROR(__xludf.DUMMYFUNCTION("""COMPUTED_VALUE"""),"")</f>
        <v/>
      </c>
      <c r="F7" s="15" t="str">
        <f>IFERROR(__xludf.DUMMYFUNCTION("""COMPUTED_VALUE"""),"")</f>
        <v/>
      </c>
      <c r="G7" s="16" t="str">
        <f>IFERROR(__xludf.DUMMYFUNCTION("""COMPUTED_VALUE"""),"")</f>
        <v/>
      </c>
      <c r="H7" s="4"/>
      <c r="I7" s="5" t="s">
        <v>21</v>
      </c>
      <c r="J7" s="5" t="s">
        <v>22</v>
      </c>
      <c r="K7" s="5">
        <v>675.0</v>
      </c>
      <c r="L7" s="5">
        <v>3.91832</v>
      </c>
      <c r="M7" s="5">
        <v>2.25513</v>
      </c>
      <c r="N7" s="5">
        <v>6.17345</v>
      </c>
      <c r="O7" s="5">
        <v>1.68941</v>
      </c>
    </row>
    <row r="8">
      <c r="A8" s="18" t="str">
        <f>IFERROR(__xludf.DUMMYFUNCTION("""COMPUTED_VALUE"""),"")</f>
        <v/>
      </c>
      <c r="B8" s="19" t="str">
        <f>IFERROR(__xludf.DUMMYFUNCTION("""COMPUTED_VALUE"""),"")</f>
        <v/>
      </c>
      <c r="C8" s="20" t="str">
        <f>IFERROR(__xludf.DUMMYFUNCTION("""COMPUTED_VALUE"""),"")</f>
        <v/>
      </c>
      <c r="D8" s="21" t="str">
        <f>IFERROR(__xludf.DUMMYFUNCTION("""COMPUTED_VALUE"""),"")</f>
        <v/>
      </c>
      <c r="E8" s="21" t="str">
        <f>IFERROR(__xludf.DUMMYFUNCTION("""COMPUTED_VALUE"""),"")</f>
        <v/>
      </c>
      <c r="F8" s="21" t="str">
        <f>IFERROR(__xludf.DUMMYFUNCTION("""COMPUTED_VALUE"""),"")</f>
        <v/>
      </c>
      <c r="G8" s="22" t="str">
        <f>IFERROR(__xludf.DUMMYFUNCTION("""COMPUTED_VALUE"""),"")</f>
        <v/>
      </c>
      <c r="H8" s="4"/>
      <c r="I8" s="5" t="s">
        <v>25</v>
      </c>
      <c r="J8" s="5" t="s">
        <v>14</v>
      </c>
      <c r="K8" s="5">
        <v>505.7</v>
      </c>
      <c r="L8" s="5">
        <v>0.72022</v>
      </c>
      <c r="M8" s="5">
        <v>5.00288</v>
      </c>
      <c r="N8" s="5">
        <v>5.72311</v>
      </c>
      <c r="O8" s="5">
        <v>1.18669</v>
      </c>
    </row>
    <row r="9">
      <c r="A9" s="12" t="str">
        <f>IFERROR(__xludf.DUMMYFUNCTION("""COMPUTED_VALUE"""),"")</f>
        <v/>
      </c>
      <c r="B9" s="13" t="str">
        <f>IFERROR(__xludf.DUMMYFUNCTION("""COMPUTED_VALUE"""),"")</f>
        <v/>
      </c>
      <c r="C9" s="14" t="str">
        <f>IFERROR(__xludf.DUMMYFUNCTION("""COMPUTED_VALUE"""),"")</f>
        <v/>
      </c>
      <c r="D9" s="15" t="str">
        <f>IFERROR(__xludf.DUMMYFUNCTION("""COMPUTED_VALUE"""),"")</f>
        <v/>
      </c>
      <c r="E9" s="15" t="str">
        <f>IFERROR(__xludf.DUMMYFUNCTION("""COMPUTED_VALUE"""),"")</f>
        <v/>
      </c>
      <c r="F9" s="15" t="str">
        <f>IFERROR(__xludf.DUMMYFUNCTION("""COMPUTED_VALUE"""),"")</f>
        <v/>
      </c>
      <c r="G9" s="16" t="str">
        <f>IFERROR(__xludf.DUMMYFUNCTION("""COMPUTED_VALUE"""),"")</f>
        <v/>
      </c>
      <c r="H9" s="4"/>
      <c r="I9" s="5" t="s">
        <v>28</v>
      </c>
      <c r="J9" s="5" t="s">
        <v>12</v>
      </c>
      <c r="K9" s="5">
        <v>825.1</v>
      </c>
      <c r="L9" s="5">
        <v>5.55493</v>
      </c>
      <c r="M9" s="5">
        <v>-0.3217</v>
      </c>
      <c r="N9" s="5">
        <v>5.23323</v>
      </c>
      <c r="O9" s="5">
        <v>1.81331</v>
      </c>
    </row>
    <row r="10">
      <c r="A10" s="18" t="str">
        <f>IFERROR(__xludf.DUMMYFUNCTION("""COMPUTED_VALUE"""),"")</f>
        <v/>
      </c>
      <c r="B10" s="19" t="str">
        <f>IFERROR(__xludf.DUMMYFUNCTION("""COMPUTED_VALUE"""),"")</f>
        <v/>
      </c>
      <c r="C10" s="20" t="str">
        <f>IFERROR(__xludf.DUMMYFUNCTION("""COMPUTED_VALUE"""),"")</f>
        <v/>
      </c>
      <c r="D10" s="21" t="str">
        <f>IFERROR(__xludf.DUMMYFUNCTION("""COMPUTED_VALUE"""),"")</f>
        <v/>
      </c>
      <c r="E10" s="21" t="str">
        <f>IFERROR(__xludf.DUMMYFUNCTION("""COMPUTED_VALUE"""),"")</f>
        <v/>
      </c>
      <c r="F10" s="21" t="str">
        <f>IFERROR(__xludf.DUMMYFUNCTION("""COMPUTED_VALUE"""),"")</f>
        <v/>
      </c>
      <c r="G10" s="22" t="str">
        <f>IFERROR(__xludf.DUMMYFUNCTION("""COMPUTED_VALUE"""),"")</f>
        <v/>
      </c>
      <c r="H10" s="4"/>
      <c r="I10" s="5" t="s">
        <v>29</v>
      </c>
      <c r="J10" s="5" t="s">
        <v>30</v>
      </c>
      <c r="K10" s="5">
        <v>630.0</v>
      </c>
      <c r="L10" s="5">
        <v>1.53958</v>
      </c>
      <c r="M10" s="5">
        <v>3.54407</v>
      </c>
      <c r="N10" s="5">
        <v>5.08364</v>
      </c>
      <c r="O10" s="5">
        <v>1.37062</v>
      </c>
    </row>
    <row r="11">
      <c r="A11" s="12" t="str">
        <f>IFERROR(__xludf.DUMMYFUNCTION("""COMPUTED_VALUE"""),"")</f>
        <v/>
      </c>
      <c r="B11" s="13" t="str">
        <f>IFERROR(__xludf.DUMMYFUNCTION("""COMPUTED_VALUE"""),"")</f>
        <v/>
      </c>
      <c r="C11" s="14" t="str">
        <f>IFERROR(__xludf.DUMMYFUNCTION("""COMPUTED_VALUE"""),"")</f>
        <v/>
      </c>
      <c r="D11" s="15" t="str">
        <f>IFERROR(__xludf.DUMMYFUNCTION("""COMPUTED_VALUE"""),"")</f>
        <v/>
      </c>
      <c r="E11" s="15" t="str">
        <f>IFERROR(__xludf.DUMMYFUNCTION("""COMPUTED_VALUE"""),"")</f>
        <v/>
      </c>
      <c r="F11" s="15" t="str">
        <f>IFERROR(__xludf.DUMMYFUNCTION("""COMPUTED_VALUE"""),"")</f>
        <v/>
      </c>
      <c r="G11" s="16" t="str">
        <f>IFERROR(__xludf.DUMMYFUNCTION("""COMPUTED_VALUE"""),"")</f>
        <v/>
      </c>
      <c r="H11" s="4"/>
      <c r="I11" s="5" t="s">
        <v>33</v>
      </c>
      <c r="J11" s="5" t="s">
        <v>12</v>
      </c>
      <c r="K11" s="5">
        <v>579.1</v>
      </c>
      <c r="L11" s="5">
        <v>3.34835</v>
      </c>
      <c r="M11" s="5">
        <v>1.527</v>
      </c>
      <c r="N11" s="5">
        <v>4.87535</v>
      </c>
      <c r="O11" s="5">
        <v>1.20971</v>
      </c>
    </row>
    <row r="12">
      <c r="A12" s="18" t="str">
        <f>IFERROR(__xludf.DUMMYFUNCTION("""COMPUTED_VALUE"""),"")</f>
        <v/>
      </c>
      <c r="B12" s="19" t="str">
        <f>IFERROR(__xludf.DUMMYFUNCTION("""COMPUTED_VALUE"""),"")</f>
        <v/>
      </c>
      <c r="C12" s="20" t="str">
        <f>IFERROR(__xludf.DUMMYFUNCTION("""COMPUTED_VALUE"""),"")</f>
        <v/>
      </c>
      <c r="D12" s="21" t="str">
        <f>IFERROR(__xludf.DUMMYFUNCTION("""COMPUTED_VALUE"""),"")</f>
        <v/>
      </c>
      <c r="E12" s="21" t="str">
        <f>IFERROR(__xludf.DUMMYFUNCTION("""COMPUTED_VALUE"""),"")</f>
        <v/>
      </c>
      <c r="F12" s="21" t="str">
        <f>IFERROR(__xludf.DUMMYFUNCTION("""COMPUTED_VALUE"""),"")</f>
        <v/>
      </c>
      <c r="G12" s="22" t="str">
        <f>IFERROR(__xludf.DUMMYFUNCTION("""COMPUTED_VALUE"""),"")</f>
        <v/>
      </c>
      <c r="H12" s="4"/>
      <c r="I12" s="5" t="s">
        <v>34</v>
      </c>
      <c r="J12" s="5" t="s">
        <v>36</v>
      </c>
      <c r="K12" s="5">
        <v>905.0</v>
      </c>
      <c r="L12" s="5">
        <v>2.72886</v>
      </c>
      <c r="M12" s="5">
        <v>1.97296</v>
      </c>
      <c r="N12" s="5">
        <v>4.70182</v>
      </c>
      <c r="O12" s="5">
        <v>1.82365</v>
      </c>
    </row>
    <row r="13">
      <c r="A13" s="12" t="str">
        <f>IFERROR(__xludf.DUMMYFUNCTION("""COMPUTED_VALUE"""),"")</f>
        <v/>
      </c>
      <c r="B13" s="13" t="str">
        <f>IFERROR(__xludf.DUMMYFUNCTION("""COMPUTED_VALUE"""),"")</f>
        <v/>
      </c>
      <c r="C13" s="14" t="str">
        <f>IFERROR(__xludf.DUMMYFUNCTION("""COMPUTED_VALUE"""),"")</f>
        <v/>
      </c>
      <c r="D13" s="15" t="str">
        <f>IFERROR(__xludf.DUMMYFUNCTION("""COMPUTED_VALUE"""),"")</f>
        <v/>
      </c>
      <c r="E13" s="15" t="str">
        <f>IFERROR(__xludf.DUMMYFUNCTION("""COMPUTED_VALUE"""),"")</f>
        <v/>
      </c>
      <c r="F13" s="15" t="str">
        <f>IFERROR(__xludf.DUMMYFUNCTION("""COMPUTED_VALUE"""),"")</f>
        <v/>
      </c>
      <c r="G13" s="16" t="str">
        <f>IFERROR(__xludf.DUMMYFUNCTION("""COMPUTED_VALUE"""),"")</f>
        <v/>
      </c>
      <c r="H13" s="4"/>
      <c r="I13" s="5" t="s">
        <v>37</v>
      </c>
      <c r="J13" s="5" t="s">
        <v>30</v>
      </c>
      <c r="K13" s="5">
        <v>674.0</v>
      </c>
      <c r="L13" s="5">
        <v>0.46809</v>
      </c>
      <c r="M13" s="5">
        <v>3.739</v>
      </c>
      <c r="N13" s="5">
        <v>4.20709</v>
      </c>
      <c r="O13" s="5">
        <v>1.28373</v>
      </c>
    </row>
    <row r="14">
      <c r="A14" s="18" t="str">
        <f>IFERROR(__xludf.DUMMYFUNCTION("""COMPUTED_VALUE"""),"")</f>
        <v/>
      </c>
      <c r="B14" s="19" t="str">
        <f>IFERROR(__xludf.DUMMYFUNCTION("""COMPUTED_VALUE"""),"")</f>
        <v/>
      </c>
      <c r="C14" s="20" t="str">
        <f>IFERROR(__xludf.DUMMYFUNCTION("""COMPUTED_VALUE"""),"")</f>
        <v/>
      </c>
      <c r="D14" s="21" t="str">
        <f>IFERROR(__xludf.DUMMYFUNCTION("""COMPUTED_VALUE"""),"")</f>
        <v/>
      </c>
      <c r="E14" s="21" t="str">
        <f>IFERROR(__xludf.DUMMYFUNCTION("""COMPUTED_VALUE"""),"")</f>
        <v/>
      </c>
      <c r="F14" s="21" t="str">
        <f>IFERROR(__xludf.DUMMYFUNCTION("""COMPUTED_VALUE"""),"")</f>
        <v/>
      </c>
      <c r="G14" s="22" t="str">
        <f>IFERROR(__xludf.DUMMYFUNCTION("""COMPUTED_VALUE"""),"")</f>
        <v/>
      </c>
      <c r="H14" s="4"/>
      <c r="I14" s="5" t="s">
        <v>40</v>
      </c>
      <c r="J14" s="5" t="s">
        <v>41</v>
      </c>
      <c r="K14" s="5">
        <v>841.0</v>
      </c>
      <c r="L14" s="5">
        <v>1.95818</v>
      </c>
      <c r="M14" s="5">
        <v>2.22838</v>
      </c>
      <c r="N14" s="5">
        <v>4.18656</v>
      </c>
      <c r="O14" s="5">
        <v>1.58693</v>
      </c>
    </row>
    <row r="15">
      <c r="A15" s="12" t="str">
        <f>IFERROR(__xludf.DUMMYFUNCTION("""COMPUTED_VALUE"""),"")</f>
        <v/>
      </c>
      <c r="B15" s="13" t="str">
        <f>IFERROR(__xludf.DUMMYFUNCTION("""COMPUTED_VALUE"""),"")</f>
        <v/>
      </c>
      <c r="C15" s="14" t="str">
        <f>IFERROR(__xludf.DUMMYFUNCTION("""COMPUTED_VALUE"""),"")</f>
        <v/>
      </c>
      <c r="D15" s="15" t="str">
        <f>IFERROR(__xludf.DUMMYFUNCTION("""COMPUTED_VALUE"""),"")</f>
        <v/>
      </c>
      <c r="E15" s="15" t="str">
        <f>IFERROR(__xludf.DUMMYFUNCTION("""COMPUTED_VALUE"""),"")</f>
        <v/>
      </c>
      <c r="F15" s="15" t="str">
        <f>IFERROR(__xludf.DUMMYFUNCTION("""COMPUTED_VALUE"""),"")</f>
        <v/>
      </c>
      <c r="G15" s="16" t="str">
        <f>IFERROR(__xludf.DUMMYFUNCTION("""COMPUTED_VALUE"""),"")</f>
        <v/>
      </c>
      <c r="H15" s="4"/>
      <c r="I15" s="5" t="s">
        <v>45</v>
      </c>
      <c r="J15" s="5" t="s">
        <v>19</v>
      </c>
      <c r="K15" s="5">
        <v>306.2</v>
      </c>
      <c r="L15" s="5">
        <v>3.73143</v>
      </c>
      <c r="M15" s="5">
        <v>0.44504</v>
      </c>
      <c r="N15" s="5">
        <v>4.17647</v>
      </c>
      <c r="O15" s="5">
        <v>0.57031</v>
      </c>
    </row>
    <row r="16">
      <c r="A16" s="18" t="str">
        <f>IFERROR(__xludf.DUMMYFUNCTION("""COMPUTED_VALUE"""),"")</f>
        <v/>
      </c>
      <c r="B16" s="19" t="str">
        <f>IFERROR(__xludf.DUMMYFUNCTION("""COMPUTED_VALUE"""),"")</f>
        <v/>
      </c>
      <c r="C16" s="20" t="str">
        <f>IFERROR(__xludf.DUMMYFUNCTION("""COMPUTED_VALUE"""),"")</f>
        <v/>
      </c>
      <c r="D16" s="21" t="str">
        <f>IFERROR(__xludf.DUMMYFUNCTION("""COMPUTED_VALUE"""),"")</f>
        <v/>
      </c>
      <c r="E16" s="21" t="str">
        <f>IFERROR(__xludf.DUMMYFUNCTION("""COMPUTED_VALUE"""),"")</f>
        <v/>
      </c>
      <c r="F16" s="21" t="str">
        <f>IFERROR(__xludf.DUMMYFUNCTION("""COMPUTED_VALUE"""),"")</f>
        <v/>
      </c>
      <c r="G16" s="22" t="str">
        <f>IFERROR(__xludf.DUMMYFUNCTION("""COMPUTED_VALUE"""),"")</f>
        <v/>
      </c>
      <c r="H16" s="4"/>
      <c r="I16" s="5" t="s">
        <v>48</v>
      </c>
      <c r="J16" s="5" t="s">
        <v>36</v>
      </c>
      <c r="K16" s="5">
        <v>953.0</v>
      </c>
      <c r="L16" s="5">
        <v>2.17241</v>
      </c>
      <c r="M16" s="5">
        <v>1.8866</v>
      </c>
      <c r="N16" s="5">
        <v>4.05901</v>
      </c>
      <c r="O16" s="5">
        <v>1.73564</v>
      </c>
    </row>
    <row r="17">
      <c r="A17" s="12" t="str">
        <f>IFERROR(__xludf.DUMMYFUNCTION("""COMPUTED_VALUE"""),"")</f>
        <v/>
      </c>
      <c r="B17" s="13" t="str">
        <f>IFERROR(__xludf.DUMMYFUNCTION("""COMPUTED_VALUE"""),"")</f>
        <v/>
      </c>
      <c r="C17" s="14" t="str">
        <f>IFERROR(__xludf.DUMMYFUNCTION("""COMPUTED_VALUE"""),"")</f>
        <v/>
      </c>
      <c r="D17" s="15" t="str">
        <f>IFERROR(__xludf.DUMMYFUNCTION("""COMPUTED_VALUE"""),"")</f>
        <v/>
      </c>
      <c r="E17" s="15" t="str">
        <f>IFERROR(__xludf.DUMMYFUNCTION("""COMPUTED_VALUE"""),"")</f>
        <v/>
      </c>
      <c r="F17" s="15" t="str">
        <f>IFERROR(__xludf.DUMMYFUNCTION("""COMPUTED_VALUE"""),"")</f>
        <v/>
      </c>
      <c r="G17" s="16" t="str">
        <f>IFERROR(__xludf.DUMMYFUNCTION("""COMPUTED_VALUE"""),"")</f>
        <v/>
      </c>
      <c r="H17" s="4"/>
      <c r="I17" s="5" t="s">
        <v>50</v>
      </c>
      <c r="J17" s="5" t="s">
        <v>51</v>
      </c>
      <c r="K17" s="5">
        <v>361.0</v>
      </c>
      <c r="L17" s="5">
        <v>-0.07175</v>
      </c>
      <c r="M17" s="5">
        <v>3.93548</v>
      </c>
      <c r="N17" s="5">
        <v>3.86374</v>
      </c>
      <c r="O17" s="5">
        <v>0.64543</v>
      </c>
    </row>
    <row r="18">
      <c r="A18" s="18" t="str">
        <f>IFERROR(__xludf.DUMMYFUNCTION("""COMPUTED_VALUE"""),"")</f>
        <v/>
      </c>
      <c r="B18" s="19" t="str">
        <f>IFERROR(__xludf.DUMMYFUNCTION("""COMPUTED_VALUE"""),"")</f>
        <v/>
      </c>
      <c r="C18" s="20" t="str">
        <f>IFERROR(__xludf.DUMMYFUNCTION("""COMPUTED_VALUE"""),"")</f>
        <v/>
      </c>
      <c r="D18" s="21" t="str">
        <f>IFERROR(__xludf.DUMMYFUNCTION("""COMPUTED_VALUE"""),"")</f>
        <v/>
      </c>
      <c r="E18" s="21" t="str">
        <f>IFERROR(__xludf.DUMMYFUNCTION("""COMPUTED_VALUE"""),"")</f>
        <v/>
      </c>
      <c r="F18" s="21" t="str">
        <f>IFERROR(__xludf.DUMMYFUNCTION("""COMPUTED_VALUE"""),"")</f>
        <v/>
      </c>
      <c r="G18" s="22" t="str">
        <f>IFERROR(__xludf.DUMMYFUNCTION("""COMPUTED_VALUE"""),"")</f>
        <v/>
      </c>
      <c r="H18" s="4"/>
      <c r="I18" s="5" t="s">
        <v>55</v>
      </c>
      <c r="J18" s="5" t="s">
        <v>12</v>
      </c>
      <c r="K18" s="5">
        <v>937.0</v>
      </c>
      <c r="L18" s="5">
        <v>5.35589</v>
      </c>
      <c r="M18" s="5">
        <v>-1.53732</v>
      </c>
      <c r="N18" s="5">
        <v>3.81857</v>
      </c>
      <c r="O18" s="5">
        <v>1.65596</v>
      </c>
    </row>
    <row r="19">
      <c r="A19" s="12" t="str">
        <f>IFERROR(__xludf.DUMMYFUNCTION("""COMPUTED_VALUE"""),"")</f>
        <v/>
      </c>
      <c r="B19" s="13" t="str">
        <f>IFERROR(__xludf.DUMMYFUNCTION("""COMPUTED_VALUE"""),"")</f>
        <v/>
      </c>
      <c r="C19" s="14" t="str">
        <f>IFERROR(__xludf.DUMMYFUNCTION("""COMPUTED_VALUE"""),"")</f>
        <v/>
      </c>
      <c r="D19" s="15" t="str">
        <f>IFERROR(__xludf.DUMMYFUNCTION("""COMPUTED_VALUE"""),"")</f>
        <v/>
      </c>
      <c r="E19" s="15" t="str">
        <f>IFERROR(__xludf.DUMMYFUNCTION("""COMPUTED_VALUE"""),"")</f>
        <v/>
      </c>
      <c r="F19" s="15" t="str">
        <f>IFERROR(__xludf.DUMMYFUNCTION("""COMPUTED_VALUE"""),"")</f>
        <v/>
      </c>
      <c r="G19" s="16" t="str">
        <f>IFERROR(__xludf.DUMMYFUNCTION("""COMPUTED_VALUE"""),"")</f>
        <v/>
      </c>
      <c r="H19" s="4"/>
      <c r="I19" s="5" t="s">
        <v>58</v>
      </c>
      <c r="J19" s="5" t="s">
        <v>60</v>
      </c>
      <c r="K19" s="5">
        <v>845.4</v>
      </c>
      <c r="L19" s="5">
        <v>0.94697</v>
      </c>
      <c r="M19" s="5">
        <v>2.76829</v>
      </c>
      <c r="N19" s="5">
        <v>3.71526</v>
      </c>
      <c r="O19" s="5">
        <v>1.4731</v>
      </c>
    </row>
    <row r="20">
      <c r="A20" s="18" t="str">
        <f>IFERROR(__xludf.DUMMYFUNCTION("""COMPUTED_VALUE"""),"")</f>
        <v/>
      </c>
      <c r="B20" s="19" t="str">
        <f>IFERROR(__xludf.DUMMYFUNCTION("""COMPUTED_VALUE"""),"")</f>
        <v/>
      </c>
      <c r="C20" s="20" t="str">
        <f>IFERROR(__xludf.DUMMYFUNCTION("""COMPUTED_VALUE"""),"")</f>
        <v/>
      </c>
      <c r="D20" s="21" t="str">
        <f>IFERROR(__xludf.DUMMYFUNCTION("""COMPUTED_VALUE"""),"")</f>
        <v/>
      </c>
      <c r="E20" s="21" t="str">
        <f>IFERROR(__xludf.DUMMYFUNCTION("""COMPUTED_VALUE"""),"")</f>
        <v/>
      </c>
      <c r="F20" s="21" t="str">
        <f>IFERROR(__xludf.DUMMYFUNCTION("""COMPUTED_VALUE"""),"")</f>
        <v/>
      </c>
      <c r="G20" s="22" t="str">
        <f>IFERROR(__xludf.DUMMYFUNCTION("""COMPUTED_VALUE"""),"")</f>
        <v/>
      </c>
      <c r="H20" s="4"/>
      <c r="I20" s="5" t="s">
        <v>62</v>
      </c>
      <c r="J20" s="5" t="s">
        <v>41</v>
      </c>
      <c r="K20" s="5">
        <v>723.8</v>
      </c>
      <c r="L20" s="5">
        <v>2.44177</v>
      </c>
      <c r="M20" s="5">
        <v>1.18517</v>
      </c>
      <c r="N20" s="5">
        <v>3.62694</v>
      </c>
      <c r="O20" s="5">
        <v>1.24194</v>
      </c>
    </row>
    <row r="21">
      <c r="A21" s="12" t="str">
        <f>IFERROR(__xludf.DUMMYFUNCTION("""COMPUTED_VALUE"""),"")</f>
        <v/>
      </c>
      <c r="B21" s="13" t="str">
        <f>IFERROR(__xludf.DUMMYFUNCTION("""COMPUTED_VALUE"""),"")</f>
        <v/>
      </c>
      <c r="C21" s="14" t="str">
        <f>IFERROR(__xludf.DUMMYFUNCTION("""COMPUTED_VALUE"""),"")</f>
        <v/>
      </c>
      <c r="D21" s="15" t="str">
        <f>IFERROR(__xludf.DUMMYFUNCTION("""COMPUTED_VALUE"""),"")</f>
        <v/>
      </c>
      <c r="E21" s="15" t="str">
        <f>IFERROR(__xludf.DUMMYFUNCTION("""COMPUTED_VALUE"""),"")</f>
        <v/>
      </c>
      <c r="F21" s="15" t="str">
        <f>IFERROR(__xludf.DUMMYFUNCTION("""COMPUTED_VALUE"""),"")</f>
        <v/>
      </c>
      <c r="G21" s="16" t="str">
        <f>IFERROR(__xludf.DUMMYFUNCTION("""COMPUTED_VALUE"""),"")</f>
        <v/>
      </c>
      <c r="H21" s="4"/>
      <c r="I21" s="5" t="s">
        <v>63</v>
      </c>
      <c r="J21" s="5" t="s">
        <v>64</v>
      </c>
      <c r="K21" s="5">
        <v>612.9</v>
      </c>
      <c r="L21" s="5">
        <v>-0.62796</v>
      </c>
      <c r="M21" s="5">
        <v>4.24536</v>
      </c>
      <c r="N21" s="5">
        <v>3.6174</v>
      </c>
      <c r="O21" s="5">
        <v>1.04967</v>
      </c>
    </row>
    <row r="22">
      <c r="A22" s="18" t="str">
        <f>IFERROR(__xludf.DUMMYFUNCTION("""COMPUTED_VALUE"""),"")</f>
        <v/>
      </c>
      <c r="B22" s="19" t="str">
        <f>IFERROR(__xludf.DUMMYFUNCTION("""COMPUTED_VALUE"""),"")</f>
        <v/>
      </c>
      <c r="C22" s="20" t="str">
        <f>IFERROR(__xludf.DUMMYFUNCTION("""COMPUTED_VALUE"""),"")</f>
        <v/>
      </c>
      <c r="D22" s="21" t="str">
        <f>IFERROR(__xludf.DUMMYFUNCTION("""COMPUTED_VALUE"""),"")</f>
        <v/>
      </c>
      <c r="E22" s="21" t="str">
        <f>IFERROR(__xludf.DUMMYFUNCTION("""COMPUTED_VALUE"""),"")</f>
        <v/>
      </c>
      <c r="F22" s="21" t="str">
        <f>IFERROR(__xludf.DUMMYFUNCTION("""COMPUTED_VALUE"""),"")</f>
        <v/>
      </c>
      <c r="G22" s="22" t="str">
        <f>IFERROR(__xludf.DUMMYFUNCTION("""COMPUTED_VALUE"""),"")</f>
        <v/>
      </c>
      <c r="H22" s="4"/>
      <c r="I22" s="5" t="s">
        <v>67</v>
      </c>
      <c r="J22" s="5" t="s">
        <v>41</v>
      </c>
      <c r="K22" s="5">
        <v>606.8</v>
      </c>
      <c r="L22" s="5">
        <v>0.22895</v>
      </c>
      <c r="M22" s="5">
        <v>3.35016</v>
      </c>
      <c r="N22" s="5">
        <v>3.57911</v>
      </c>
      <c r="O22" s="5">
        <v>1.03233</v>
      </c>
    </row>
    <row r="23">
      <c r="A23" s="12" t="str">
        <f>IFERROR(__xludf.DUMMYFUNCTION("""COMPUTED_VALUE"""),"")</f>
        <v/>
      </c>
      <c r="B23" s="13" t="str">
        <f>IFERROR(__xludf.DUMMYFUNCTION("""COMPUTED_VALUE"""),"")</f>
        <v/>
      </c>
      <c r="C23" s="14" t="str">
        <f>IFERROR(__xludf.DUMMYFUNCTION("""COMPUTED_VALUE"""),"")</f>
        <v/>
      </c>
      <c r="D23" s="15" t="str">
        <f>IFERROR(__xludf.DUMMYFUNCTION("""COMPUTED_VALUE"""),"")</f>
        <v/>
      </c>
      <c r="E23" s="15" t="str">
        <f>IFERROR(__xludf.DUMMYFUNCTION("""COMPUTED_VALUE"""),"")</f>
        <v/>
      </c>
      <c r="F23" s="15" t="str">
        <f>IFERROR(__xludf.DUMMYFUNCTION("""COMPUTED_VALUE"""),"")</f>
        <v/>
      </c>
      <c r="G23" s="16" t="str">
        <f>IFERROR(__xludf.DUMMYFUNCTION("""COMPUTED_VALUE"""),"")</f>
        <v/>
      </c>
      <c r="H23" s="4"/>
      <c r="I23" s="5" t="s">
        <v>68</v>
      </c>
      <c r="J23" s="5" t="s">
        <v>12</v>
      </c>
      <c r="K23" s="5">
        <v>465.0</v>
      </c>
      <c r="L23" s="5">
        <v>1.43749</v>
      </c>
      <c r="M23" s="5">
        <v>1.85364</v>
      </c>
      <c r="N23" s="5">
        <v>3.29113</v>
      </c>
      <c r="O23" s="5">
        <v>0.7477</v>
      </c>
    </row>
    <row r="24">
      <c r="A24" s="18" t="str">
        <f>IFERROR(__xludf.DUMMYFUNCTION("""COMPUTED_VALUE"""),"")</f>
        <v/>
      </c>
      <c r="B24" s="19" t="str">
        <f>IFERROR(__xludf.DUMMYFUNCTION("""COMPUTED_VALUE"""),"")</f>
        <v/>
      </c>
      <c r="C24" s="20" t="str">
        <f>IFERROR(__xludf.DUMMYFUNCTION("""COMPUTED_VALUE"""),"")</f>
        <v/>
      </c>
      <c r="D24" s="21" t="str">
        <f>IFERROR(__xludf.DUMMYFUNCTION("""COMPUTED_VALUE"""),"")</f>
        <v/>
      </c>
      <c r="E24" s="21" t="str">
        <f>IFERROR(__xludf.DUMMYFUNCTION("""COMPUTED_VALUE"""),"")</f>
        <v/>
      </c>
      <c r="F24" s="21" t="str">
        <f>IFERROR(__xludf.DUMMYFUNCTION("""COMPUTED_VALUE"""),"")</f>
        <v/>
      </c>
      <c r="G24" s="22" t="str">
        <f>IFERROR(__xludf.DUMMYFUNCTION("""COMPUTED_VALUE"""),"")</f>
        <v/>
      </c>
      <c r="H24" s="4"/>
      <c r="I24" s="5" t="s">
        <v>69</v>
      </c>
      <c r="J24" s="5" t="s">
        <v>36</v>
      </c>
      <c r="K24" s="5">
        <v>242.0</v>
      </c>
      <c r="L24" s="5">
        <v>1.26616</v>
      </c>
      <c r="M24" s="5">
        <v>1.76431</v>
      </c>
      <c r="N24" s="5">
        <v>3.03047</v>
      </c>
      <c r="O24" s="5">
        <v>0.36562</v>
      </c>
    </row>
    <row r="25">
      <c r="A25" s="12" t="str">
        <f>IFERROR(__xludf.DUMMYFUNCTION("""COMPUTED_VALUE"""),"")</f>
        <v/>
      </c>
      <c r="B25" s="13" t="str">
        <f>IFERROR(__xludf.DUMMYFUNCTION("""COMPUTED_VALUE"""),"")</f>
        <v/>
      </c>
      <c r="C25" s="14" t="str">
        <f>IFERROR(__xludf.DUMMYFUNCTION("""COMPUTED_VALUE"""),"")</f>
        <v/>
      </c>
      <c r="D25" s="15" t="str">
        <f>IFERROR(__xludf.DUMMYFUNCTION("""COMPUTED_VALUE"""),"")</f>
        <v/>
      </c>
      <c r="E25" s="15" t="str">
        <f>IFERROR(__xludf.DUMMYFUNCTION("""COMPUTED_VALUE"""),"")</f>
        <v/>
      </c>
      <c r="F25" s="15" t="str">
        <f>IFERROR(__xludf.DUMMYFUNCTION("""COMPUTED_VALUE"""),"")</f>
        <v/>
      </c>
      <c r="G25" s="16" t="str">
        <f>IFERROR(__xludf.DUMMYFUNCTION("""COMPUTED_VALUE"""),"")</f>
        <v/>
      </c>
      <c r="H25" s="4"/>
      <c r="I25" s="5" t="s">
        <v>71</v>
      </c>
      <c r="J25" s="5" t="s">
        <v>72</v>
      </c>
      <c r="K25" s="5">
        <v>696.8</v>
      </c>
      <c r="L25" s="5">
        <v>1.92071</v>
      </c>
      <c r="M25" s="5">
        <v>1.0404</v>
      </c>
      <c r="N25" s="5">
        <v>2.96112</v>
      </c>
      <c r="O25" s="5">
        <v>1.07145</v>
      </c>
    </row>
    <row r="26">
      <c r="A26" s="18" t="str">
        <f>IFERROR(__xludf.DUMMYFUNCTION("""COMPUTED_VALUE"""),"")</f>
        <v/>
      </c>
      <c r="B26" s="19" t="str">
        <f>IFERROR(__xludf.DUMMYFUNCTION("""COMPUTED_VALUE"""),"")</f>
        <v/>
      </c>
      <c r="C26" s="20" t="str">
        <f>IFERROR(__xludf.DUMMYFUNCTION("""COMPUTED_VALUE"""),"")</f>
        <v/>
      </c>
      <c r="D26" s="21" t="str">
        <f>IFERROR(__xludf.DUMMYFUNCTION("""COMPUTED_VALUE"""),"")</f>
        <v/>
      </c>
      <c r="E26" s="21" t="str">
        <f>IFERROR(__xludf.DUMMYFUNCTION("""COMPUTED_VALUE"""),"")</f>
        <v/>
      </c>
      <c r="F26" s="21" t="str">
        <f>IFERROR(__xludf.DUMMYFUNCTION("""COMPUTED_VALUE"""),"")</f>
        <v/>
      </c>
      <c r="G26" s="22" t="str">
        <f>IFERROR(__xludf.DUMMYFUNCTION("""COMPUTED_VALUE"""),"")</f>
        <v/>
      </c>
      <c r="H26" s="4"/>
      <c r="I26" s="5" t="s">
        <v>75</v>
      </c>
      <c r="J26" s="5" t="s">
        <v>76</v>
      </c>
      <c r="K26" s="5">
        <v>627.0</v>
      </c>
      <c r="L26" s="5">
        <v>1.21288</v>
      </c>
      <c r="M26" s="5">
        <v>1.72979</v>
      </c>
      <c r="N26" s="5">
        <v>2.94267</v>
      </c>
      <c r="O26" s="5">
        <v>0.95767</v>
      </c>
    </row>
    <row r="27">
      <c r="A27" s="12" t="str">
        <f>IFERROR(__xludf.DUMMYFUNCTION("""COMPUTED_VALUE"""),"")</f>
        <v/>
      </c>
      <c r="B27" s="13" t="str">
        <f>IFERROR(__xludf.DUMMYFUNCTION("""COMPUTED_VALUE"""),"")</f>
        <v/>
      </c>
      <c r="C27" s="14" t="str">
        <f>IFERROR(__xludf.DUMMYFUNCTION("""COMPUTED_VALUE"""),"")</f>
        <v/>
      </c>
      <c r="D27" s="15" t="str">
        <f>IFERROR(__xludf.DUMMYFUNCTION("""COMPUTED_VALUE"""),"")</f>
        <v/>
      </c>
      <c r="E27" s="15" t="str">
        <f>IFERROR(__xludf.DUMMYFUNCTION("""COMPUTED_VALUE"""),"")</f>
        <v/>
      </c>
      <c r="F27" s="15" t="str">
        <f>IFERROR(__xludf.DUMMYFUNCTION("""COMPUTED_VALUE"""),"")</f>
        <v/>
      </c>
      <c r="G27" s="16" t="str">
        <f>IFERROR(__xludf.DUMMYFUNCTION("""COMPUTED_VALUE"""),"")</f>
        <v/>
      </c>
      <c r="H27" s="4"/>
      <c r="I27" s="5" t="s">
        <v>80</v>
      </c>
      <c r="J27" s="5" t="s">
        <v>36</v>
      </c>
      <c r="K27" s="5">
        <v>597.0</v>
      </c>
      <c r="L27" s="5">
        <v>3.27908</v>
      </c>
      <c r="M27" s="5">
        <v>-0.36518</v>
      </c>
      <c r="N27" s="5">
        <v>2.9139</v>
      </c>
      <c r="O27" s="5">
        <v>0.88231</v>
      </c>
    </row>
    <row r="28">
      <c r="A28" s="18" t="str">
        <f>IFERROR(__xludf.DUMMYFUNCTION("""COMPUTED_VALUE"""),"")</f>
        <v/>
      </c>
      <c r="B28" s="19" t="str">
        <f>IFERROR(__xludf.DUMMYFUNCTION("""COMPUTED_VALUE"""),"")</f>
        <v/>
      </c>
      <c r="C28" s="20" t="str">
        <f>IFERROR(__xludf.DUMMYFUNCTION("""COMPUTED_VALUE"""),"")</f>
        <v/>
      </c>
      <c r="D28" s="21" t="str">
        <f>IFERROR(__xludf.DUMMYFUNCTION("""COMPUTED_VALUE"""),"")</f>
        <v/>
      </c>
      <c r="E28" s="21" t="str">
        <f>IFERROR(__xludf.DUMMYFUNCTION("""COMPUTED_VALUE"""),"")</f>
        <v/>
      </c>
      <c r="F28" s="21" t="str">
        <f>IFERROR(__xludf.DUMMYFUNCTION("""COMPUTED_VALUE"""),"")</f>
        <v/>
      </c>
      <c r="G28" s="22" t="str">
        <f>IFERROR(__xludf.DUMMYFUNCTION("""COMPUTED_VALUE"""),"")</f>
        <v/>
      </c>
      <c r="H28" s="4"/>
      <c r="I28" s="5" t="s">
        <v>17</v>
      </c>
      <c r="J28" s="5" t="s">
        <v>14</v>
      </c>
      <c r="K28" s="5">
        <v>599.9</v>
      </c>
      <c r="L28" s="5">
        <v>2.82686</v>
      </c>
      <c r="M28" s="5">
        <v>0.04709</v>
      </c>
      <c r="N28" s="5">
        <v>2.87396</v>
      </c>
      <c r="O28" s="5">
        <v>0.88841</v>
      </c>
    </row>
    <row r="29">
      <c r="A29" s="12" t="str">
        <f>IFERROR(__xludf.DUMMYFUNCTION("""COMPUTED_VALUE"""),"")</f>
        <v/>
      </c>
      <c r="B29" s="13" t="str">
        <f>IFERROR(__xludf.DUMMYFUNCTION("""COMPUTED_VALUE"""),"")</f>
        <v/>
      </c>
      <c r="C29" s="14" t="str">
        <f>IFERROR(__xludf.DUMMYFUNCTION("""COMPUTED_VALUE"""),"")</f>
        <v/>
      </c>
      <c r="D29" s="15" t="str">
        <f>IFERROR(__xludf.DUMMYFUNCTION("""COMPUTED_VALUE"""),"")</f>
        <v/>
      </c>
      <c r="E29" s="15" t="str">
        <f>IFERROR(__xludf.DUMMYFUNCTION("""COMPUTED_VALUE"""),"")</f>
        <v/>
      </c>
      <c r="F29" s="15" t="str">
        <f>IFERROR(__xludf.DUMMYFUNCTION("""COMPUTED_VALUE"""),"")</f>
        <v/>
      </c>
      <c r="G29" s="16" t="str">
        <f>IFERROR(__xludf.DUMMYFUNCTION("""COMPUTED_VALUE"""),"")</f>
        <v/>
      </c>
      <c r="H29" s="4"/>
      <c r="I29" s="5" t="s">
        <v>83</v>
      </c>
      <c r="J29" s="5" t="s">
        <v>36</v>
      </c>
      <c r="K29" s="5">
        <v>237.8</v>
      </c>
      <c r="L29" s="5">
        <v>5.46843</v>
      </c>
      <c r="M29" s="5">
        <v>-2.60369</v>
      </c>
      <c r="N29" s="5">
        <v>2.86474</v>
      </c>
      <c r="O29" s="5">
        <v>0.34787</v>
      </c>
    </row>
    <row r="30">
      <c r="A30" s="18" t="str">
        <f>IFERROR(__xludf.DUMMYFUNCTION("""COMPUTED_VALUE"""),"")</f>
        <v/>
      </c>
      <c r="B30" s="19" t="str">
        <f>IFERROR(__xludf.DUMMYFUNCTION("""COMPUTED_VALUE"""),"")</f>
        <v/>
      </c>
      <c r="C30" s="20" t="str">
        <f>IFERROR(__xludf.DUMMYFUNCTION("""COMPUTED_VALUE"""),"")</f>
        <v/>
      </c>
      <c r="D30" s="21" t="str">
        <f>IFERROR(__xludf.DUMMYFUNCTION("""COMPUTED_VALUE"""),"")</f>
        <v/>
      </c>
      <c r="E30" s="21" t="str">
        <f>IFERROR(__xludf.DUMMYFUNCTION("""COMPUTED_VALUE"""),"")</f>
        <v/>
      </c>
      <c r="F30" s="21" t="str">
        <f>IFERROR(__xludf.DUMMYFUNCTION("""COMPUTED_VALUE"""),"")</f>
        <v/>
      </c>
      <c r="G30" s="22" t="str">
        <f>IFERROR(__xludf.DUMMYFUNCTION("""COMPUTED_VALUE"""),"")</f>
        <v/>
      </c>
      <c r="H30" s="4"/>
      <c r="I30" s="5" t="s">
        <v>87</v>
      </c>
      <c r="J30" s="5" t="s">
        <v>51</v>
      </c>
      <c r="K30" s="5">
        <v>725.6</v>
      </c>
      <c r="L30" s="5">
        <v>0.85642</v>
      </c>
      <c r="M30" s="5">
        <v>1.97395</v>
      </c>
      <c r="N30" s="5">
        <v>2.83037</v>
      </c>
      <c r="O30" s="5">
        <v>1.06867</v>
      </c>
    </row>
    <row r="31">
      <c r="A31" s="12" t="str">
        <f>IFERROR(__xludf.DUMMYFUNCTION("""COMPUTED_VALUE"""),"")</f>
        <v/>
      </c>
      <c r="B31" s="13" t="str">
        <f>IFERROR(__xludf.DUMMYFUNCTION("""COMPUTED_VALUE"""),"")</f>
        <v/>
      </c>
      <c r="C31" s="14" t="str">
        <f>IFERROR(__xludf.DUMMYFUNCTION("""COMPUTED_VALUE"""),"")</f>
        <v/>
      </c>
      <c r="D31" s="15" t="str">
        <f>IFERROR(__xludf.DUMMYFUNCTION("""COMPUTED_VALUE"""),"")</f>
        <v/>
      </c>
      <c r="E31" s="15" t="str">
        <f>IFERROR(__xludf.DUMMYFUNCTION("""COMPUTED_VALUE"""),"")</f>
        <v/>
      </c>
      <c r="F31" s="15" t="str">
        <f>IFERROR(__xludf.DUMMYFUNCTION("""COMPUTED_VALUE"""),"")</f>
        <v/>
      </c>
      <c r="G31" s="16" t="str">
        <f>IFERROR(__xludf.DUMMYFUNCTION("""COMPUTED_VALUE"""),"")</f>
        <v/>
      </c>
      <c r="H31" s="4"/>
      <c r="I31" s="5" t="s">
        <v>90</v>
      </c>
      <c r="J31" s="5" t="s">
        <v>36</v>
      </c>
      <c r="K31" s="5">
        <v>597.0</v>
      </c>
      <c r="L31" s="5">
        <v>3.37282</v>
      </c>
      <c r="M31" s="5">
        <v>-0.61311</v>
      </c>
      <c r="N31" s="5">
        <v>2.7597</v>
      </c>
      <c r="O31" s="5">
        <v>0.85391</v>
      </c>
    </row>
    <row r="32">
      <c r="A32" s="18" t="str">
        <f>IFERROR(__xludf.DUMMYFUNCTION("""COMPUTED_VALUE"""),"")</f>
        <v/>
      </c>
      <c r="B32" s="19" t="str">
        <f>IFERROR(__xludf.DUMMYFUNCTION("""COMPUTED_VALUE"""),"")</f>
        <v/>
      </c>
      <c r="C32" s="20" t="str">
        <f>IFERROR(__xludf.DUMMYFUNCTION("""COMPUTED_VALUE"""),"")</f>
        <v/>
      </c>
      <c r="D32" s="21" t="str">
        <f>IFERROR(__xludf.DUMMYFUNCTION("""COMPUTED_VALUE"""),"")</f>
        <v/>
      </c>
      <c r="E32" s="21" t="str">
        <f>IFERROR(__xludf.DUMMYFUNCTION("""COMPUTED_VALUE"""),"")</f>
        <v/>
      </c>
      <c r="F32" s="21" t="str">
        <f>IFERROR(__xludf.DUMMYFUNCTION("""COMPUTED_VALUE"""),"")</f>
        <v/>
      </c>
      <c r="G32" s="22" t="str">
        <f>IFERROR(__xludf.DUMMYFUNCTION("""COMPUTED_VALUE"""),"")</f>
        <v/>
      </c>
      <c r="H32" s="4"/>
      <c r="I32" s="5" t="s">
        <v>93</v>
      </c>
      <c r="J32" s="5" t="s">
        <v>12</v>
      </c>
      <c r="K32" s="5">
        <v>653.0</v>
      </c>
      <c r="L32" s="5">
        <v>0.36266</v>
      </c>
      <c r="M32" s="5">
        <v>2.39239</v>
      </c>
      <c r="N32" s="5">
        <v>2.75505</v>
      </c>
      <c r="O32" s="5">
        <v>0.94399</v>
      </c>
    </row>
    <row r="33">
      <c r="A33" s="12" t="str">
        <f>IFERROR(__xludf.DUMMYFUNCTION("""COMPUTED_VALUE"""),"")</f>
        <v/>
      </c>
      <c r="B33" s="13" t="str">
        <f>IFERROR(__xludf.DUMMYFUNCTION("""COMPUTED_VALUE"""),"")</f>
        <v/>
      </c>
      <c r="C33" s="14" t="str">
        <f>IFERROR(__xludf.DUMMYFUNCTION("""COMPUTED_VALUE"""),"")</f>
        <v/>
      </c>
      <c r="D33" s="15" t="str">
        <f>IFERROR(__xludf.DUMMYFUNCTION("""COMPUTED_VALUE"""),"")</f>
        <v/>
      </c>
      <c r="E33" s="15" t="str">
        <f>IFERROR(__xludf.DUMMYFUNCTION("""COMPUTED_VALUE"""),"")</f>
        <v/>
      </c>
      <c r="F33" s="15" t="str">
        <f>IFERROR(__xludf.DUMMYFUNCTION("""COMPUTED_VALUE"""),"")</f>
        <v/>
      </c>
      <c r="G33" s="16" t="str">
        <f>IFERROR(__xludf.DUMMYFUNCTION("""COMPUTED_VALUE"""),"")</f>
        <v/>
      </c>
      <c r="H33" s="4"/>
      <c r="I33" s="5" t="s">
        <v>94</v>
      </c>
      <c r="J33" s="5" t="s">
        <v>41</v>
      </c>
      <c r="K33" s="5">
        <v>751.0</v>
      </c>
      <c r="L33" s="5">
        <v>2.18963</v>
      </c>
      <c r="M33" s="5">
        <v>0.54726</v>
      </c>
      <c r="N33" s="5">
        <v>2.73689</v>
      </c>
      <c r="O33" s="5">
        <v>1.08478</v>
      </c>
    </row>
    <row r="34">
      <c r="A34" s="18" t="str">
        <f>IFERROR(__xludf.DUMMYFUNCTION("""COMPUTED_VALUE"""),"")</f>
        <v/>
      </c>
      <c r="B34" s="19" t="str">
        <f>IFERROR(__xludf.DUMMYFUNCTION("""COMPUTED_VALUE"""),"")</f>
        <v/>
      </c>
      <c r="C34" s="20" t="str">
        <f>IFERROR(__xludf.DUMMYFUNCTION("""COMPUTED_VALUE"""),"")</f>
        <v/>
      </c>
      <c r="D34" s="21" t="str">
        <f>IFERROR(__xludf.DUMMYFUNCTION("""COMPUTED_VALUE"""),"")</f>
        <v/>
      </c>
      <c r="E34" s="21" t="str">
        <f>IFERROR(__xludf.DUMMYFUNCTION("""COMPUTED_VALUE"""),"")</f>
        <v/>
      </c>
      <c r="F34" s="21" t="str">
        <f>IFERROR(__xludf.DUMMYFUNCTION("""COMPUTED_VALUE"""),"")</f>
        <v/>
      </c>
      <c r="G34" s="22" t="str">
        <f>IFERROR(__xludf.DUMMYFUNCTION("""COMPUTED_VALUE"""),"")</f>
        <v/>
      </c>
      <c r="H34" s="4"/>
      <c r="I34" s="5" t="s">
        <v>23</v>
      </c>
      <c r="J34" s="5" t="s">
        <v>24</v>
      </c>
      <c r="K34" s="5">
        <v>520.0</v>
      </c>
      <c r="L34" s="5">
        <v>1.14546</v>
      </c>
      <c r="M34" s="5">
        <v>1.50277</v>
      </c>
      <c r="N34" s="5">
        <v>2.64824</v>
      </c>
      <c r="O34" s="5">
        <v>0.73751</v>
      </c>
    </row>
    <row r="35">
      <c r="A35" s="12" t="str">
        <f>IFERROR(__xludf.DUMMYFUNCTION("""COMPUTED_VALUE"""),"")</f>
        <v/>
      </c>
      <c r="B35" s="13" t="str">
        <f>IFERROR(__xludf.DUMMYFUNCTION("""COMPUTED_VALUE"""),"")</f>
        <v/>
      </c>
      <c r="C35" s="14" t="str">
        <f>IFERROR(__xludf.DUMMYFUNCTION("""COMPUTED_VALUE"""),"")</f>
        <v/>
      </c>
      <c r="D35" s="15" t="str">
        <f>IFERROR(__xludf.DUMMYFUNCTION("""COMPUTED_VALUE"""),"")</f>
        <v/>
      </c>
      <c r="E35" s="15" t="str">
        <f>IFERROR(__xludf.DUMMYFUNCTION("""COMPUTED_VALUE"""),"")</f>
        <v/>
      </c>
      <c r="F35" s="15" t="str">
        <f>IFERROR(__xludf.DUMMYFUNCTION("""COMPUTED_VALUE"""),"")</f>
        <v/>
      </c>
      <c r="G35" s="16" t="str">
        <f>IFERROR(__xludf.DUMMYFUNCTION("""COMPUTED_VALUE"""),"")</f>
        <v/>
      </c>
      <c r="H35" s="4"/>
      <c r="I35" s="5" t="s">
        <v>98</v>
      </c>
      <c r="J35" s="5" t="s">
        <v>22</v>
      </c>
      <c r="K35" s="5">
        <v>510.0</v>
      </c>
      <c r="L35" s="5">
        <v>4.64779</v>
      </c>
      <c r="M35" s="5">
        <v>-2.04502</v>
      </c>
      <c r="N35" s="5">
        <v>2.60277</v>
      </c>
      <c r="O35" s="5">
        <v>0.71938</v>
      </c>
    </row>
    <row r="36">
      <c r="A36" s="18" t="str">
        <f>IFERROR(__xludf.DUMMYFUNCTION("""COMPUTED_VALUE"""),"")</f>
        <v/>
      </c>
      <c r="B36" s="19" t="str">
        <f>IFERROR(__xludf.DUMMYFUNCTION("""COMPUTED_VALUE"""),"")</f>
        <v/>
      </c>
      <c r="C36" s="20" t="str">
        <f>IFERROR(__xludf.DUMMYFUNCTION("""COMPUTED_VALUE"""),"")</f>
        <v/>
      </c>
      <c r="D36" s="21" t="str">
        <f>IFERROR(__xludf.DUMMYFUNCTION("""COMPUTED_VALUE"""),"")</f>
        <v/>
      </c>
      <c r="E36" s="21" t="str">
        <f>IFERROR(__xludf.DUMMYFUNCTION("""COMPUTED_VALUE"""),"")</f>
        <v/>
      </c>
      <c r="F36" s="21" t="str">
        <f>IFERROR(__xludf.DUMMYFUNCTION("""COMPUTED_VALUE"""),"")</f>
        <v/>
      </c>
      <c r="G36" s="22" t="str">
        <f>IFERROR(__xludf.DUMMYFUNCTION("""COMPUTED_VALUE"""),"")</f>
        <v/>
      </c>
      <c r="H36" s="4"/>
      <c r="I36" s="5" t="s">
        <v>100</v>
      </c>
      <c r="J36" s="5" t="s">
        <v>24</v>
      </c>
      <c r="K36" s="5">
        <v>383.9</v>
      </c>
      <c r="L36" s="5">
        <v>-0.02904</v>
      </c>
      <c r="M36" s="5">
        <v>2.47463</v>
      </c>
      <c r="N36" s="5">
        <v>2.44559</v>
      </c>
      <c r="O36" s="5">
        <v>0.52034</v>
      </c>
    </row>
    <row r="37">
      <c r="A37" s="12" t="str">
        <f>IFERROR(__xludf.DUMMYFUNCTION("""COMPUTED_VALUE"""),"")</f>
        <v/>
      </c>
      <c r="B37" s="13" t="str">
        <f>IFERROR(__xludf.DUMMYFUNCTION("""COMPUTED_VALUE"""),"")</f>
        <v/>
      </c>
      <c r="C37" s="14" t="str">
        <f>IFERROR(__xludf.DUMMYFUNCTION("""COMPUTED_VALUE"""),"")</f>
        <v/>
      </c>
      <c r="D37" s="15" t="str">
        <f>IFERROR(__xludf.DUMMYFUNCTION("""COMPUTED_VALUE"""),"")</f>
        <v/>
      </c>
      <c r="E37" s="15" t="str">
        <f>IFERROR(__xludf.DUMMYFUNCTION("""COMPUTED_VALUE"""),"")</f>
        <v/>
      </c>
      <c r="F37" s="15" t="str">
        <f>IFERROR(__xludf.DUMMYFUNCTION("""COMPUTED_VALUE"""),"")</f>
        <v/>
      </c>
      <c r="G37" s="16" t="str">
        <f>IFERROR(__xludf.DUMMYFUNCTION("""COMPUTED_VALUE"""),"")</f>
        <v/>
      </c>
      <c r="H37" s="4"/>
      <c r="I37" s="5" t="s">
        <v>102</v>
      </c>
      <c r="J37" s="5" t="s">
        <v>76</v>
      </c>
      <c r="K37" s="5">
        <v>949.5</v>
      </c>
      <c r="L37" s="5">
        <v>0.59949</v>
      </c>
      <c r="M37" s="5">
        <v>1.82603</v>
      </c>
      <c r="N37" s="5">
        <v>2.42552</v>
      </c>
      <c r="O37" s="5">
        <v>1.29851</v>
      </c>
    </row>
    <row r="38">
      <c r="A38" s="18" t="str">
        <f>IFERROR(__xludf.DUMMYFUNCTION("""COMPUTED_VALUE"""),"")</f>
        <v/>
      </c>
      <c r="B38" s="19" t="str">
        <f>IFERROR(__xludf.DUMMYFUNCTION("""COMPUTED_VALUE"""),"")</f>
        <v/>
      </c>
      <c r="C38" s="20" t="str">
        <f>IFERROR(__xludf.DUMMYFUNCTION("""COMPUTED_VALUE"""),"")</f>
        <v/>
      </c>
      <c r="D38" s="21" t="str">
        <f>IFERROR(__xludf.DUMMYFUNCTION("""COMPUTED_VALUE"""),"")</f>
        <v/>
      </c>
      <c r="E38" s="21" t="str">
        <f>IFERROR(__xludf.DUMMYFUNCTION("""COMPUTED_VALUE"""),"")</f>
        <v/>
      </c>
      <c r="F38" s="21" t="str">
        <f>IFERROR(__xludf.DUMMYFUNCTION("""COMPUTED_VALUE"""),"")</f>
        <v/>
      </c>
      <c r="G38" s="22" t="str">
        <f>IFERROR(__xludf.DUMMYFUNCTION("""COMPUTED_VALUE"""),"")</f>
        <v/>
      </c>
      <c r="H38" s="4"/>
      <c r="I38" s="5" t="s">
        <v>105</v>
      </c>
      <c r="J38" s="5" t="s">
        <v>72</v>
      </c>
      <c r="K38" s="5">
        <v>650.2</v>
      </c>
      <c r="L38" s="5">
        <v>2.02708</v>
      </c>
      <c r="M38" s="5">
        <v>0.30412</v>
      </c>
      <c r="N38" s="5">
        <v>2.3312</v>
      </c>
      <c r="O38" s="5">
        <v>0.87285</v>
      </c>
    </row>
    <row r="39">
      <c r="A39" s="12" t="str">
        <f>IFERROR(__xludf.DUMMYFUNCTION("""COMPUTED_VALUE"""),"")</f>
        <v/>
      </c>
      <c r="B39" s="13" t="str">
        <f>IFERROR(__xludf.DUMMYFUNCTION("""COMPUTED_VALUE"""),"")</f>
        <v/>
      </c>
      <c r="C39" s="14" t="str">
        <f>IFERROR(__xludf.DUMMYFUNCTION("""COMPUTED_VALUE"""),"")</f>
        <v/>
      </c>
      <c r="D39" s="15" t="str">
        <f>IFERROR(__xludf.DUMMYFUNCTION("""COMPUTED_VALUE"""),"")</f>
        <v/>
      </c>
      <c r="E39" s="15" t="str">
        <f>IFERROR(__xludf.DUMMYFUNCTION("""COMPUTED_VALUE"""),"")</f>
        <v/>
      </c>
      <c r="F39" s="15" t="str">
        <f>IFERROR(__xludf.DUMMYFUNCTION("""COMPUTED_VALUE"""),"")</f>
        <v/>
      </c>
      <c r="G39" s="16" t="str">
        <f>IFERROR(__xludf.DUMMYFUNCTION("""COMPUTED_VALUE"""),"")</f>
        <v/>
      </c>
      <c r="H39" s="4"/>
      <c r="I39" s="5" t="s">
        <v>106</v>
      </c>
      <c r="J39" s="5" t="s">
        <v>76</v>
      </c>
      <c r="K39" s="5">
        <v>774.9</v>
      </c>
      <c r="L39" s="5">
        <v>1.60976</v>
      </c>
      <c r="M39" s="5">
        <v>0.70419</v>
      </c>
      <c r="N39" s="5">
        <v>2.31395</v>
      </c>
      <c r="O39" s="5">
        <v>1.03302</v>
      </c>
    </row>
    <row r="40">
      <c r="A40" s="18" t="str">
        <f>IFERROR(__xludf.DUMMYFUNCTION("""COMPUTED_VALUE"""),"")</f>
        <v/>
      </c>
      <c r="B40" s="19" t="str">
        <f>IFERROR(__xludf.DUMMYFUNCTION("""COMPUTED_VALUE"""),"")</f>
        <v/>
      </c>
      <c r="C40" s="20" t="str">
        <f>IFERROR(__xludf.DUMMYFUNCTION("""COMPUTED_VALUE"""),"")</f>
        <v/>
      </c>
      <c r="D40" s="21" t="str">
        <f>IFERROR(__xludf.DUMMYFUNCTION("""COMPUTED_VALUE"""),"")</f>
        <v/>
      </c>
      <c r="E40" s="21" t="str">
        <f>IFERROR(__xludf.DUMMYFUNCTION("""COMPUTED_VALUE"""),"")</f>
        <v/>
      </c>
      <c r="F40" s="21" t="str">
        <f>IFERROR(__xludf.DUMMYFUNCTION("""COMPUTED_VALUE"""),"")</f>
        <v/>
      </c>
      <c r="G40" s="22" t="str">
        <f>IFERROR(__xludf.DUMMYFUNCTION("""COMPUTED_VALUE"""),"")</f>
        <v/>
      </c>
      <c r="H40" s="4"/>
      <c r="I40" s="5" t="s">
        <v>107</v>
      </c>
      <c r="J40" s="5" t="s">
        <v>64</v>
      </c>
      <c r="K40" s="5">
        <v>486.5</v>
      </c>
      <c r="L40" s="5">
        <v>0.46387</v>
      </c>
      <c r="M40" s="5">
        <v>1.68165</v>
      </c>
      <c r="N40" s="5">
        <v>2.14553</v>
      </c>
      <c r="O40" s="5">
        <v>0.61488</v>
      </c>
    </row>
    <row r="41">
      <c r="A41" s="12" t="str">
        <f>IFERROR(__xludf.DUMMYFUNCTION("""COMPUTED_VALUE"""),"")</f>
        <v/>
      </c>
      <c r="B41" s="13" t="str">
        <f>IFERROR(__xludf.DUMMYFUNCTION("""COMPUTED_VALUE"""),"")</f>
        <v/>
      </c>
      <c r="C41" s="14" t="str">
        <f>IFERROR(__xludf.DUMMYFUNCTION("""COMPUTED_VALUE"""),"")</f>
        <v/>
      </c>
      <c r="D41" s="15" t="str">
        <f>IFERROR(__xludf.DUMMYFUNCTION("""COMPUTED_VALUE"""),"")</f>
        <v/>
      </c>
      <c r="E41" s="15" t="str">
        <f>IFERROR(__xludf.DUMMYFUNCTION("""COMPUTED_VALUE"""),"")</f>
        <v/>
      </c>
      <c r="F41" s="15" t="str">
        <f>IFERROR(__xludf.DUMMYFUNCTION("""COMPUTED_VALUE"""),"")</f>
        <v/>
      </c>
      <c r="G41" s="16" t="str">
        <f>IFERROR(__xludf.DUMMYFUNCTION("""COMPUTED_VALUE"""),"")</f>
        <v/>
      </c>
      <c r="H41" s="4"/>
      <c r="I41" s="5" t="s">
        <v>111</v>
      </c>
      <c r="J41" s="5" t="s">
        <v>36</v>
      </c>
      <c r="K41" s="5">
        <v>940.0</v>
      </c>
      <c r="L41" s="5">
        <v>1.71753</v>
      </c>
      <c r="M41" s="5">
        <v>0.42264</v>
      </c>
      <c r="N41" s="5">
        <v>2.14017</v>
      </c>
      <c r="O41" s="5">
        <v>1.17029</v>
      </c>
    </row>
    <row r="42">
      <c r="A42" s="18" t="str">
        <f>IFERROR(__xludf.DUMMYFUNCTION("""COMPUTED_VALUE"""),"")</f>
        <v/>
      </c>
      <c r="B42" s="19" t="str">
        <f>IFERROR(__xludf.DUMMYFUNCTION("""COMPUTED_VALUE"""),"")</f>
        <v/>
      </c>
      <c r="C42" s="20" t="str">
        <f>IFERROR(__xludf.DUMMYFUNCTION("""COMPUTED_VALUE"""),"")</f>
        <v/>
      </c>
      <c r="D42" s="21" t="str">
        <f>IFERROR(__xludf.DUMMYFUNCTION("""COMPUTED_VALUE"""),"")</f>
        <v/>
      </c>
      <c r="E42" s="21" t="str">
        <f>IFERROR(__xludf.DUMMYFUNCTION("""COMPUTED_VALUE"""),"")</f>
        <v/>
      </c>
      <c r="F42" s="21" t="str">
        <f>IFERROR(__xludf.DUMMYFUNCTION("""COMPUTED_VALUE"""),"")</f>
        <v/>
      </c>
      <c r="G42" s="22" t="str">
        <f>IFERROR(__xludf.DUMMYFUNCTION("""COMPUTED_VALUE"""),"")</f>
        <v/>
      </c>
      <c r="H42" s="4"/>
      <c r="I42" s="5" t="s">
        <v>114</v>
      </c>
      <c r="J42" s="5" t="s">
        <v>12</v>
      </c>
      <c r="K42" s="5">
        <v>888.1</v>
      </c>
      <c r="L42" s="5">
        <v>2.39485</v>
      </c>
      <c r="M42" s="5">
        <v>-0.27708</v>
      </c>
      <c r="N42" s="5">
        <v>2.11778</v>
      </c>
      <c r="O42" s="5">
        <v>1.11111</v>
      </c>
    </row>
    <row r="43">
      <c r="A43" s="12" t="str">
        <f>IFERROR(__xludf.DUMMYFUNCTION("""COMPUTED_VALUE"""),"")</f>
        <v/>
      </c>
      <c r="B43" s="13" t="str">
        <f>IFERROR(__xludf.DUMMYFUNCTION("""COMPUTED_VALUE"""),"")</f>
        <v/>
      </c>
      <c r="C43" s="14" t="str">
        <f>IFERROR(__xludf.DUMMYFUNCTION("""COMPUTED_VALUE"""),"")</f>
        <v/>
      </c>
      <c r="D43" s="15" t="str">
        <f>IFERROR(__xludf.DUMMYFUNCTION("""COMPUTED_VALUE"""),"")</f>
        <v/>
      </c>
      <c r="E43" s="15" t="str">
        <f>IFERROR(__xludf.DUMMYFUNCTION("""COMPUTED_VALUE"""),"")</f>
        <v/>
      </c>
      <c r="F43" s="15" t="str">
        <f>IFERROR(__xludf.DUMMYFUNCTION("""COMPUTED_VALUE"""),"")</f>
        <v/>
      </c>
      <c r="G43" s="16" t="str">
        <f>IFERROR(__xludf.DUMMYFUNCTION("""COMPUTED_VALUE"""),"")</f>
        <v/>
      </c>
      <c r="H43" s="4"/>
      <c r="I43" s="5" t="s">
        <v>108</v>
      </c>
      <c r="J43" s="5" t="s">
        <v>41</v>
      </c>
      <c r="K43" s="5">
        <v>704.1</v>
      </c>
      <c r="L43" s="5">
        <v>2.32956</v>
      </c>
      <c r="M43" s="5">
        <v>-0.22739</v>
      </c>
      <c r="N43" s="5">
        <v>2.10216</v>
      </c>
      <c r="O43" s="5">
        <v>0.88076</v>
      </c>
    </row>
    <row r="44">
      <c r="A44" s="18" t="str">
        <f>IFERROR(__xludf.DUMMYFUNCTION("""COMPUTED_VALUE"""),"")</f>
        <v/>
      </c>
      <c r="B44" s="19" t="str">
        <f>IFERROR(__xludf.DUMMYFUNCTION("""COMPUTED_VALUE"""),"")</f>
        <v/>
      </c>
      <c r="C44" s="20" t="str">
        <f>IFERROR(__xludf.DUMMYFUNCTION("""COMPUTED_VALUE"""),"")</f>
        <v/>
      </c>
      <c r="D44" s="21" t="str">
        <f>IFERROR(__xludf.DUMMYFUNCTION("""COMPUTED_VALUE"""),"")</f>
        <v/>
      </c>
      <c r="E44" s="21" t="str">
        <f>IFERROR(__xludf.DUMMYFUNCTION("""COMPUTED_VALUE"""),"")</f>
        <v/>
      </c>
      <c r="F44" s="21" t="str">
        <f>IFERROR(__xludf.DUMMYFUNCTION("""COMPUTED_VALUE"""),"")</f>
        <v/>
      </c>
      <c r="G44" s="22" t="str">
        <f>IFERROR(__xludf.DUMMYFUNCTION("""COMPUTED_VALUE"""),"")</f>
        <v/>
      </c>
      <c r="H44" s="4"/>
      <c r="I44" s="5" t="s">
        <v>117</v>
      </c>
      <c r="J44" s="5" t="s">
        <v>118</v>
      </c>
      <c r="K44" s="5">
        <v>600.1</v>
      </c>
      <c r="L44" s="5">
        <v>2.30257</v>
      </c>
      <c r="M44" s="5">
        <v>-0.21636</v>
      </c>
      <c r="N44" s="5">
        <v>2.08621</v>
      </c>
      <c r="O44" s="5">
        <v>0.73541</v>
      </c>
    </row>
    <row r="45">
      <c r="A45" s="12" t="str">
        <f>IFERROR(__xludf.DUMMYFUNCTION("""COMPUTED_VALUE"""),"")</f>
        <v/>
      </c>
      <c r="B45" s="13" t="str">
        <f>IFERROR(__xludf.DUMMYFUNCTION("""COMPUTED_VALUE"""),"")</f>
        <v/>
      </c>
      <c r="C45" s="14" t="str">
        <f>IFERROR(__xludf.DUMMYFUNCTION("""COMPUTED_VALUE"""),"")</f>
        <v/>
      </c>
      <c r="D45" s="15" t="str">
        <f>IFERROR(__xludf.DUMMYFUNCTION("""COMPUTED_VALUE"""),"")</f>
        <v/>
      </c>
      <c r="E45" s="15" t="str">
        <f>IFERROR(__xludf.DUMMYFUNCTION("""COMPUTED_VALUE"""),"")</f>
        <v/>
      </c>
      <c r="F45" s="15" t="str">
        <f>IFERROR(__xludf.DUMMYFUNCTION("""COMPUTED_VALUE"""),"")</f>
        <v/>
      </c>
      <c r="G45" s="16" t="str">
        <f>IFERROR(__xludf.DUMMYFUNCTION("""COMPUTED_VALUE"""),"")</f>
        <v/>
      </c>
      <c r="H45" s="4"/>
      <c r="I45" s="5" t="s">
        <v>120</v>
      </c>
      <c r="J45" s="5" t="s">
        <v>22</v>
      </c>
      <c r="K45" s="5">
        <v>602.0</v>
      </c>
      <c r="L45" s="5">
        <v>5.60022</v>
      </c>
      <c r="M45" s="5">
        <v>-3.58964</v>
      </c>
      <c r="N45" s="5">
        <v>2.01058</v>
      </c>
      <c r="O45" s="5">
        <v>0.73932</v>
      </c>
    </row>
    <row r="46">
      <c r="A46" s="18" t="str">
        <f>IFERROR(__xludf.DUMMYFUNCTION("""COMPUTED_VALUE"""),"")</f>
        <v/>
      </c>
      <c r="B46" s="19" t="str">
        <f>IFERROR(__xludf.DUMMYFUNCTION("""COMPUTED_VALUE"""),"")</f>
        <v/>
      </c>
      <c r="C46" s="20" t="str">
        <f>IFERROR(__xludf.DUMMYFUNCTION("""COMPUTED_VALUE"""),"")</f>
        <v/>
      </c>
      <c r="D46" s="21" t="str">
        <f>IFERROR(__xludf.DUMMYFUNCTION("""COMPUTED_VALUE"""),"")</f>
        <v/>
      </c>
      <c r="E46" s="21" t="str">
        <f>IFERROR(__xludf.DUMMYFUNCTION("""COMPUTED_VALUE"""),"")</f>
        <v/>
      </c>
      <c r="F46" s="21" t="str">
        <f>IFERROR(__xludf.DUMMYFUNCTION("""COMPUTED_VALUE"""),"")</f>
        <v/>
      </c>
      <c r="G46" s="22" t="str">
        <f>IFERROR(__xludf.DUMMYFUNCTION("""COMPUTED_VALUE"""),"")</f>
        <v/>
      </c>
      <c r="H46" s="4"/>
      <c r="I46" s="5" t="s">
        <v>123</v>
      </c>
      <c r="J46" s="5" t="s">
        <v>14</v>
      </c>
      <c r="K46" s="5">
        <v>615.0</v>
      </c>
      <c r="L46" s="5">
        <v>1.09993</v>
      </c>
      <c r="M46" s="5">
        <v>0.91051</v>
      </c>
      <c r="N46" s="5">
        <v>2.01043</v>
      </c>
      <c r="O46" s="5">
        <v>0.74904</v>
      </c>
    </row>
    <row r="47">
      <c r="A47" s="12" t="str">
        <f>IFERROR(__xludf.DUMMYFUNCTION("""COMPUTED_VALUE"""),"")</f>
        <v/>
      </c>
      <c r="B47" s="13" t="str">
        <f>IFERROR(__xludf.DUMMYFUNCTION("""COMPUTED_VALUE"""),"")</f>
        <v/>
      </c>
      <c r="C47" s="14" t="str">
        <f>IFERROR(__xludf.DUMMYFUNCTION("""COMPUTED_VALUE"""),"")</f>
        <v/>
      </c>
      <c r="D47" s="15" t="str">
        <f>IFERROR(__xludf.DUMMYFUNCTION("""COMPUTED_VALUE"""),"")</f>
        <v/>
      </c>
      <c r="E47" s="15" t="str">
        <f>IFERROR(__xludf.DUMMYFUNCTION("""COMPUTED_VALUE"""),"")</f>
        <v/>
      </c>
      <c r="F47" s="15" t="str">
        <f>IFERROR(__xludf.DUMMYFUNCTION("""COMPUTED_VALUE"""),"")</f>
        <v/>
      </c>
      <c r="G47" s="16" t="str">
        <f>IFERROR(__xludf.DUMMYFUNCTION("""COMPUTED_VALUE"""),"")</f>
        <v/>
      </c>
      <c r="H47" s="4"/>
      <c r="I47" s="5" t="s">
        <v>126</v>
      </c>
      <c r="J47" s="5" t="s">
        <v>19</v>
      </c>
      <c r="K47" s="5">
        <v>863.0</v>
      </c>
      <c r="L47" s="5">
        <v>-0.07419</v>
      </c>
      <c r="M47" s="5">
        <v>2.0424</v>
      </c>
      <c r="N47" s="5">
        <v>1.9682</v>
      </c>
      <c r="O47" s="5">
        <v>1.03268</v>
      </c>
    </row>
    <row r="48">
      <c r="A48" s="18" t="str">
        <f>IFERROR(__xludf.DUMMYFUNCTION("""COMPUTED_VALUE"""),"")</f>
        <v/>
      </c>
      <c r="B48" s="19" t="str">
        <f>IFERROR(__xludf.DUMMYFUNCTION("""COMPUTED_VALUE"""),"")</f>
        <v/>
      </c>
      <c r="C48" s="20" t="str">
        <f>IFERROR(__xludf.DUMMYFUNCTION("""COMPUTED_VALUE"""),"")</f>
        <v/>
      </c>
      <c r="D48" s="21" t="str">
        <f>IFERROR(__xludf.DUMMYFUNCTION("""COMPUTED_VALUE"""),"")</f>
        <v/>
      </c>
      <c r="E48" s="21" t="str">
        <f>IFERROR(__xludf.DUMMYFUNCTION("""COMPUTED_VALUE"""),"")</f>
        <v/>
      </c>
      <c r="F48" s="21" t="str">
        <f>IFERROR(__xludf.DUMMYFUNCTION("""COMPUTED_VALUE"""),"")</f>
        <v/>
      </c>
      <c r="G48" s="22" t="str">
        <f>IFERROR(__xludf.DUMMYFUNCTION("""COMPUTED_VALUE"""),"")</f>
        <v/>
      </c>
      <c r="H48" s="4"/>
      <c r="I48" s="5" t="s">
        <v>129</v>
      </c>
      <c r="J48" s="5" t="s">
        <v>51</v>
      </c>
      <c r="K48" s="5">
        <v>1095.2</v>
      </c>
      <c r="L48" s="5">
        <v>3.50805</v>
      </c>
      <c r="M48" s="5">
        <v>-1.5509</v>
      </c>
      <c r="N48" s="5">
        <v>1.95715</v>
      </c>
      <c r="O48" s="5">
        <v>1.32142</v>
      </c>
    </row>
    <row r="49">
      <c r="A49" s="12" t="str">
        <f>IFERROR(__xludf.DUMMYFUNCTION("""COMPUTED_VALUE"""),"")</f>
        <v/>
      </c>
      <c r="B49" s="13" t="str">
        <f>IFERROR(__xludf.DUMMYFUNCTION("""COMPUTED_VALUE"""),"")</f>
        <v/>
      </c>
      <c r="C49" s="14" t="str">
        <f>IFERROR(__xludf.DUMMYFUNCTION("""COMPUTED_VALUE"""),"")</f>
        <v/>
      </c>
      <c r="D49" s="15" t="str">
        <f>IFERROR(__xludf.DUMMYFUNCTION("""COMPUTED_VALUE"""),"")</f>
        <v/>
      </c>
      <c r="E49" s="15" t="str">
        <f>IFERROR(__xludf.DUMMYFUNCTION("""COMPUTED_VALUE"""),"")</f>
        <v/>
      </c>
      <c r="F49" s="15" t="str">
        <f>IFERROR(__xludf.DUMMYFUNCTION("""COMPUTED_VALUE"""),"")</f>
        <v/>
      </c>
      <c r="G49" s="16" t="str">
        <f>IFERROR(__xludf.DUMMYFUNCTION("""COMPUTED_VALUE"""),"")</f>
        <v/>
      </c>
      <c r="H49" s="4"/>
      <c r="I49" s="5" t="s">
        <v>131</v>
      </c>
      <c r="J49" s="5" t="s">
        <v>24</v>
      </c>
      <c r="K49" s="5">
        <v>498.7</v>
      </c>
      <c r="L49" s="5">
        <v>1.9981</v>
      </c>
      <c r="M49" s="5">
        <v>-0.0935</v>
      </c>
      <c r="N49" s="5">
        <v>1.9046</v>
      </c>
      <c r="O49" s="5">
        <v>0.59369</v>
      </c>
    </row>
    <row r="50">
      <c r="A50" s="18" t="str">
        <f>IFERROR(__xludf.DUMMYFUNCTION("""COMPUTED_VALUE"""),"")</f>
        <v/>
      </c>
      <c r="B50" s="19" t="str">
        <f>IFERROR(__xludf.DUMMYFUNCTION("""COMPUTED_VALUE"""),"")</f>
        <v/>
      </c>
      <c r="C50" s="20" t="str">
        <f>IFERROR(__xludf.DUMMYFUNCTION("""COMPUTED_VALUE"""),"")</f>
        <v/>
      </c>
      <c r="D50" s="21" t="str">
        <f>IFERROR(__xludf.DUMMYFUNCTION("""COMPUTED_VALUE"""),"")</f>
        <v/>
      </c>
      <c r="E50" s="21" t="str">
        <f>IFERROR(__xludf.DUMMYFUNCTION("""COMPUTED_VALUE"""),"")</f>
        <v/>
      </c>
      <c r="F50" s="21" t="str">
        <f>IFERROR(__xludf.DUMMYFUNCTION("""COMPUTED_VALUE"""),"")</f>
        <v/>
      </c>
      <c r="G50" s="22" t="str">
        <f>IFERROR(__xludf.DUMMYFUNCTION("""COMPUTED_VALUE"""),"")</f>
        <v/>
      </c>
      <c r="H50" s="4"/>
      <c r="I50" s="5" t="s">
        <v>133</v>
      </c>
      <c r="J50" s="5" t="s">
        <v>76</v>
      </c>
      <c r="K50" s="5">
        <v>991.7</v>
      </c>
      <c r="L50" s="5">
        <v>3.05953</v>
      </c>
      <c r="M50" s="5">
        <v>-1.17923</v>
      </c>
      <c r="N50" s="5">
        <v>1.8803</v>
      </c>
      <c r="O50" s="5">
        <v>1.18914</v>
      </c>
    </row>
    <row r="51">
      <c r="A51" s="12" t="str">
        <f>IFERROR(__xludf.DUMMYFUNCTION("""COMPUTED_VALUE"""),"")</f>
        <v/>
      </c>
      <c r="B51" s="13" t="str">
        <f>IFERROR(__xludf.DUMMYFUNCTION("""COMPUTED_VALUE"""),"")</f>
        <v/>
      </c>
      <c r="C51" s="14" t="str">
        <f>IFERROR(__xludf.DUMMYFUNCTION("""COMPUTED_VALUE"""),"")</f>
        <v/>
      </c>
      <c r="D51" s="15" t="str">
        <f>IFERROR(__xludf.DUMMYFUNCTION("""COMPUTED_VALUE"""),"")</f>
        <v/>
      </c>
      <c r="E51" s="15" t="str">
        <f>IFERROR(__xludf.DUMMYFUNCTION("""COMPUTED_VALUE"""),"")</f>
        <v/>
      </c>
      <c r="F51" s="15" t="str">
        <f>IFERROR(__xludf.DUMMYFUNCTION("""COMPUTED_VALUE"""),"")</f>
        <v/>
      </c>
      <c r="G51" s="16" t="str">
        <f>IFERROR(__xludf.DUMMYFUNCTION("""COMPUTED_VALUE"""),"")</f>
        <v/>
      </c>
      <c r="H51" s="4"/>
      <c r="I51" s="5" t="s">
        <v>135</v>
      </c>
      <c r="J51" s="5" t="s">
        <v>19</v>
      </c>
      <c r="K51" s="5">
        <v>1027.7</v>
      </c>
      <c r="L51" s="5">
        <v>-1.11956</v>
      </c>
      <c r="M51" s="5">
        <v>2.95058</v>
      </c>
      <c r="N51" s="5">
        <v>1.83102</v>
      </c>
      <c r="O51" s="5">
        <v>1.18725</v>
      </c>
    </row>
    <row r="52">
      <c r="A52" s="18" t="str">
        <f>IFERROR(__xludf.DUMMYFUNCTION("""COMPUTED_VALUE"""),"")</f>
        <v/>
      </c>
      <c r="B52" s="19" t="str">
        <f>IFERROR(__xludf.DUMMYFUNCTION("""COMPUTED_VALUE"""),"")</f>
        <v/>
      </c>
      <c r="C52" s="20" t="str">
        <f>IFERROR(__xludf.DUMMYFUNCTION("""COMPUTED_VALUE"""),"")</f>
        <v/>
      </c>
      <c r="D52" s="21" t="str">
        <f>IFERROR(__xludf.DUMMYFUNCTION("""COMPUTED_VALUE"""),"")</f>
        <v/>
      </c>
      <c r="E52" s="21" t="str">
        <f>IFERROR(__xludf.DUMMYFUNCTION("""COMPUTED_VALUE"""),"")</f>
        <v/>
      </c>
      <c r="F52" s="21" t="str">
        <f>IFERROR(__xludf.DUMMYFUNCTION("""COMPUTED_VALUE"""),"")</f>
        <v/>
      </c>
      <c r="G52" s="22" t="str">
        <f>IFERROR(__xludf.DUMMYFUNCTION("""COMPUTED_VALUE"""),"")</f>
        <v/>
      </c>
      <c r="H52" s="4"/>
      <c r="I52" s="5" t="s">
        <v>136</v>
      </c>
      <c r="J52" s="5" t="s">
        <v>137</v>
      </c>
      <c r="K52" s="5">
        <v>375.4</v>
      </c>
      <c r="L52" s="5">
        <v>2.12915</v>
      </c>
      <c r="M52" s="5">
        <v>-0.39056</v>
      </c>
      <c r="N52" s="5">
        <v>1.7386</v>
      </c>
      <c r="O52" s="5">
        <v>0.42789</v>
      </c>
    </row>
    <row r="53">
      <c r="A53" s="12" t="str">
        <f>IFERROR(__xludf.DUMMYFUNCTION("""COMPUTED_VALUE"""),"")</f>
        <v/>
      </c>
      <c r="B53" s="13" t="str">
        <f>IFERROR(__xludf.DUMMYFUNCTION("""COMPUTED_VALUE"""),"")</f>
        <v/>
      </c>
      <c r="C53" s="14" t="str">
        <f>IFERROR(__xludf.DUMMYFUNCTION("""COMPUTED_VALUE"""),"")</f>
        <v/>
      </c>
      <c r="D53" s="15" t="str">
        <f>IFERROR(__xludf.DUMMYFUNCTION("""COMPUTED_VALUE"""),"")</f>
        <v/>
      </c>
      <c r="E53" s="15" t="str">
        <f>IFERROR(__xludf.DUMMYFUNCTION("""COMPUTED_VALUE"""),"")</f>
        <v/>
      </c>
      <c r="F53" s="15" t="str">
        <f>IFERROR(__xludf.DUMMYFUNCTION("""COMPUTED_VALUE"""),"")</f>
        <v/>
      </c>
      <c r="G53" s="16" t="str">
        <f>IFERROR(__xludf.DUMMYFUNCTION("""COMPUTED_VALUE"""),"")</f>
        <v/>
      </c>
      <c r="H53" s="4"/>
      <c r="I53" s="5" t="s">
        <v>139</v>
      </c>
      <c r="J53" s="5" t="s">
        <v>51</v>
      </c>
      <c r="K53" s="5">
        <v>828.4</v>
      </c>
      <c r="L53" s="5">
        <v>1.30257</v>
      </c>
      <c r="M53" s="5">
        <v>0.34379</v>
      </c>
      <c r="N53" s="5">
        <v>1.64635</v>
      </c>
      <c r="O53" s="5">
        <v>0.92101</v>
      </c>
    </row>
    <row r="54">
      <c r="A54" s="18" t="str">
        <f>IFERROR(__xludf.DUMMYFUNCTION("""COMPUTED_VALUE"""),"")</f>
        <v/>
      </c>
      <c r="B54" s="19" t="str">
        <f>IFERROR(__xludf.DUMMYFUNCTION("""COMPUTED_VALUE"""),"")</f>
        <v/>
      </c>
      <c r="C54" s="20" t="str">
        <f>IFERROR(__xludf.DUMMYFUNCTION("""COMPUTED_VALUE"""),"")</f>
        <v/>
      </c>
      <c r="D54" s="21" t="str">
        <f>IFERROR(__xludf.DUMMYFUNCTION("""COMPUTED_VALUE"""),"")</f>
        <v/>
      </c>
      <c r="E54" s="21" t="str">
        <f>IFERROR(__xludf.DUMMYFUNCTION("""COMPUTED_VALUE"""),"")</f>
        <v/>
      </c>
      <c r="F54" s="21" t="str">
        <f>IFERROR(__xludf.DUMMYFUNCTION("""COMPUTED_VALUE"""),"")</f>
        <v/>
      </c>
      <c r="G54" s="22" t="str">
        <f>IFERROR(__xludf.DUMMYFUNCTION("""COMPUTED_VALUE"""),"")</f>
        <v/>
      </c>
      <c r="H54" s="4"/>
      <c r="I54" s="5" t="s">
        <v>42</v>
      </c>
      <c r="J54" s="5" t="s">
        <v>24</v>
      </c>
      <c r="K54" s="5">
        <v>709.3</v>
      </c>
      <c r="L54" s="5">
        <v>2.59783</v>
      </c>
      <c r="M54" s="5">
        <v>-0.97556</v>
      </c>
      <c r="N54" s="5">
        <v>1.62227</v>
      </c>
      <c r="O54" s="5">
        <v>0.78334</v>
      </c>
    </row>
    <row r="55">
      <c r="A55" s="12" t="str">
        <f>IFERROR(__xludf.DUMMYFUNCTION("""COMPUTED_VALUE"""),"")</f>
        <v/>
      </c>
      <c r="B55" s="13" t="str">
        <f>IFERROR(__xludf.DUMMYFUNCTION("""COMPUTED_VALUE"""),"")</f>
        <v/>
      </c>
      <c r="C55" s="14" t="str">
        <f>IFERROR(__xludf.DUMMYFUNCTION("""COMPUTED_VALUE"""),"")</f>
        <v/>
      </c>
      <c r="D55" s="15" t="str">
        <f>IFERROR(__xludf.DUMMYFUNCTION("""COMPUTED_VALUE"""),"")</f>
        <v/>
      </c>
      <c r="E55" s="15" t="str">
        <f>IFERROR(__xludf.DUMMYFUNCTION("""COMPUTED_VALUE"""),"")</f>
        <v/>
      </c>
      <c r="F55" s="15" t="str">
        <f>IFERROR(__xludf.DUMMYFUNCTION("""COMPUTED_VALUE"""),"")</f>
        <v/>
      </c>
      <c r="G55" s="16" t="str">
        <f>IFERROR(__xludf.DUMMYFUNCTION("""COMPUTED_VALUE"""),"")</f>
        <v/>
      </c>
      <c r="H55" s="4"/>
      <c r="I55" s="5" t="s">
        <v>143</v>
      </c>
      <c r="J55" s="5" t="s">
        <v>60</v>
      </c>
      <c r="K55" s="5">
        <v>546.6</v>
      </c>
      <c r="L55" s="5">
        <v>2.09951</v>
      </c>
      <c r="M55" s="5">
        <v>-0.50738</v>
      </c>
      <c r="N55" s="5">
        <v>1.59213</v>
      </c>
      <c r="O55" s="5">
        <v>0.59862</v>
      </c>
    </row>
    <row r="56">
      <c r="A56" s="18" t="str">
        <f>IFERROR(__xludf.DUMMYFUNCTION("""COMPUTED_VALUE"""),"")</f>
        <v/>
      </c>
      <c r="B56" s="19" t="str">
        <f>IFERROR(__xludf.DUMMYFUNCTION("""COMPUTED_VALUE"""),"")</f>
        <v/>
      </c>
      <c r="C56" s="20" t="str">
        <f>IFERROR(__xludf.DUMMYFUNCTION("""COMPUTED_VALUE"""),"")</f>
        <v/>
      </c>
      <c r="D56" s="21" t="str">
        <f>IFERROR(__xludf.DUMMYFUNCTION("""COMPUTED_VALUE"""),"")</f>
        <v/>
      </c>
      <c r="E56" s="21" t="str">
        <f>IFERROR(__xludf.DUMMYFUNCTION("""COMPUTED_VALUE"""),"")</f>
        <v/>
      </c>
      <c r="F56" s="21" t="str">
        <f>IFERROR(__xludf.DUMMYFUNCTION("""COMPUTED_VALUE"""),"")</f>
        <v/>
      </c>
      <c r="G56" s="22" t="str">
        <f>IFERROR(__xludf.DUMMYFUNCTION("""COMPUTED_VALUE"""),"")</f>
        <v/>
      </c>
      <c r="H56" s="4"/>
      <c r="I56" s="5" t="s">
        <v>92</v>
      </c>
      <c r="J56" s="5" t="s">
        <v>24</v>
      </c>
      <c r="K56" s="5">
        <v>643.0</v>
      </c>
      <c r="L56" s="5">
        <v>-0.95667</v>
      </c>
      <c r="M56" s="5">
        <v>2.5383</v>
      </c>
      <c r="N56" s="5">
        <v>1.58163</v>
      </c>
      <c r="O56" s="5">
        <v>0.70215</v>
      </c>
    </row>
    <row r="57">
      <c r="A57" s="12" t="str">
        <f>IFERROR(__xludf.DUMMYFUNCTION("""COMPUTED_VALUE"""),"")</f>
        <v/>
      </c>
      <c r="B57" s="13" t="str">
        <f>IFERROR(__xludf.DUMMYFUNCTION("""COMPUTED_VALUE"""),"")</f>
        <v/>
      </c>
      <c r="C57" s="14" t="str">
        <f>IFERROR(__xludf.DUMMYFUNCTION("""COMPUTED_VALUE"""),"")</f>
        <v/>
      </c>
      <c r="D57" s="15" t="str">
        <f>IFERROR(__xludf.DUMMYFUNCTION("""COMPUTED_VALUE"""),"")</f>
        <v/>
      </c>
      <c r="E57" s="15" t="str">
        <f>IFERROR(__xludf.DUMMYFUNCTION("""COMPUTED_VALUE"""),"")</f>
        <v/>
      </c>
      <c r="F57" s="15" t="str">
        <f>IFERROR(__xludf.DUMMYFUNCTION("""COMPUTED_VALUE"""),"")</f>
        <v/>
      </c>
      <c r="G57" s="16" t="str">
        <f>IFERROR(__xludf.DUMMYFUNCTION("""COMPUTED_VALUE"""),"")</f>
        <v/>
      </c>
      <c r="H57" s="4"/>
      <c r="I57" s="5" t="s">
        <v>148</v>
      </c>
      <c r="J57" s="5" t="s">
        <v>76</v>
      </c>
      <c r="K57" s="5">
        <v>807.0</v>
      </c>
      <c r="L57" s="5">
        <v>2.25121</v>
      </c>
      <c r="M57" s="5">
        <v>-1.00828</v>
      </c>
      <c r="N57" s="5">
        <v>1.24293</v>
      </c>
      <c r="O57" s="5">
        <v>0.80852</v>
      </c>
    </row>
    <row r="58">
      <c r="A58" s="18" t="str">
        <f>IFERROR(__xludf.DUMMYFUNCTION("""COMPUTED_VALUE"""),"")</f>
        <v/>
      </c>
      <c r="B58" s="19" t="str">
        <f>IFERROR(__xludf.DUMMYFUNCTION("""COMPUTED_VALUE"""),"")</f>
        <v/>
      </c>
      <c r="C58" s="20" t="str">
        <f>IFERROR(__xludf.DUMMYFUNCTION("""COMPUTED_VALUE"""),"")</f>
        <v/>
      </c>
      <c r="D58" s="21" t="str">
        <f>IFERROR(__xludf.DUMMYFUNCTION("""COMPUTED_VALUE"""),"")</f>
        <v/>
      </c>
      <c r="E58" s="21" t="str">
        <f>IFERROR(__xludf.DUMMYFUNCTION("""COMPUTED_VALUE"""),"")</f>
        <v/>
      </c>
      <c r="F58" s="21" t="str">
        <f>IFERROR(__xludf.DUMMYFUNCTION("""COMPUTED_VALUE"""),"")</f>
        <v/>
      </c>
      <c r="G58" s="22" t="str">
        <f>IFERROR(__xludf.DUMMYFUNCTION("""COMPUTED_VALUE"""),"")</f>
        <v/>
      </c>
      <c r="H58" s="4"/>
      <c r="I58" s="5" t="s">
        <v>150</v>
      </c>
      <c r="J58" s="5" t="s">
        <v>137</v>
      </c>
      <c r="K58" s="5">
        <v>780.0</v>
      </c>
      <c r="L58" s="5">
        <v>4.19787</v>
      </c>
      <c r="M58" s="5">
        <v>-2.95885</v>
      </c>
      <c r="N58" s="5">
        <v>1.23901</v>
      </c>
      <c r="O58" s="5">
        <v>0.77055</v>
      </c>
    </row>
    <row r="59">
      <c r="A59" s="12" t="str">
        <f>IFERROR(__xludf.DUMMYFUNCTION("""COMPUTED_VALUE"""),"")</f>
        <v/>
      </c>
      <c r="B59" s="13" t="str">
        <f>IFERROR(__xludf.DUMMYFUNCTION("""COMPUTED_VALUE"""),"")</f>
        <v/>
      </c>
      <c r="C59" s="14" t="str">
        <f>IFERROR(__xludf.DUMMYFUNCTION("""COMPUTED_VALUE"""),"")</f>
        <v/>
      </c>
      <c r="D59" s="15" t="str">
        <f>IFERROR(__xludf.DUMMYFUNCTION("""COMPUTED_VALUE"""),"")</f>
        <v/>
      </c>
      <c r="E59" s="15" t="str">
        <f>IFERROR(__xludf.DUMMYFUNCTION("""COMPUTED_VALUE"""),"")</f>
        <v/>
      </c>
      <c r="F59" s="15" t="str">
        <f>IFERROR(__xludf.DUMMYFUNCTION("""COMPUTED_VALUE"""),"")</f>
        <v/>
      </c>
      <c r="G59" s="16" t="str">
        <f>IFERROR(__xludf.DUMMYFUNCTION("""COMPUTED_VALUE"""),"")</f>
        <v/>
      </c>
      <c r="H59" s="4"/>
      <c r="I59" s="5" t="s">
        <v>152</v>
      </c>
      <c r="J59" s="5" t="s">
        <v>36</v>
      </c>
      <c r="K59" s="5">
        <v>836.3</v>
      </c>
      <c r="L59" s="5">
        <v>0.95757</v>
      </c>
      <c r="M59" s="5">
        <v>0.23358</v>
      </c>
      <c r="N59" s="5">
        <v>1.19116</v>
      </c>
      <c r="O59" s="5">
        <v>0.80252</v>
      </c>
    </row>
    <row r="60">
      <c r="A60" s="18" t="str">
        <f>IFERROR(__xludf.DUMMYFUNCTION("""COMPUTED_VALUE"""),"")</f>
        <v/>
      </c>
      <c r="B60" s="19" t="str">
        <f>IFERROR(__xludf.DUMMYFUNCTION("""COMPUTED_VALUE"""),"")</f>
        <v/>
      </c>
      <c r="C60" s="20" t="str">
        <f>IFERROR(__xludf.DUMMYFUNCTION("""COMPUTED_VALUE"""),"")</f>
        <v/>
      </c>
      <c r="D60" s="21" t="str">
        <f>IFERROR(__xludf.DUMMYFUNCTION("""COMPUTED_VALUE"""),"")</f>
        <v/>
      </c>
      <c r="E60" s="21" t="str">
        <f>IFERROR(__xludf.DUMMYFUNCTION("""COMPUTED_VALUE"""),"")</f>
        <v/>
      </c>
      <c r="F60" s="21" t="str">
        <f>IFERROR(__xludf.DUMMYFUNCTION("""COMPUTED_VALUE"""),"")</f>
        <v/>
      </c>
      <c r="G60" s="22" t="str">
        <f>IFERROR(__xludf.DUMMYFUNCTION("""COMPUTED_VALUE"""),"")</f>
        <v/>
      </c>
      <c r="H60" s="4"/>
      <c r="I60" s="5" t="s">
        <v>154</v>
      </c>
      <c r="J60" s="5" t="s">
        <v>76</v>
      </c>
      <c r="K60" s="5">
        <v>806.7</v>
      </c>
      <c r="L60" s="5">
        <v>0.08487</v>
      </c>
      <c r="M60" s="5">
        <v>1.0674</v>
      </c>
      <c r="N60" s="5">
        <v>1.15227</v>
      </c>
      <c r="O60" s="5">
        <v>0.78582</v>
      </c>
    </row>
    <row r="61">
      <c r="A61" s="12" t="str">
        <f>IFERROR(__xludf.DUMMYFUNCTION("""COMPUTED_VALUE"""),"")</f>
        <v/>
      </c>
      <c r="B61" s="13" t="str">
        <f>IFERROR(__xludf.DUMMYFUNCTION("""COMPUTED_VALUE"""),"")</f>
        <v/>
      </c>
      <c r="C61" s="14" t="str">
        <f>IFERROR(__xludf.DUMMYFUNCTION("""COMPUTED_VALUE"""),"")</f>
        <v/>
      </c>
      <c r="D61" s="15" t="str">
        <f>IFERROR(__xludf.DUMMYFUNCTION("""COMPUTED_VALUE"""),"")</f>
        <v/>
      </c>
      <c r="E61" s="15" t="str">
        <f>IFERROR(__xludf.DUMMYFUNCTION("""COMPUTED_VALUE"""),"")</f>
        <v/>
      </c>
      <c r="F61" s="15" t="str">
        <f>IFERROR(__xludf.DUMMYFUNCTION("""COMPUTED_VALUE"""),"")</f>
        <v/>
      </c>
      <c r="G61" s="16" t="str">
        <f>IFERROR(__xludf.DUMMYFUNCTION("""COMPUTED_VALUE"""),"")</f>
        <v/>
      </c>
      <c r="H61" s="4"/>
      <c r="I61" s="5" t="s">
        <v>156</v>
      </c>
      <c r="J61" s="5" t="s">
        <v>12</v>
      </c>
      <c r="K61" s="5">
        <v>451.4</v>
      </c>
      <c r="L61" s="5">
        <v>-0.06162</v>
      </c>
      <c r="M61" s="5">
        <v>1.05541</v>
      </c>
      <c r="N61" s="5">
        <v>0.99379</v>
      </c>
      <c r="O61" s="5">
        <v>0.4106</v>
      </c>
    </row>
    <row r="62">
      <c r="A62" s="18" t="str">
        <f>IFERROR(__xludf.DUMMYFUNCTION("""COMPUTED_VALUE"""),"")</f>
        <v/>
      </c>
      <c r="B62" s="19" t="str">
        <f>IFERROR(__xludf.DUMMYFUNCTION("""COMPUTED_VALUE"""),"")</f>
        <v/>
      </c>
      <c r="C62" s="20" t="str">
        <f>IFERROR(__xludf.DUMMYFUNCTION("""COMPUTED_VALUE"""),"")</f>
        <v/>
      </c>
      <c r="D62" s="21" t="str">
        <f>IFERROR(__xludf.DUMMYFUNCTION("""COMPUTED_VALUE"""),"")</f>
        <v/>
      </c>
      <c r="E62" s="21" t="str">
        <f>IFERROR(__xludf.DUMMYFUNCTION("""COMPUTED_VALUE"""),"")</f>
        <v/>
      </c>
      <c r="F62" s="21" t="str">
        <f>IFERROR(__xludf.DUMMYFUNCTION("""COMPUTED_VALUE"""),"")</f>
        <v/>
      </c>
      <c r="G62" s="22" t="str">
        <f>IFERROR(__xludf.DUMMYFUNCTION("""COMPUTED_VALUE"""),"")</f>
        <v/>
      </c>
      <c r="H62" s="4"/>
      <c r="I62" s="5" t="s">
        <v>158</v>
      </c>
      <c r="J62" s="5" t="s">
        <v>14</v>
      </c>
      <c r="K62" s="5">
        <v>376.9</v>
      </c>
      <c r="L62" s="5">
        <v>0.02227</v>
      </c>
      <c r="M62" s="5">
        <v>0.90032</v>
      </c>
      <c r="N62" s="5">
        <v>0.9226</v>
      </c>
      <c r="O62" s="5">
        <v>0.33469</v>
      </c>
    </row>
    <row r="63">
      <c r="A63" s="12" t="str">
        <f>IFERROR(__xludf.DUMMYFUNCTION("""COMPUTED_VALUE"""),"")</f>
        <v/>
      </c>
      <c r="B63" s="13" t="str">
        <f>IFERROR(__xludf.DUMMYFUNCTION("""COMPUTED_VALUE"""),"")</f>
        <v/>
      </c>
      <c r="C63" s="14" t="str">
        <f>IFERROR(__xludf.DUMMYFUNCTION("""COMPUTED_VALUE"""),"")</f>
        <v/>
      </c>
      <c r="D63" s="15" t="str">
        <f>IFERROR(__xludf.DUMMYFUNCTION("""COMPUTED_VALUE"""),"")</f>
        <v/>
      </c>
      <c r="E63" s="15" t="str">
        <f>IFERROR(__xludf.DUMMYFUNCTION("""COMPUTED_VALUE"""),"")</f>
        <v/>
      </c>
      <c r="F63" s="15" t="str">
        <f>IFERROR(__xludf.DUMMYFUNCTION("""COMPUTED_VALUE"""),"")</f>
        <v/>
      </c>
      <c r="G63" s="16" t="str">
        <f>IFERROR(__xludf.DUMMYFUNCTION("""COMPUTED_VALUE"""),"")</f>
        <v/>
      </c>
      <c r="H63" s="4"/>
      <c r="I63" s="5" t="s">
        <v>161</v>
      </c>
      <c r="J63" s="5" t="s">
        <v>72</v>
      </c>
      <c r="K63" s="5">
        <v>623.5</v>
      </c>
      <c r="L63" s="5">
        <v>2.1133</v>
      </c>
      <c r="M63" s="5">
        <v>-1.26377</v>
      </c>
      <c r="N63" s="5">
        <v>0.84954</v>
      </c>
      <c r="O63" s="5">
        <v>0.55068</v>
      </c>
    </row>
    <row r="64">
      <c r="A64" s="18" t="str">
        <f>IFERROR(__xludf.DUMMYFUNCTION("""COMPUTED_VALUE"""),"")</f>
        <v/>
      </c>
      <c r="B64" s="19" t="str">
        <f>IFERROR(__xludf.DUMMYFUNCTION("""COMPUTED_VALUE"""),"")</f>
        <v/>
      </c>
      <c r="C64" s="20" t="str">
        <f>IFERROR(__xludf.DUMMYFUNCTION("""COMPUTED_VALUE"""),"")</f>
        <v/>
      </c>
      <c r="D64" s="21" t="str">
        <f>IFERROR(__xludf.DUMMYFUNCTION("""COMPUTED_VALUE"""),"")</f>
        <v/>
      </c>
      <c r="E64" s="21" t="str">
        <f>IFERROR(__xludf.DUMMYFUNCTION("""COMPUTED_VALUE"""),"")</f>
        <v/>
      </c>
      <c r="F64" s="21" t="str">
        <f>IFERROR(__xludf.DUMMYFUNCTION("""COMPUTED_VALUE"""),"")</f>
        <v/>
      </c>
      <c r="G64" s="22" t="str">
        <f>IFERROR(__xludf.DUMMYFUNCTION("""COMPUTED_VALUE"""),"")</f>
        <v/>
      </c>
      <c r="H64" s="4"/>
      <c r="I64" s="5" t="s">
        <v>57</v>
      </c>
      <c r="J64" s="5" t="s">
        <v>59</v>
      </c>
      <c r="K64" s="5">
        <v>445.9</v>
      </c>
      <c r="L64" s="5">
        <v>3.31939</v>
      </c>
      <c r="M64" s="5">
        <v>-2.50095</v>
      </c>
      <c r="N64" s="5">
        <v>0.81844</v>
      </c>
      <c r="O64" s="5">
        <v>0.37996</v>
      </c>
    </row>
    <row r="65">
      <c r="A65" s="12" t="str">
        <f>IFERROR(__xludf.DUMMYFUNCTION("""COMPUTED_VALUE"""),"")</f>
        <v/>
      </c>
      <c r="B65" s="13" t="str">
        <f>IFERROR(__xludf.DUMMYFUNCTION("""COMPUTED_VALUE"""),"")</f>
        <v/>
      </c>
      <c r="C65" s="14" t="str">
        <f>IFERROR(__xludf.DUMMYFUNCTION("""COMPUTED_VALUE"""),"")</f>
        <v/>
      </c>
      <c r="D65" s="15" t="str">
        <f>IFERROR(__xludf.DUMMYFUNCTION("""COMPUTED_VALUE"""),"")</f>
        <v/>
      </c>
      <c r="E65" s="15" t="str">
        <f>IFERROR(__xludf.DUMMYFUNCTION("""COMPUTED_VALUE"""),"")</f>
        <v/>
      </c>
      <c r="F65" s="15" t="str">
        <f>IFERROR(__xludf.DUMMYFUNCTION("""COMPUTED_VALUE"""),"")</f>
        <v/>
      </c>
      <c r="G65" s="16" t="str">
        <f>IFERROR(__xludf.DUMMYFUNCTION("""COMPUTED_VALUE"""),"")</f>
        <v/>
      </c>
      <c r="H65" s="4"/>
      <c r="I65" s="5" t="s">
        <v>164</v>
      </c>
      <c r="J65" s="5" t="s">
        <v>41</v>
      </c>
      <c r="K65" s="5">
        <v>157.1</v>
      </c>
      <c r="L65" s="5">
        <v>0.59701</v>
      </c>
      <c r="M65" s="5">
        <v>0.17921</v>
      </c>
      <c r="N65" s="5">
        <v>0.77623</v>
      </c>
      <c r="O65" s="5">
        <v>0.133</v>
      </c>
    </row>
    <row r="66">
      <c r="A66" s="18" t="str">
        <f>IFERROR(__xludf.DUMMYFUNCTION("""COMPUTED_VALUE"""),"")</f>
        <v/>
      </c>
      <c r="B66" s="19" t="str">
        <f>IFERROR(__xludf.DUMMYFUNCTION("""COMPUTED_VALUE"""),"")</f>
        <v/>
      </c>
      <c r="C66" s="20" t="str">
        <f>IFERROR(__xludf.DUMMYFUNCTION("""COMPUTED_VALUE"""),"")</f>
        <v/>
      </c>
      <c r="D66" s="21" t="str">
        <f>IFERROR(__xludf.DUMMYFUNCTION("""COMPUTED_VALUE"""),"")</f>
        <v/>
      </c>
      <c r="E66" s="21" t="str">
        <f>IFERROR(__xludf.DUMMYFUNCTION("""COMPUTED_VALUE"""),"")</f>
        <v/>
      </c>
      <c r="F66" s="21" t="str">
        <f>IFERROR(__xludf.DUMMYFUNCTION("""COMPUTED_VALUE"""),"")</f>
        <v/>
      </c>
      <c r="G66" s="22" t="str">
        <f>IFERROR(__xludf.DUMMYFUNCTION("""COMPUTED_VALUE"""),"")</f>
        <v/>
      </c>
      <c r="H66" s="4"/>
      <c r="I66" s="5" t="s">
        <v>167</v>
      </c>
      <c r="J66" s="5" t="s">
        <v>12</v>
      </c>
      <c r="K66" s="5">
        <v>48.1</v>
      </c>
      <c r="L66" s="5">
        <v>1.27164</v>
      </c>
      <c r="M66" s="5">
        <v>-0.53343</v>
      </c>
      <c r="N66" s="5">
        <v>0.73821</v>
      </c>
      <c r="O66" s="5">
        <v>0.04002</v>
      </c>
    </row>
    <row r="67">
      <c r="A67" s="12" t="str">
        <f>IFERROR(__xludf.DUMMYFUNCTION("""COMPUTED_VALUE"""),"")</f>
        <v/>
      </c>
      <c r="B67" s="13" t="str">
        <f>IFERROR(__xludf.DUMMYFUNCTION("""COMPUTED_VALUE"""),"")</f>
        <v/>
      </c>
      <c r="C67" s="14" t="str">
        <f>IFERROR(__xludf.DUMMYFUNCTION("""COMPUTED_VALUE"""),"")</f>
        <v/>
      </c>
      <c r="D67" s="15" t="str">
        <f>IFERROR(__xludf.DUMMYFUNCTION("""COMPUTED_VALUE"""),"")</f>
        <v/>
      </c>
      <c r="E67" s="15" t="str">
        <f>IFERROR(__xludf.DUMMYFUNCTION("""COMPUTED_VALUE"""),"")</f>
        <v/>
      </c>
      <c r="F67" s="15" t="str">
        <f>IFERROR(__xludf.DUMMYFUNCTION("""COMPUTED_VALUE"""),"")</f>
        <v/>
      </c>
      <c r="G67" s="16" t="str">
        <f>IFERROR(__xludf.DUMMYFUNCTION("""COMPUTED_VALUE"""),"")</f>
        <v/>
      </c>
      <c r="H67" s="4"/>
      <c r="I67" s="5" t="s">
        <v>160</v>
      </c>
      <c r="J67" s="5" t="s">
        <v>14</v>
      </c>
      <c r="K67" s="5">
        <v>543.6</v>
      </c>
      <c r="L67" s="5">
        <v>1.0518</v>
      </c>
      <c r="M67" s="5">
        <v>-0.34821</v>
      </c>
      <c r="N67" s="5">
        <v>0.70358</v>
      </c>
      <c r="O67" s="5">
        <v>0.44655</v>
      </c>
    </row>
    <row r="68">
      <c r="A68" s="18" t="str">
        <f>IFERROR(__xludf.DUMMYFUNCTION("""COMPUTED_VALUE"""),"")</f>
        <v/>
      </c>
      <c r="B68" s="19" t="str">
        <f>IFERROR(__xludf.DUMMYFUNCTION("""COMPUTED_VALUE"""),"")</f>
        <v/>
      </c>
      <c r="C68" s="20" t="str">
        <f>IFERROR(__xludf.DUMMYFUNCTION("""COMPUTED_VALUE"""),"")</f>
        <v/>
      </c>
      <c r="D68" s="21" t="str">
        <f>IFERROR(__xludf.DUMMYFUNCTION("""COMPUTED_VALUE"""),"")</f>
        <v/>
      </c>
      <c r="E68" s="21" t="str">
        <f>IFERROR(__xludf.DUMMYFUNCTION("""COMPUTED_VALUE"""),"")</f>
        <v/>
      </c>
      <c r="F68" s="21" t="str">
        <f>IFERROR(__xludf.DUMMYFUNCTION("""COMPUTED_VALUE"""),"")</f>
        <v/>
      </c>
      <c r="G68" s="22" t="str">
        <f>IFERROR(__xludf.DUMMYFUNCTION("""COMPUTED_VALUE"""),"")</f>
        <v/>
      </c>
      <c r="H68" s="4"/>
      <c r="I68" s="5" t="s">
        <v>49</v>
      </c>
      <c r="J68" s="5" t="s">
        <v>14</v>
      </c>
      <c r="K68" s="5">
        <v>693.4</v>
      </c>
      <c r="L68" s="5">
        <v>-0.28862</v>
      </c>
      <c r="M68" s="5">
        <v>0.94747</v>
      </c>
      <c r="N68" s="5">
        <v>0.65885</v>
      </c>
      <c r="O68" s="5">
        <v>0.56018</v>
      </c>
    </row>
    <row r="69">
      <c r="A69" s="12" t="str">
        <f>IFERROR(__xludf.DUMMYFUNCTION("""COMPUTED_VALUE"""),"")</f>
        <v/>
      </c>
      <c r="B69" s="13" t="str">
        <f>IFERROR(__xludf.DUMMYFUNCTION("""COMPUTED_VALUE"""),"")</f>
        <v/>
      </c>
      <c r="C69" s="14" t="str">
        <f>IFERROR(__xludf.DUMMYFUNCTION("""COMPUTED_VALUE"""),"")</f>
        <v/>
      </c>
      <c r="D69" s="15" t="str">
        <f>IFERROR(__xludf.DUMMYFUNCTION("""COMPUTED_VALUE"""),"")</f>
        <v/>
      </c>
      <c r="E69" s="15" t="str">
        <f>IFERROR(__xludf.DUMMYFUNCTION("""COMPUTED_VALUE"""),"")</f>
        <v/>
      </c>
      <c r="F69" s="15" t="str">
        <f>IFERROR(__xludf.DUMMYFUNCTION("""COMPUTED_VALUE"""),"")</f>
        <v/>
      </c>
      <c r="G69" s="16" t="str">
        <f>IFERROR(__xludf.DUMMYFUNCTION("""COMPUTED_VALUE"""),"")</f>
        <v/>
      </c>
      <c r="H69" s="4"/>
      <c r="I69" s="5" t="s">
        <v>172</v>
      </c>
      <c r="J69" s="5" t="s">
        <v>30</v>
      </c>
      <c r="K69" s="5">
        <v>576.1</v>
      </c>
      <c r="L69" s="5">
        <v>-1.03401</v>
      </c>
      <c r="M69" s="5">
        <v>1.68147</v>
      </c>
      <c r="N69" s="5">
        <v>0.64746</v>
      </c>
      <c r="O69" s="5">
        <v>0.46828</v>
      </c>
    </row>
    <row r="70">
      <c r="A70" s="18" t="str">
        <f>IFERROR(__xludf.DUMMYFUNCTION("""COMPUTED_VALUE"""),"")</f>
        <v/>
      </c>
      <c r="B70" s="19" t="str">
        <f>IFERROR(__xludf.DUMMYFUNCTION("""COMPUTED_VALUE"""),"")</f>
        <v/>
      </c>
      <c r="C70" s="20" t="str">
        <f>IFERROR(__xludf.DUMMYFUNCTION("""COMPUTED_VALUE"""),"")</f>
        <v/>
      </c>
      <c r="D70" s="21" t="str">
        <f>IFERROR(__xludf.DUMMYFUNCTION("""COMPUTED_VALUE"""),"")</f>
        <v/>
      </c>
      <c r="E70" s="21" t="str">
        <f>IFERROR(__xludf.DUMMYFUNCTION("""COMPUTED_VALUE"""),"")</f>
        <v/>
      </c>
      <c r="F70" s="21" t="str">
        <f>IFERROR(__xludf.DUMMYFUNCTION("""COMPUTED_VALUE"""),"")</f>
        <v/>
      </c>
      <c r="G70" s="22" t="str">
        <f>IFERROR(__xludf.DUMMYFUNCTION("""COMPUTED_VALUE"""),"")</f>
        <v/>
      </c>
      <c r="H70" s="4"/>
      <c r="I70" s="5" t="s">
        <v>174</v>
      </c>
      <c r="J70" s="5" t="s">
        <v>76</v>
      </c>
      <c r="K70" s="5">
        <v>460.6</v>
      </c>
      <c r="L70" s="5">
        <v>0.20403</v>
      </c>
      <c r="M70" s="5">
        <v>0.38139</v>
      </c>
      <c r="N70" s="5">
        <v>0.58542</v>
      </c>
      <c r="O70" s="5">
        <v>0.368</v>
      </c>
    </row>
    <row r="71">
      <c r="A71" s="12" t="str">
        <f>IFERROR(__xludf.DUMMYFUNCTION("""COMPUTED_VALUE"""),"")</f>
        <v/>
      </c>
      <c r="B71" s="13" t="str">
        <f>IFERROR(__xludf.DUMMYFUNCTION("""COMPUTED_VALUE"""),"")</f>
        <v/>
      </c>
      <c r="C71" s="14" t="str">
        <f>IFERROR(__xludf.DUMMYFUNCTION("""COMPUTED_VALUE"""),"")</f>
        <v/>
      </c>
      <c r="D71" s="15" t="str">
        <f>IFERROR(__xludf.DUMMYFUNCTION("""COMPUTED_VALUE"""),"")</f>
        <v/>
      </c>
      <c r="E71" s="15" t="str">
        <f>IFERROR(__xludf.DUMMYFUNCTION("""COMPUTED_VALUE"""),"")</f>
        <v/>
      </c>
      <c r="F71" s="15" t="str">
        <f>IFERROR(__xludf.DUMMYFUNCTION("""COMPUTED_VALUE"""),"")</f>
        <v/>
      </c>
      <c r="G71" s="16" t="str">
        <f>IFERROR(__xludf.DUMMYFUNCTION("""COMPUTED_VALUE"""),"")</f>
        <v/>
      </c>
      <c r="H71" s="4"/>
      <c r="I71" s="5" t="s">
        <v>155</v>
      </c>
      <c r="J71" s="5" t="s">
        <v>24</v>
      </c>
      <c r="K71" s="5">
        <v>507.2</v>
      </c>
      <c r="L71" s="5">
        <v>0.71732</v>
      </c>
      <c r="M71" s="5">
        <v>-0.14492</v>
      </c>
      <c r="N71" s="5">
        <v>0.5724</v>
      </c>
      <c r="O71" s="5">
        <v>0.39779</v>
      </c>
    </row>
    <row r="72">
      <c r="A72" s="18" t="str">
        <f>IFERROR(__xludf.DUMMYFUNCTION("""COMPUTED_VALUE"""),"")</f>
        <v/>
      </c>
      <c r="B72" s="19" t="str">
        <f>IFERROR(__xludf.DUMMYFUNCTION("""COMPUTED_VALUE"""),"")</f>
        <v/>
      </c>
      <c r="C72" s="20" t="str">
        <f>IFERROR(__xludf.DUMMYFUNCTION("""COMPUTED_VALUE"""),"")</f>
        <v/>
      </c>
      <c r="D72" s="21" t="str">
        <f>IFERROR(__xludf.DUMMYFUNCTION("""COMPUTED_VALUE"""),"")</f>
        <v/>
      </c>
      <c r="E72" s="21" t="str">
        <f>IFERROR(__xludf.DUMMYFUNCTION("""COMPUTED_VALUE"""),"")</f>
        <v/>
      </c>
      <c r="F72" s="21" t="str">
        <f>IFERROR(__xludf.DUMMYFUNCTION("""COMPUTED_VALUE"""),"")</f>
        <v/>
      </c>
      <c r="G72" s="22" t="str">
        <f>IFERROR(__xludf.DUMMYFUNCTION("""COMPUTED_VALUE"""),"")</f>
        <v/>
      </c>
      <c r="H72" s="4"/>
      <c r="I72" s="5" t="s">
        <v>79</v>
      </c>
      <c r="J72" s="5" t="s">
        <v>24</v>
      </c>
      <c r="K72" s="5">
        <v>152.0</v>
      </c>
      <c r="L72" s="5">
        <v>0.0822</v>
      </c>
      <c r="M72" s="5">
        <v>0.48946</v>
      </c>
      <c r="N72" s="5">
        <v>0.57166</v>
      </c>
      <c r="O72" s="5">
        <v>0.1191</v>
      </c>
    </row>
    <row r="73">
      <c r="A73" s="12" t="str">
        <f>IFERROR(__xludf.DUMMYFUNCTION("""COMPUTED_VALUE"""),"")</f>
        <v/>
      </c>
      <c r="B73" s="13" t="str">
        <f>IFERROR(__xludf.DUMMYFUNCTION("""COMPUTED_VALUE"""),"")</f>
        <v/>
      </c>
      <c r="C73" s="14" t="str">
        <f>IFERROR(__xludf.DUMMYFUNCTION("""COMPUTED_VALUE"""),"")</f>
        <v/>
      </c>
      <c r="D73" s="15" t="str">
        <f>IFERROR(__xludf.DUMMYFUNCTION("""COMPUTED_VALUE"""),"")</f>
        <v/>
      </c>
      <c r="E73" s="15" t="str">
        <f>IFERROR(__xludf.DUMMYFUNCTION("""COMPUTED_VALUE"""),"")</f>
        <v/>
      </c>
      <c r="F73" s="15" t="str">
        <f>IFERROR(__xludf.DUMMYFUNCTION("""COMPUTED_VALUE"""),"")</f>
        <v/>
      </c>
      <c r="G73" s="16" t="str">
        <f>IFERROR(__xludf.DUMMYFUNCTION("""COMPUTED_VALUE"""),"")</f>
        <v/>
      </c>
      <c r="H73" s="4"/>
      <c r="I73" s="5" t="s">
        <v>180</v>
      </c>
      <c r="J73" s="5" t="s">
        <v>72</v>
      </c>
      <c r="K73" s="5">
        <v>239.1</v>
      </c>
      <c r="L73" s="5">
        <v>0.96949</v>
      </c>
      <c r="M73" s="5">
        <v>-0.42977</v>
      </c>
      <c r="N73" s="5">
        <v>0.53972</v>
      </c>
      <c r="O73" s="5">
        <v>0.18821</v>
      </c>
    </row>
    <row r="74">
      <c r="A74" s="18" t="str">
        <f>IFERROR(__xludf.DUMMYFUNCTION("""COMPUTED_VALUE"""),"")</f>
        <v/>
      </c>
      <c r="B74" s="19" t="str">
        <f>IFERROR(__xludf.DUMMYFUNCTION("""COMPUTED_VALUE"""),"")</f>
        <v/>
      </c>
      <c r="C74" s="20" t="str">
        <f>IFERROR(__xludf.DUMMYFUNCTION("""COMPUTED_VALUE"""),"")</f>
        <v/>
      </c>
      <c r="D74" s="21" t="str">
        <f>IFERROR(__xludf.DUMMYFUNCTION("""COMPUTED_VALUE"""),"")</f>
        <v/>
      </c>
      <c r="E74" s="21" t="str">
        <f>IFERROR(__xludf.DUMMYFUNCTION("""COMPUTED_VALUE"""),"")</f>
        <v/>
      </c>
      <c r="F74" s="21" t="str">
        <f>IFERROR(__xludf.DUMMYFUNCTION("""COMPUTED_VALUE"""),"")</f>
        <v/>
      </c>
      <c r="G74" s="22" t="str">
        <f>IFERROR(__xludf.DUMMYFUNCTION("""COMPUTED_VALUE"""),"")</f>
        <v/>
      </c>
      <c r="H74" s="4"/>
      <c r="I74" s="5" t="s">
        <v>182</v>
      </c>
      <c r="J74" s="5" t="s">
        <v>64</v>
      </c>
      <c r="K74" s="5">
        <v>701.3</v>
      </c>
      <c r="L74" s="5">
        <v>-0.81156</v>
      </c>
      <c r="M74" s="5">
        <v>1.30131</v>
      </c>
      <c r="N74" s="5">
        <v>0.48975</v>
      </c>
      <c r="O74" s="5">
        <v>0.53234</v>
      </c>
    </row>
    <row r="75">
      <c r="A75" s="12" t="str">
        <f>IFERROR(__xludf.DUMMYFUNCTION("""COMPUTED_VALUE"""),"")</f>
        <v/>
      </c>
      <c r="B75" s="13" t="str">
        <f>IFERROR(__xludf.DUMMYFUNCTION("""COMPUTED_VALUE"""),"")</f>
        <v/>
      </c>
      <c r="C75" s="14" t="str">
        <f>IFERROR(__xludf.DUMMYFUNCTION("""COMPUTED_VALUE"""),"")</f>
        <v/>
      </c>
      <c r="D75" s="15" t="str">
        <f>IFERROR(__xludf.DUMMYFUNCTION("""COMPUTED_VALUE"""),"")</f>
        <v/>
      </c>
      <c r="E75" s="15" t="str">
        <f>IFERROR(__xludf.DUMMYFUNCTION("""COMPUTED_VALUE"""),"")</f>
        <v/>
      </c>
      <c r="F75" s="15" t="str">
        <f>IFERROR(__xludf.DUMMYFUNCTION("""COMPUTED_VALUE"""),"")</f>
        <v/>
      </c>
      <c r="G75" s="16" t="str">
        <f>IFERROR(__xludf.DUMMYFUNCTION("""COMPUTED_VALUE"""),"")</f>
        <v/>
      </c>
      <c r="H75" s="4"/>
      <c r="I75" s="5" t="s">
        <v>186</v>
      </c>
      <c r="J75" s="5" t="s">
        <v>59</v>
      </c>
      <c r="K75" s="5">
        <v>90.2</v>
      </c>
      <c r="L75" s="5">
        <v>-0.53906</v>
      </c>
      <c r="M75" s="5">
        <v>1.02566</v>
      </c>
      <c r="N75" s="5">
        <v>0.4866</v>
      </c>
      <c r="O75" s="5">
        <v>0.06781</v>
      </c>
    </row>
    <row r="76">
      <c r="A76" s="18" t="str">
        <f>IFERROR(__xludf.DUMMYFUNCTION("""COMPUTED_VALUE"""),"")</f>
        <v/>
      </c>
      <c r="B76" s="19" t="str">
        <f>IFERROR(__xludf.DUMMYFUNCTION("""COMPUTED_VALUE"""),"")</f>
        <v/>
      </c>
      <c r="C76" s="20" t="str">
        <f>IFERROR(__xludf.DUMMYFUNCTION("""COMPUTED_VALUE"""),"")</f>
        <v/>
      </c>
      <c r="D76" s="21" t="str">
        <f>IFERROR(__xludf.DUMMYFUNCTION("""COMPUTED_VALUE"""),"")</f>
        <v/>
      </c>
      <c r="E76" s="21" t="str">
        <f>IFERROR(__xludf.DUMMYFUNCTION("""COMPUTED_VALUE"""),"")</f>
        <v/>
      </c>
      <c r="F76" s="21" t="str">
        <f>IFERROR(__xludf.DUMMYFUNCTION("""COMPUTED_VALUE"""),"")</f>
        <v/>
      </c>
      <c r="G76" s="22" t="str">
        <f>IFERROR(__xludf.DUMMYFUNCTION("""COMPUTED_VALUE"""),"")</f>
        <v/>
      </c>
      <c r="H76" s="4"/>
      <c r="I76" s="5" t="s">
        <v>103</v>
      </c>
      <c r="J76" s="5" t="s">
        <v>59</v>
      </c>
      <c r="K76" s="5">
        <v>709.0</v>
      </c>
      <c r="L76" s="5">
        <v>-0.02274</v>
      </c>
      <c r="M76" s="5">
        <v>0.48552</v>
      </c>
      <c r="N76" s="5">
        <v>0.46278</v>
      </c>
      <c r="O76" s="5">
        <v>0.52798</v>
      </c>
    </row>
    <row r="77">
      <c r="A77" s="12" t="str">
        <f>IFERROR(__xludf.DUMMYFUNCTION("""COMPUTED_VALUE"""),"")</f>
        <v/>
      </c>
      <c r="B77" s="13" t="str">
        <f>IFERROR(__xludf.DUMMYFUNCTION("""COMPUTED_VALUE"""),"")</f>
        <v/>
      </c>
      <c r="C77" s="14" t="str">
        <f>IFERROR(__xludf.DUMMYFUNCTION("""COMPUTED_VALUE"""),"")</f>
        <v/>
      </c>
      <c r="D77" s="15" t="str">
        <f>IFERROR(__xludf.DUMMYFUNCTION("""COMPUTED_VALUE"""),"")</f>
        <v/>
      </c>
      <c r="E77" s="15" t="str">
        <f>IFERROR(__xludf.DUMMYFUNCTION("""COMPUTED_VALUE"""),"")</f>
        <v/>
      </c>
      <c r="F77" s="15" t="str">
        <f>IFERROR(__xludf.DUMMYFUNCTION("""COMPUTED_VALUE"""),"")</f>
        <v/>
      </c>
      <c r="G77" s="16" t="str">
        <f>IFERROR(__xludf.DUMMYFUNCTION("""COMPUTED_VALUE"""),"")</f>
        <v/>
      </c>
      <c r="H77" s="4"/>
      <c r="I77" s="5" t="s">
        <v>191</v>
      </c>
      <c r="J77" s="5" t="s">
        <v>22</v>
      </c>
      <c r="K77" s="5">
        <v>595.1</v>
      </c>
      <c r="L77" s="5">
        <v>0.481</v>
      </c>
      <c r="M77" s="5">
        <v>-0.07263</v>
      </c>
      <c r="N77" s="5">
        <v>0.40837</v>
      </c>
      <c r="O77" s="5">
        <v>0.43887</v>
      </c>
    </row>
    <row r="78">
      <c r="A78" s="18" t="str">
        <f>IFERROR(__xludf.DUMMYFUNCTION("""COMPUTED_VALUE"""),"")</f>
        <v/>
      </c>
      <c r="B78" s="19" t="str">
        <f>IFERROR(__xludf.DUMMYFUNCTION("""COMPUTED_VALUE"""),"")</f>
        <v/>
      </c>
      <c r="C78" s="20" t="str">
        <f>IFERROR(__xludf.DUMMYFUNCTION("""COMPUTED_VALUE"""),"")</f>
        <v/>
      </c>
      <c r="D78" s="21" t="str">
        <f>IFERROR(__xludf.DUMMYFUNCTION("""COMPUTED_VALUE"""),"")</f>
        <v/>
      </c>
      <c r="E78" s="21" t="str">
        <f>IFERROR(__xludf.DUMMYFUNCTION("""COMPUTED_VALUE"""),"")</f>
        <v/>
      </c>
      <c r="F78" s="21" t="str">
        <f>IFERROR(__xludf.DUMMYFUNCTION("""COMPUTED_VALUE"""),"")</f>
        <v/>
      </c>
      <c r="G78" s="22" t="str">
        <f>IFERROR(__xludf.DUMMYFUNCTION("""COMPUTED_VALUE"""),"")</f>
        <v/>
      </c>
      <c r="H78" s="4"/>
      <c r="I78" s="5" t="s">
        <v>194</v>
      </c>
      <c r="J78" s="5" t="s">
        <v>59</v>
      </c>
      <c r="K78" s="5">
        <v>484.0</v>
      </c>
      <c r="L78" s="5">
        <v>1.23635</v>
      </c>
      <c r="M78" s="5">
        <v>-0.87199</v>
      </c>
      <c r="N78" s="5">
        <v>0.36437</v>
      </c>
      <c r="O78" s="5">
        <v>0.34619</v>
      </c>
    </row>
    <row r="79">
      <c r="A79" s="12" t="str">
        <f>IFERROR(__xludf.DUMMYFUNCTION("""COMPUTED_VALUE"""),"")</f>
        <v/>
      </c>
      <c r="B79" s="13" t="str">
        <f>IFERROR(__xludf.DUMMYFUNCTION("""COMPUTED_VALUE"""),"")</f>
        <v/>
      </c>
      <c r="C79" s="14" t="str">
        <f>IFERROR(__xludf.DUMMYFUNCTION("""COMPUTED_VALUE"""),"")</f>
        <v/>
      </c>
      <c r="D79" s="15" t="str">
        <f>IFERROR(__xludf.DUMMYFUNCTION("""COMPUTED_VALUE"""),"")</f>
        <v/>
      </c>
      <c r="E79" s="15" t="str">
        <f>IFERROR(__xludf.DUMMYFUNCTION("""COMPUTED_VALUE"""),"")</f>
        <v/>
      </c>
      <c r="F79" s="15" t="str">
        <f>IFERROR(__xludf.DUMMYFUNCTION("""COMPUTED_VALUE"""),"")</f>
        <v/>
      </c>
      <c r="G79" s="16" t="str">
        <f>IFERROR(__xludf.DUMMYFUNCTION("""COMPUTED_VALUE"""),"")</f>
        <v/>
      </c>
      <c r="H79" s="4"/>
      <c r="I79" s="5" t="s">
        <v>197</v>
      </c>
      <c r="J79" s="5" t="s">
        <v>36</v>
      </c>
      <c r="K79" s="5">
        <v>868.8</v>
      </c>
      <c r="L79" s="5">
        <v>1.67262</v>
      </c>
      <c r="M79" s="5">
        <v>-1.31058</v>
      </c>
      <c r="N79" s="5">
        <v>0.36204</v>
      </c>
      <c r="O79" s="5">
        <v>0.6171</v>
      </c>
    </row>
    <row r="80">
      <c r="A80" s="18" t="str">
        <f>IFERROR(__xludf.DUMMYFUNCTION("""COMPUTED_VALUE"""),"")</f>
        <v/>
      </c>
      <c r="B80" s="19" t="str">
        <f>IFERROR(__xludf.DUMMYFUNCTION("""COMPUTED_VALUE"""),"")</f>
        <v/>
      </c>
      <c r="C80" s="20" t="str">
        <f>IFERROR(__xludf.DUMMYFUNCTION("""COMPUTED_VALUE"""),"")</f>
        <v/>
      </c>
      <c r="D80" s="21" t="str">
        <f>IFERROR(__xludf.DUMMYFUNCTION("""COMPUTED_VALUE"""),"")</f>
        <v/>
      </c>
      <c r="E80" s="21" t="str">
        <f>IFERROR(__xludf.DUMMYFUNCTION("""COMPUTED_VALUE"""),"")</f>
        <v/>
      </c>
      <c r="F80" s="21" t="str">
        <f>IFERROR(__xludf.DUMMYFUNCTION("""COMPUTED_VALUE"""),"")</f>
        <v/>
      </c>
      <c r="G80" s="22" t="str">
        <f>IFERROR(__xludf.DUMMYFUNCTION("""COMPUTED_VALUE"""),"")</f>
        <v/>
      </c>
      <c r="H80" s="4"/>
      <c r="I80" s="5" t="s">
        <v>200</v>
      </c>
      <c r="J80" s="5" t="s">
        <v>19</v>
      </c>
      <c r="K80" s="5">
        <v>726.2</v>
      </c>
      <c r="L80" s="5">
        <v>-0.49806</v>
      </c>
      <c r="M80" s="5">
        <v>0.81541</v>
      </c>
      <c r="N80" s="5">
        <v>0.31735</v>
      </c>
      <c r="O80" s="5">
        <v>0.50747</v>
      </c>
    </row>
    <row r="81">
      <c r="A81" s="12" t="str">
        <f>IFERROR(__xludf.DUMMYFUNCTION("""COMPUTED_VALUE"""),"")</f>
        <v/>
      </c>
      <c r="B81" s="13" t="str">
        <f>IFERROR(__xludf.DUMMYFUNCTION("""COMPUTED_VALUE"""),"")</f>
        <v/>
      </c>
      <c r="C81" s="14" t="str">
        <f>IFERROR(__xludf.DUMMYFUNCTION("""COMPUTED_VALUE"""),"")</f>
        <v/>
      </c>
      <c r="D81" s="15" t="str">
        <f>IFERROR(__xludf.DUMMYFUNCTION("""COMPUTED_VALUE"""),"")</f>
        <v/>
      </c>
      <c r="E81" s="15" t="str">
        <f>IFERROR(__xludf.DUMMYFUNCTION("""COMPUTED_VALUE"""),"")</f>
        <v/>
      </c>
      <c r="F81" s="15" t="str">
        <f>IFERROR(__xludf.DUMMYFUNCTION("""COMPUTED_VALUE"""),"")</f>
        <v/>
      </c>
      <c r="G81" s="16" t="str">
        <f>IFERROR(__xludf.DUMMYFUNCTION("""COMPUTED_VALUE"""),"")</f>
        <v/>
      </c>
      <c r="H81" s="4"/>
      <c r="I81" s="5" t="s">
        <v>66</v>
      </c>
      <c r="J81" s="5" t="s">
        <v>22</v>
      </c>
      <c r="K81" s="5">
        <v>570.6</v>
      </c>
      <c r="L81" s="5">
        <v>0.49566</v>
      </c>
      <c r="M81" s="5">
        <v>-0.21808</v>
      </c>
      <c r="N81" s="5">
        <v>0.27758</v>
      </c>
      <c r="O81" s="5">
        <v>0.39795</v>
      </c>
    </row>
    <row r="82">
      <c r="A82" s="18" t="str">
        <f>IFERROR(__xludf.DUMMYFUNCTION("""COMPUTED_VALUE"""),"")</f>
        <v/>
      </c>
      <c r="B82" s="19" t="str">
        <f>IFERROR(__xludf.DUMMYFUNCTION("""COMPUTED_VALUE"""),"")</f>
        <v/>
      </c>
      <c r="C82" s="20" t="str">
        <f>IFERROR(__xludf.DUMMYFUNCTION("""COMPUTED_VALUE"""),"")</f>
        <v/>
      </c>
      <c r="D82" s="21" t="str">
        <f>IFERROR(__xludf.DUMMYFUNCTION("""COMPUTED_VALUE"""),"")</f>
        <v/>
      </c>
      <c r="E82" s="21" t="str">
        <f>IFERROR(__xludf.DUMMYFUNCTION("""COMPUTED_VALUE"""),"")</f>
        <v/>
      </c>
      <c r="F82" s="21" t="str">
        <f>IFERROR(__xludf.DUMMYFUNCTION("""COMPUTED_VALUE"""),"")</f>
        <v/>
      </c>
      <c r="G82" s="22" t="str">
        <f>IFERROR(__xludf.DUMMYFUNCTION("""COMPUTED_VALUE"""),"")</f>
        <v/>
      </c>
      <c r="H82" s="4"/>
      <c r="I82" s="5" t="s">
        <v>205</v>
      </c>
      <c r="J82" s="5" t="s">
        <v>24</v>
      </c>
      <c r="K82" s="5">
        <v>7.9</v>
      </c>
      <c r="L82" s="5">
        <v>-0.25645</v>
      </c>
      <c r="M82" s="5">
        <v>0.52827</v>
      </c>
      <c r="N82" s="5">
        <v>0.27182</v>
      </c>
      <c r="O82" s="5">
        <v>0.00547</v>
      </c>
    </row>
    <row r="83">
      <c r="A83" s="12" t="str">
        <f>IFERROR(__xludf.DUMMYFUNCTION("""COMPUTED_VALUE"""),"")</f>
        <v/>
      </c>
      <c r="B83" s="13" t="str">
        <f>IFERROR(__xludf.DUMMYFUNCTION("""COMPUTED_VALUE"""),"")</f>
        <v/>
      </c>
      <c r="C83" s="14" t="str">
        <f>IFERROR(__xludf.DUMMYFUNCTION("""COMPUTED_VALUE"""),"")</f>
        <v/>
      </c>
      <c r="D83" s="15" t="str">
        <f>IFERROR(__xludf.DUMMYFUNCTION("""COMPUTED_VALUE"""),"")</f>
        <v/>
      </c>
      <c r="E83" s="15" t="str">
        <f>IFERROR(__xludf.DUMMYFUNCTION("""COMPUTED_VALUE"""),"")</f>
        <v/>
      </c>
      <c r="F83" s="15" t="str">
        <f>IFERROR(__xludf.DUMMYFUNCTION("""COMPUTED_VALUE"""),"")</f>
        <v/>
      </c>
      <c r="G83" s="16" t="str">
        <f>IFERROR(__xludf.DUMMYFUNCTION("""COMPUTED_VALUE"""),"")</f>
        <v/>
      </c>
      <c r="H83" s="4"/>
      <c r="I83" s="5" t="s">
        <v>207</v>
      </c>
      <c r="J83" s="5" t="s">
        <v>24</v>
      </c>
      <c r="K83" s="5">
        <v>1.2</v>
      </c>
      <c r="L83" s="5">
        <v>0.36959</v>
      </c>
      <c r="M83" s="5">
        <v>-0.11519</v>
      </c>
      <c r="N83" s="5">
        <v>0.25441</v>
      </c>
      <c r="O83" s="5">
        <v>8.2E-4</v>
      </c>
    </row>
    <row r="84">
      <c r="A84" s="18" t="str">
        <f>IFERROR(__xludf.DUMMYFUNCTION("""COMPUTED_VALUE"""),"")</f>
        <v/>
      </c>
      <c r="B84" s="19" t="str">
        <f>IFERROR(__xludf.DUMMYFUNCTION("""COMPUTED_VALUE"""),"")</f>
        <v/>
      </c>
      <c r="C84" s="20" t="str">
        <f>IFERROR(__xludf.DUMMYFUNCTION("""COMPUTED_VALUE"""),"")</f>
        <v/>
      </c>
      <c r="D84" s="21" t="str">
        <f>IFERROR(__xludf.DUMMYFUNCTION("""COMPUTED_VALUE"""),"")</f>
        <v/>
      </c>
      <c r="E84" s="21" t="str">
        <f>IFERROR(__xludf.DUMMYFUNCTION("""COMPUTED_VALUE"""),"")</f>
        <v/>
      </c>
      <c r="F84" s="21" t="str">
        <f>IFERROR(__xludf.DUMMYFUNCTION("""COMPUTED_VALUE"""),"")</f>
        <v/>
      </c>
      <c r="G84" s="22" t="str">
        <f>IFERROR(__xludf.DUMMYFUNCTION("""COMPUTED_VALUE"""),"")</f>
        <v/>
      </c>
      <c r="H84" s="4"/>
      <c r="I84" s="5" t="s">
        <v>210</v>
      </c>
      <c r="J84" s="5" t="s">
        <v>30</v>
      </c>
      <c r="K84" s="5">
        <v>609.1</v>
      </c>
      <c r="L84" s="5">
        <v>-1.63188</v>
      </c>
      <c r="M84" s="5">
        <v>1.88027</v>
      </c>
      <c r="N84" s="5">
        <v>0.24839</v>
      </c>
      <c r="O84" s="5">
        <v>0.42048</v>
      </c>
    </row>
    <row r="85">
      <c r="A85" s="12" t="str">
        <f>IFERROR(__xludf.DUMMYFUNCTION("""COMPUTED_VALUE"""),"")</f>
        <v/>
      </c>
      <c r="B85" s="13" t="str">
        <f>IFERROR(__xludf.DUMMYFUNCTION("""COMPUTED_VALUE"""),"")</f>
        <v/>
      </c>
      <c r="C85" s="14" t="str">
        <f>IFERROR(__xludf.DUMMYFUNCTION("""COMPUTED_VALUE"""),"")</f>
        <v/>
      </c>
      <c r="D85" s="15" t="str">
        <f>IFERROR(__xludf.DUMMYFUNCTION("""COMPUTED_VALUE"""),"")</f>
        <v/>
      </c>
      <c r="E85" s="15" t="str">
        <f>IFERROR(__xludf.DUMMYFUNCTION("""COMPUTED_VALUE"""),"")</f>
        <v/>
      </c>
      <c r="F85" s="15" t="str">
        <f>IFERROR(__xludf.DUMMYFUNCTION("""COMPUTED_VALUE"""),"")</f>
        <v/>
      </c>
      <c r="G85" s="16" t="str">
        <f>IFERROR(__xludf.DUMMYFUNCTION("""COMPUTED_VALUE"""),"")</f>
        <v/>
      </c>
      <c r="H85" s="4"/>
      <c r="I85" s="5" t="s">
        <v>213</v>
      </c>
      <c r="J85" s="5" t="s">
        <v>72</v>
      </c>
      <c r="K85" s="5">
        <v>2.3</v>
      </c>
      <c r="L85" s="5">
        <v>0.29711</v>
      </c>
      <c r="M85" s="5">
        <v>-0.07577</v>
      </c>
      <c r="N85" s="5">
        <v>0.22134</v>
      </c>
      <c r="O85" s="5">
        <v>0.00158</v>
      </c>
    </row>
    <row r="86">
      <c r="A86" s="18" t="str">
        <f>IFERROR(__xludf.DUMMYFUNCTION("""COMPUTED_VALUE"""),"")</f>
        <v/>
      </c>
      <c r="B86" s="19" t="str">
        <f>IFERROR(__xludf.DUMMYFUNCTION("""COMPUTED_VALUE"""),"")</f>
        <v/>
      </c>
      <c r="C86" s="20" t="str">
        <f>IFERROR(__xludf.DUMMYFUNCTION("""COMPUTED_VALUE"""),"")</f>
        <v/>
      </c>
      <c r="D86" s="21" t="str">
        <f>IFERROR(__xludf.DUMMYFUNCTION("""COMPUTED_VALUE"""),"")</f>
        <v/>
      </c>
      <c r="E86" s="21" t="str">
        <f>IFERROR(__xludf.DUMMYFUNCTION("""COMPUTED_VALUE"""),"")</f>
        <v/>
      </c>
      <c r="F86" s="21" t="str">
        <f>IFERROR(__xludf.DUMMYFUNCTION("""COMPUTED_VALUE"""),"")</f>
        <v/>
      </c>
      <c r="G86" s="22" t="str">
        <f>IFERROR(__xludf.DUMMYFUNCTION("""COMPUTED_VALUE"""),"")</f>
        <v/>
      </c>
      <c r="H86" s="4"/>
      <c r="I86" s="5" t="s">
        <v>82</v>
      </c>
      <c r="J86" s="5" t="s">
        <v>59</v>
      </c>
      <c r="K86" s="5">
        <v>668.0</v>
      </c>
      <c r="L86" s="5">
        <v>-0.67098</v>
      </c>
      <c r="M86" s="5">
        <v>0.87454</v>
      </c>
      <c r="N86" s="5">
        <v>0.20356</v>
      </c>
      <c r="O86" s="5">
        <v>0.44469</v>
      </c>
    </row>
    <row r="87">
      <c r="A87" s="12" t="str">
        <f>IFERROR(__xludf.DUMMYFUNCTION("""COMPUTED_VALUE"""),"")</f>
        <v/>
      </c>
      <c r="B87" s="13" t="str">
        <f>IFERROR(__xludf.DUMMYFUNCTION("""COMPUTED_VALUE"""),"")</f>
        <v/>
      </c>
      <c r="C87" s="14" t="str">
        <f>IFERROR(__xludf.DUMMYFUNCTION("""COMPUTED_VALUE"""),"")</f>
        <v/>
      </c>
      <c r="D87" s="15" t="str">
        <f>IFERROR(__xludf.DUMMYFUNCTION("""COMPUTED_VALUE"""),"")</f>
        <v/>
      </c>
      <c r="E87" s="15" t="str">
        <f>IFERROR(__xludf.DUMMYFUNCTION("""COMPUTED_VALUE"""),"")</f>
        <v/>
      </c>
      <c r="F87" s="15" t="str">
        <f>IFERROR(__xludf.DUMMYFUNCTION("""COMPUTED_VALUE"""),"")</f>
        <v/>
      </c>
      <c r="G87" s="16" t="str">
        <f>IFERROR(__xludf.DUMMYFUNCTION("""COMPUTED_VALUE"""),"")</f>
        <v/>
      </c>
      <c r="H87" s="4"/>
      <c r="I87" s="5" t="s">
        <v>218</v>
      </c>
      <c r="J87" s="5" t="s">
        <v>30</v>
      </c>
      <c r="K87" s="5">
        <v>676.3</v>
      </c>
      <c r="L87" s="5">
        <v>0.56476</v>
      </c>
      <c r="M87" s="5">
        <v>-0.40193</v>
      </c>
      <c r="N87" s="5">
        <v>0.16283</v>
      </c>
      <c r="O87" s="5">
        <v>0.4491</v>
      </c>
    </row>
    <row r="88">
      <c r="A88" s="18" t="str">
        <f>IFERROR(__xludf.DUMMYFUNCTION("""COMPUTED_VALUE"""),"")</f>
        <v/>
      </c>
      <c r="B88" s="19" t="str">
        <f>IFERROR(__xludf.DUMMYFUNCTION("""COMPUTED_VALUE"""),"")</f>
        <v/>
      </c>
      <c r="C88" s="20" t="str">
        <f>IFERROR(__xludf.DUMMYFUNCTION("""COMPUTED_VALUE"""),"")</f>
        <v/>
      </c>
      <c r="D88" s="21" t="str">
        <f>IFERROR(__xludf.DUMMYFUNCTION("""COMPUTED_VALUE"""),"")</f>
        <v/>
      </c>
      <c r="E88" s="21" t="str">
        <f>IFERROR(__xludf.DUMMYFUNCTION("""COMPUTED_VALUE"""),"")</f>
        <v/>
      </c>
      <c r="F88" s="21" t="str">
        <f>IFERROR(__xludf.DUMMYFUNCTION("""COMPUTED_VALUE"""),"")</f>
        <v/>
      </c>
      <c r="G88" s="22" t="str">
        <f>IFERROR(__xludf.DUMMYFUNCTION("""COMPUTED_VALUE"""),"")</f>
        <v/>
      </c>
      <c r="H88" s="4"/>
      <c r="I88" s="5" t="s">
        <v>169</v>
      </c>
      <c r="J88" s="5" t="s">
        <v>41</v>
      </c>
      <c r="K88" s="5">
        <v>760.1</v>
      </c>
      <c r="L88" s="5">
        <v>0.79464</v>
      </c>
      <c r="M88" s="5">
        <v>-0.64286</v>
      </c>
      <c r="N88" s="5">
        <v>0.15178</v>
      </c>
      <c r="O88" s="5">
        <v>0.49874</v>
      </c>
    </row>
    <row r="89">
      <c r="A89" s="12" t="str">
        <f>IFERROR(__xludf.DUMMYFUNCTION("""COMPUTED_VALUE"""),"")</f>
        <v/>
      </c>
      <c r="B89" s="13" t="str">
        <f>IFERROR(__xludf.DUMMYFUNCTION("""COMPUTED_VALUE"""),"")</f>
        <v/>
      </c>
      <c r="C89" s="14" t="str">
        <f>IFERROR(__xludf.DUMMYFUNCTION("""COMPUTED_VALUE"""),"")</f>
        <v/>
      </c>
      <c r="D89" s="15" t="str">
        <f>IFERROR(__xludf.DUMMYFUNCTION("""COMPUTED_VALUE"""),"")</f>
        <v/>
      </c>
      <c r="E89" s="15" t="str">
        <f>IFERROR(__xludf.DUMMYFUNCTION("""COMPUTED_VALUE"""),"")</f>
        <v/>
      </c>
      <c r="F89" s="15" t="str">
        <f>IFERROR(__xludf.DUMMYFUNCTION("""COMPUTED_VALUE"""),"")</f>
        <v/>
      </c>
      <c r="G89" s="16" t="str">
        <f>IFERROR(__xludf.DUMMYFUNCTION("""COMPUTED_VALUE"""),"")</f>
        <v/>
      </c>
      <c r="H89" s="4"/>
      <c r="I89" s="5" t="s">
        <v>214</v>
      </c>
      <c r="J89" s="5" t="s">
        <v>24</v>
      </c>
      <c r="K89" s="5">
        <v>585.0</v>
      </c>
      <c r="L89" s="5">
        <v>0.75534</v>
      </c>
      <c r="M89" s="5">
        <v>-0.60852</v>
      </c>
      <c r="N89" s="5">
        <v>0.14683</v>
      </c>
      <c r="O89" s="5">
        <v>0.3831</v>
      </c>
    </row>
    <row r="90">
      <c r="A90" s="18" t="str">
        <f>IFERROR(__xludf.DUMMYFUNCTION("""COMPUTED_VALUE"""),"")</f>
        <v/>
      </c>
      <c r="B90" s="19" t="str">
        <f>IFERROR(__xludf.DUMMYFUNCTION("""COMPUTED_VALUE"""),"")</f>
        <v/>
      </c>
      <c r="C90" s="20" t="str">
        <f>IFERROR(__xludf.DUMMYFUNCTION("""COMPUTED_VALUE"""),"")</f>
        <v/>
      </c>
      <c r="D90" s="21" t="str">
        <f>IFERROR(__xludf.DUMMYFUNCTION("""COMPUTED_VALUE"""),"")</f>
        <v/>
      </c>
      <c r="E90" s="21" t="str">
        <f>IFERROR(__xludf.DUMMYFUNCTION("""COMPUTED_VALUE"""),"")</f>
        <v/>
      </c>
      <c r="F90" s="21" t="str">
        <f>IFERROR(__xludf.DUMMYFUNCTION("""COMPUTED_VALUE"""),"")</f>
        <v/>
      </c>
      <c r="G90" s="22" t="str">
        <f>IFERROR(__xludf.DUMMYFUNCTION("""COMPUTED_VALUE"""),"")</f>
        <v/>
      </c>
      <c r="H90" s="4"/>
      <c r="I90" s="5" t="s">
        <v>223</v>
      </c>
      <c r="J90" s="5" t="s">
        <v>64</v>
      </c>
      <c r="K90" s="5">
        <v>743.4</v>
      </c>
      <c r="L90" s="5">
        <v>1.59646</v>
      </c>
      <c r="M90" s="5">
        <v>-1.46767</v>
      </c>
      <c r="N90" s="5">
        <v>0.12879</v>
      </c>
      <c r="O90" s="5">
        <v>0.48248</v>
      </c>
    </row>
    <row r="91">
      <c r="A91" s="12" t="str">
        <f>IFERROR(__xludf.DUMMYFUNCTION("""COMPUTED_VALUE"""),"")</f>
        <v/>
      </c>
      <c r="B91" s="13" t="str">
        <f>IFERROR(__xludf.DUMMYFUNCTION("""COMPUTED_VALUE"""),"")</f>
        <v/>
      </c>
      <c r="C91" s="14" t="str">
        <f>IFERROR(__xludf.DUMMYFUNCTION("""COMPUTED_VALUE"""),"")</f>
        <v/>
      </c>
      <c r="D91" s="15" t="str">
        <f>IFERROR(__xludf.DUMMYFUNCTION("""COMPUTED_VALUE"""),"")</f>
        <v/>
      </c>
      <c r="E91" s="15" t="str">
        <f>IFERROR(__xludf.DUMMYFUNCTION("""COMPUTED_VALUE"""),"")</f>
        <v/>
      </c>
      <c r="F91" s="15" t="str">
        <f>IFERROR(__xludf.DUMMYFUNCTION("""COMPUTED_VALUE"""),"")</f>
        <v/>
      </c>
      <c r="G91" s="16" t="str">
        <f>IFERROR(__xludf.DUMMYFUNCTION("""COMPUTED_VALUE"""),"")</f>
        <v/>
      </c>
      <c r="H91" s="4"/>
      <c r="I91" s="5" t="s">
        <v>165</v>
      </c>
      <c r="J91" s="5" t="s">
        <v>14</v>
      </c>
      <c r="K91" s="5">
        <v>574.7</v>
      </c>
      <c r="L91" s="5">
        <v>2.95591</v>
      </c>
      <c r="M91" s="5">
        <v>-2.87438</v>
      </c>
      <c r="N91" s="5">
        <v>0.08153</v>
      </c>
      <c r="O91" s="5">
        <v>0.36347</v>
      </c>
    </row>
    <row r="92">
      <c r="A92" s="18" t="str">
        <f>IFERROR(__xludf.DUMMYFUNCTION("""COMPUTED_VALUE"""),"")</f>
        <v/>
      </c>
      <c r="B92" s="19" t="str">
        <f>IFERROR(__xludf.DUMMYFUNCTION("""COMPUTED_VALUE"""),"")</f>
        <v/>
      </c>
      <c r="C92" s="20" t="str">
        <f>IFERROR(__xludf.DUMMYFUNCTION("""COMPUTED_VALUE"""),"")</f>
        <v/>
      </c>
      <c r="D92" s="21" t="str">
        <f>IFERROR(__xludf.DUMMYFUNCTION("""COMPUTED_VALUE"""),"")</f>
        <v/>
      </c>
      <c r="E92" s="21" t="str">
        <f>IFERROR(__xludf.DUMMYFUNCTION("""COMPUTED_VALUE"""),"")</f>
        <v/>
      </c>
      <c r="F92" s="21" t="str">
        <f>IFERROR(__xludf.DUMMYFUNCTION("""COMPUTED_VALUE"""),"")</f>
        <v/>
      </c>
      <c r="G92" s="22" t="str">
        <f>IFERROR(__xludf.DUMMYFUNCTION("""COMPUTED_VALUE"""),"")</f>
        <v/>
      </c>
      <c r="H92" s="4"/>
      <c r="I92" s="5" t="s">
        <v>178</v>
      </c>
      <c r="J92" s="5" t="s">
        <v>14</v>
      </c>
      <c r="K92" s="5">
        <v>653.0</v>
      </c>
      <c r="L92" s="5">
        <v>0.65605</v>
      </c>
      <c r="M92" s="5">
        <v>-0.58529</v>
      </c>
      <c r="N92" s="5">
        <v>0.07076</v>
      </c>
      <c r="O92" s="5">
        <v>0.41098</v>
      </c>
    </row>
    <row r="93">
      <c r="A93" s="12" t="str">
        <f>IFERROR(__xludf.DUMMYFUNCTION("""COMPUTED_VALUE"""),"")</f>
        <v/>
      </c>
      <c r="B93" s="13" t="str">
        <f>IFERROR(__xludf.DUMMYFUNCTION("""COMPUTED_VALUE"""),"")</f>
        <v/>
      </c>
      <c r="C93" s="14" t="str">
        <f>IFERROR(__xludf.DUMMYFUNCTION("""COMPUTED_VALUE"""),"")</f>
        <v/>
      </c>
      <c r="D93" s="15" t="str">
        <f>IFERROR(__xludf.DUMMYFUNCTION("""COMPUTED_VALUE"""),"")</f>
        <v/>
      </c>
      <c r="E93" s="15" t="str">
        <f>IFERROR(__xludf.DUMMYFUNCTION("""COMPUTED_VALUE"""),"")</f>
        <v/>
      </c>
      <c r="F93" s="15" t="str">
        <f>IFERROR(__xludf.DUMMYFUNCTION("""COMPUTED_VALUE"""),"")</f>
        <v/>
      </c>
      <c r="G93" s="16" t="str">
        <f>IFERROR(__xludf.DUMMYFUNCTION("""COMPUTED_VALUE"""),"")</f>
        <v/>
      </c>
      <c r="H93" s="4"/>
      <c r="I93" s="5" t="s">
        <v>229</v>
      </c>
      <c r="J93" s="5" t="s">
        <v>19</v>
      </c>
      <c r="K93" s="5">
        <v>12.4</v>
      </c>
      <c r="L93" s="5">
        <v>-0.044</v>
      </c>
      <c r="M93" s="5">
        <v>0.11137</v>
      </c>
      <c r="N93" s="5">
        <v>0.06738</v>
      </c>
      <c r="O93" s="5">
        <v>0.00773</v>
      </c>
    </row>
    <row r="94">
      <c r="A94" s="18" t="str">
        <f>IFERROR(__xludf.DUMMYFUNCTION("""COMPUTED_VALUE"""),"")</f>
        <v/>
      </c>
      <c r="B94" s="19" t="str">
        <f>IFERROR(__xludf.DUMMYFUNCTION("""COMPUTED_VALUE"""),"")</f>
        <v/>
      </c>
      <c r="C94" s="20" t="str">
        <f>IFERROR(__xludf.DUMMYFUNCTION("""COMPUTED_VALUE"""),"")</f>
        <v/>
      </c>
      <c r="D94" s="21" t="str">
        <f>IFERROR(__xludf.DUMMYFUNCTION("""COMPUTED_VALUE"""),"")</f>
        <v/>
      </c>
      <c r="E94" s="21" t="str">
        <f>IFERROR(__xludf.DUMMYFUNCTION("""COMPUTED_VALUE"""),"")</f>
        <v/>
      </c>
      <c r="F94" s="21" t="str">
        <f>IFERROR(__xludf.DUMMYFUNCTION("""COMPUTED_VALUE"""),"")</f>
        <v/>
      </c>
      <c r="G94" s="22" t="str">
        <f>IFERROR(__xludf.DUMMYFUNCTION("""COMPUTED_VALUE"""),"")</f>
        <v/>
      </c>
      <c r="H94" s="4"/>
      <c r="I94" s="5" t="s">
        <v>231</v>
      </c>
      <c r="J94" s="5" t="s">
        <v>24</v>
      </c>
      <c r="K94" s="5">
        <v>131.0</v>
      </c>
      <c r="L94" s="5">
        <v>-0.71609</v>
      </c>
      <c r="M94" s="5">
        <v>0.73412</v>
      </c>
      <c r="N94" s="5">
        <v>0.01803</v>
      </c>
      <c r="O94" s="5">
        <v>0.0806</v>
      </c>
    </row>
    <row r="95">
      <c r="A95" s="12" t="str">
        <f>IFERROR(__xludf.DUMMYFUNCTION("""COMPUTED_VALUE"""),"")</f>
        <v/>
      </c>
      <c r="B95" s="13" t="str">
        <f>IFERROR(__xludf.DUMMYFUNCTION("""COMPUTED_VALUE"""),"")</f>
        <v/>
      </c>
      <c r="C95" s="14" t="str">
        <f>IFERROR(__xludf.DUMMYFUNCTION("""COMPUTED_VALUE"""),"")</f>
        <v/>
      </c>
      <c r="D95" s="15" t="str">
        <f>IFERROR(__xludf.DUMMYFUNCTION("""COMPUTED_VALUE"""),"")</f>
        <v/>
      </c>
      <c r="E95" s="15" t="str">
        <f>IFERROR(__xludf.DUMMYFUNCTION("""COMPUTED_VALUE"""),"")</f>
        <v/>
      </c>
      <c r="F95" s="15" t="str">
        <f>IFERROR(__xludf.DUMMYFUNCTION("""COMPUTED_VALUE"""),"")</f>
        <v/>
      </c>
      <c r="G95" s="16" t="str">
        <f>IFERROR(__xludf.DUMMYFUNCTION("""COMPUTED_VALUE"""),"")</f>
        <v/>
      </c>
      <c r="H95" s="4"/>
      <c r="I95" s="5" t="s">
        <v>234</v>
      </c>
      <c r="J95" s="5" t="s">
        <v>22</v>
      </c>
      <c r="K95" s="5">
        <v>0.2</v>
      </c>
      <c r="L95" s="5">
        <v>-0.00422</v>
      </c>
      <c r="M95" s="5">
        <v>-2.9E-4</v>
      </c>
      <c r="N95" s="5">
        <v>-0.00452</v>
      </c>
      <c r="O95" s="5">
        <v>1.2E-4</v>
      </c>
    </row>
    <row r="96">
      <c r="A96" s="18" t="str">
        <f>IFERROR(__xludf.DUMMYFUNCTION("""COMPUTED_VALUE"""),"")</f>
        <v/>
      </c>
      <c r="B96" s="19" t="str">
        <f>IFERROR(__xludf.DUMMYFUNCTION("""COMPUTED_VALUE"""),"")</f>
        <v/>
      </c>
      <c r="C96" s="20" t="str">
        <f>IFERROR(__xludf.DUMMYFUNCTION("""COMPUTED_VALUE"""),"")</f>
        <v/>
      </c>
      <c r="D96" s="21" t="str">
        <f>IFERROR(__xludf.DUMMYFUNCTION("""COMPUTED_VALUE"""),"")</f>
        <v/>
      </c>
      <c r="E96" s="21" t="str">
        <f>IFERROR(__xludf.DUMMYFUNCTION("""COMPUTED_VALUE"""),"")</f>
        <v/>
      </c>
      <c r="F96" s="21" t="str">
        <f>IFERROR(__xludf.DUMMYFUNCTION("""COMPUTED_VALUE"""),"")</f>
        <v/>
      </c>
      <c r="G96" s="22" t="str">
        <f>IFERROR(__xludf.DUMMYFUNCTION("""COMPUTED_VALUE"""),"")</f>
        <v/>
      </c>
      <c r="H96" s="4"/>
      <c r="I96" s="5" t="s">
        <v>236</v>
      </c>
      <c r="J96" s="5" t="s">
        <v>19</v>
      </c>
      <c r="K96" s="5">
        <v>0.4</v>
      </c>
      <c r="L96" s="5">
        <v>-0.00932</v>
      </c>
      <c r="M96" s="5">
        <v>0.00198</v>
      </c>
      <c r="N96" s="5">
        <v>-0.00734</v>
      </c>
      <c r="O96" s="5">
        <v>2.4E-4</v>
      </c>
    </row>
    <row r="97">
      <c r="A97" s="12" t="str">
        <f>IFERROR(__xludf.DUMMYFUNCTION("""COMPUTED_VALUE"""),"")</f>
        <v/>
      </c>
      <c r="B97" s="13" t="str">
        <f>IFERROR(__xludf.DUMMYFUNCTION("""COMPUTED_VALUE"""),"")</f>
        <v/>
      </c>
      <c r="C97" s="14" t="str">
        <f>IFERROR(__xludf.DUMMYFUNCTION("""COMPUTED_VALUE"""),"")</f>
        <v/>
      </c>
      <c r="D97" s="15" t="str">
        <f>IFERROR(__xludf.DUMMYFUNCTION("""COMPUTED_VALUE"""),"")</f>
        <v/>
      </c>
      <c r="E97" s="15" t="str">
        <f>IFERROR(__xludf.DUMMYFUNCTION("""COMPUTED_VALUE"""),"")</f>
        <v/>
      </c>
      <c r="F97" s="15" t="str">
        <f>IFERROR(__xludf.DUMMYFUNCTION("""COMPUTED_VALUE"""),"")</f>
        <v/>
      </c>
      <c r="G97" s="16" t="str">
        <f>IFERROR(__xludf.DUMMYFUNCTION("""COMPUTED_VALUE"""),"")</f>
        <v/>
      </c>
      <c r="H97" s="4"/>
      <c r="I97" s="5" t="s">
        <v>239</v>
      </c>
      <c r="J97" s="5" t="s">
        <v>12</v>
      </c>
      <c r="K97" s="5">
        <v>0.9</v>
      </c>
      <c r="L97" s="5">
        <v>-0.01325</v>
      </c>
      <c r="M97" s="5">
        <v>0.00229</v>
      </c>
      <c r="N97" s="5">
        <v>-0.01096</v>
      </c>
      <c r="O97" s="5">
        <v>5.4E-4</v>
      </c>
    </row>
    <row r="98">
      <c r="A98" s="18" t="str">
        <f>IFERROR(__xludf.DUMMYFUNCTION("""COMPUTED_VALUE"""),"")</f>
        <v/>
      </c>
      <c r="B98" s="19" t="str">
        <f>IFERROR(__xludf.DUMMYFUNCTION("""COMPUTED_VALUE"""),"")</f>
        <v/>
      </c>
      <c r="C98" s="20" t="str">
        <f>IFERROR(__xludf.DUMMYFUNCTION("""COMPUTED_VALUE"""),"")</f>
        <v/>
      </c>
      <c r="D98" s="21" t="str">
        <f>IFERROR(__xludf.DUMMYFUNCTION("""COMPUTED_VALUE"""),"")</f>
        <v/>
      </c>
      <c r="E98" s="21" t="str">
        <f>IFERROR(__xludf.DUMMYFUNCTION("""COMPUTED_VALUE"""),"")</f>
        <v/>
      </c>
      <c r="F98" s="21" t="str">
        <f>IFERROR(__xludf.DUMMYFUNCTION("""COMPUTED_VALUE"""),"")</f>
        <v/>
      </c>
      <c r="G98" s="22" t="str">
        <f>IFERROR(__xludf.DUMMYFUNCTION("""COMPUTED_VALUE"""),"")</f>
        <v/>
      </c>
      <c r="H98" s="4"/>
      <c r="I98" s="5" t="s">
        <v>241</v>
      </c>
      <c r="J98" s="5" t="s">
        <v>12</v>
      </c>
      <c r="K98" s="5">
        <v>1.0</v>
      </c>
      <c r="L98" s="5">
        <v>-0.02058</v>
      </c>
      <c r="M98" s="5">
        <v>0.0036</v>
      </c>
      <c r="N98" s="5">
        <v>-0.01698</v>
      </c>
      <c r="O98" s="5">
        <v>8.4E-4</v>
      </c>
    </row>
    <row r="99">
      <c r="A99" s="12" t="str">
        <f>IFERROR(__xludf.DUMMYFUNCTION("""COMPUTED_VALUE"""),"")</f>
        <v/>
      </c>
      <c r="B99" s="13" t="str">
        <f>IFERROR(__xludf.DUMMYFUNCTION("""COMPUTED_VALUE"""),"")</f>
        <v/>
      </c>
      <c r="C99" s="14" t="str">
        <f>IFERROR(__xludf.DUMMYFUNCTION("""COMPUTED_VALUE"""),"")</f>
        <v/>
      </c>
      <c r="D99" s="15" t="str">
        <f>IFERROR(__xludf.DUMMYFUNCTION("""COMPUTED_VALUE"""),"")</f>
        <v/>
      </c>
      <c r="E99" s="15" t="str">
        <f>IFERROR(__xludf.DUMMYFUNCTION("""COMPUTED_VALUE"""),"")</f>
        <v/>
      </c>
      <c r="F99" s="15" t="str">
        <f>IFERROR(__xludf.DUMMYFUNCTION("""COMPUTED_VALUE"""),"")</f>
        <v/>
      </c>
      <c r="G99" s="16" t="str">
        <f>IFERROR(__xludf.DUMMYFUNCTION("""COMPUTED_VALUE"""),"")</f>
        <v/>
      </c>
      <c r="H99" s="4"/>
      <c r="I99" s="5" t="s">
        <v>243</v>
      </c>
      <c r="J99" s="5" t="s">
        <v>72</v>
      </c>
      <c r="K99" s="5">
        <v>1.1</v>
      </c>
      <c r="L99" s="5">
        <v>-0.01966</v>
      </c>
      <c r="M99" s="5">
        <v>0.00123</v>
      </c>
      <c r="N99" s="5">
        <v>-0.01842</v>
      </c>
      <c r="O99" s="5">
        <v>6.8E-4</v>
      </c>
    </row>
    <row r="100">
      <c r="A100" s="18" t="str">
        <f>IFERROR(__xludf.DUMMYFUNCTION("""COMPUTED_VALUE"""),"")</f>
        <v/>
      </c>
      <c r="B100" s="19" t="str">
        <f>IFERROR(__xludf.DUMMYFUNCTION("""COMPUTED_VALUE"""),"")</f>
        <v/>
      </c>
      <c r="C100" s="20" t="str">
        <f>IFERROR(__xludf.DUMMYFUNCTION("""COMPUTED_VALUE"""),"")</f>
        <v/>
      </c>
      <c r="D100" s="21" t="str">
        <f>IFERROR(__xludf.DUMMYFUNCTION("""COMPUTED_VALUE"""),"")</f>
        <v/>
      </c>
      <c r="E100" s="21" t="str">
        <f>IFERROR(__xludf.DUMMYFUNCTION("""COMPUTED_VALUE"""),"")</f>
        <v/>
      </c>
      <c r="F100" s="21" t="str">
        <f>IFERROR(__xludf.DUMMYFUNCTION("""COMPUTED_VALUE"""),"")</f>
        <v/>
      </c>
      <c r="G100" s="22" t="str">
        <f>IFERROR(__xludf.DUMMYFUNCTION("""COMPUTED_VALUE"""),"")</f>
        <v/>
      </c>
      <c r="H100" s="4"/>
      <c r="I100" s="5" t="s">
        <v>247</v>
      </c>
      <c r="J100" s="5" t="s">
        <v>36</v>
      </c>
      <c r="K100" s="5">
        <v>2.2</v>
      </c>
      <c r="L100" s="5">
        <v>-0.03668</v>
      </c>
      <c r="M100" s="5">
        <v>0.00254</v>
      </c>
      <c r="N100" s="5">
        <v>-0.03414</v>
      </c>
      <c r="O100" s="5">
        <v>0.0013</v>
      </c>
    </row>
    <row r="101">
      <c r="A101" s="12" t="str">
        <f>IFERROR(__xludf.DUMMYFUNCTION("""COMPUTED_VALUE"""),"")</f>
        <v/>
      </c>
      <c r="B101" s="13" t="str">
        <f>IFERROR(__xludf.DUMMYFUNCTION("""COMPUTED_VALUE"""),"")</f>
        <v/>
      </c>
      <c r="C101" s="14" t="str">
        <f>IFERROR(__xludf.DUMMYFUNCTION("""COMPUTED_VALUE"""),"")</f>
        <v/>
      </c>
      <c r="D101" s="15" t="str">
        <f>IFERROR(__xludf.DUMMYFUNCTION("""COMPUTED_VALUE"""),"")</f>
        <v/>
      </c>
      <c r="E101" s="15" t="str">
        <f>IFERROR(__xludf.DUMMYFUNCTION("""COMPUTED_VALUE"""),"")</f>
        <v/>
      </c>
      <c r="F101" s="15" t="str">
        <f>IFERROR(__xludf.DUMMYFUNCTION("""COMPUTED_VALUE"""),"")</f>
        <v/>
      </c>
      <c r="G101" s="16" t="str">
        <f>IFERROR(__xludf.DUMMYFUNCTION("""COMPUTED_VALUE"""),"")</f>
        <v/>
      </c>
      <c r="H101" s="4"/>
      <c r="I101" s="5" t="s">
        <v>250</v>
      </c>
      <c r="J101" s="5" t="s">
        <v>24</v>
      </c>
      <c r="K101" s="5">
        <v>304.4</v>
      </c>
      <c r="L101" s="5">
        <v>-2.04348</v>
      </c>
      <c r="M101" s="5">
        <v>2.00769</v>
      </c>
      <c r="N101" s="5">
        <v>-0.0358</v>
      </c>
      <c r="O101" s="5">
        <v>0.18229</v>
      </c>
    </row>
    <row r="102">
      <c r="A102" s="18" t="str">
        <f>IFERROR(__xludf.DUMMYFUNCTION("""COMPUTED_VALUE"""),"")</f>
        <v/>
      </c>
      <c r="B102" s="19" t="str">
        <f>IFERROR(__xludf.DUMMYFUNCTION("""COMPUTED_VALUE"""),"")</f>
        <v/>
      </c>
      <c r="C102" s="20" t="str">
        <f>IFERROR(__xludf.DUMMYFUNCTION("""COMPUTED_VALUE"""),"")</f>
        <v/>
      </c>
      <c r="D102" s="21" t="str">
        <f>IFERROR(__xludf.DUMMYFUNCTION("""COMPUTED_VALUE"""),"")</f>
        <v/>
      </c>
      <c r="E102" s="21" t="str">
        <f>IFERROR(__xludf.DUMMYFUNCTION("""COMPUTED_VALUE"""),"")</f>
        <v/>
      </c>
      <c r="F102" s="21" t="str">
        <f>IFERROR(__xludf.DUMMYFUNCTION("""COMPUTED_VALUE"""),"")</f>
        <v/>
      </c>
      <c r="G102" s="22" t="str">
        <f>IFERROR(__xludf.DUMMYFUNCTION("""COMPUTED_VALUE"""),"")</f>
        <v/>
      </c>
      <c r="H102" s="4"/>
      <c r="I102" s="5" t="s">
        <v>252</v>
      </c>
      <c r="J102" s="5" t="s">
        <v>118</v>
      </c>
      <c r="K102" s="5">
        <v>2.0</v>
      </c>
      <c r="L102" s="5">
        <v>-0.03737</v>
      </c>
      <c r="M102" s="5">
        <v>-0.00186</v>
      </c>
      <c r="N102" s="5">
        <v>-0.03923</v>
      </c>
      <c r="O102" s="5">
        <v>0.00118</v>
      </c>
    </row>
    <row r="103">
      <c r="A103" s="12" t="str">
        <f>IFERROR(__xludf.DUMMYFUNCTION("""COMPUTED_VALUE"""),"")</f>
        <v/>
      </c>
      <c r="B103" s="13" t="str">
        <f>IFERROR(__xludf.DUMMYFUNCTION("""COMPUTED_VALUE"""),"")</f>
        <v/>
      </c>
      <c r="C103" s="14" t="str">
        <f>IFERROR(__xludf.DUMMYFUNCTION("""COMPUTED_VALUE"""),"")</f>
        <v/>
      </c>
      <c r="D103" s="15" t="str">
        <f>IFERROR(__xludf.DUMMYFUNCTION("""COMPUTED_VALUE"""),"")</f>
        <v/>
      </c>
      <c r="E103" s="15" t="str">
        <f>IFERROR(__xludf.DUMMYFUNCTION("""COMPUTED_VALUE"""),"")</f>
        <v/>
      </c>
      <c r="F103" s="15" t="str">
        <f>IFERROR(__xludf.DUMMYFUNCTION("""COMPUTED_VALUE"""),"")</f>
        <v/>
      </c>
      <c r="G103" s="16" t="str">
        <f>IFERROR(__xludf.DUMMYFUNCTION("""COMPUTED_VALUE"""),"")</f>
        <v/>
      </c>
      <c r="H103" s="4"/>
      <c r="I103" s="5" t="s">
        <v>255</v>
      </c>
      <c r="J103" s="5" t="s">
        <v>41</v>
      </c>
      <c r="K103" s="5">
        <v>7.9</v>
      </c>
      <c r="L103" s="5">
        <v>0.0481</v>
      </c>
      <c r="M103" s="5">
        <v>-0.11087</v>
      </c>
      <c r="N103" s="5">
        <v>-0.06277</v>
      </c>
      <c r="O103" s="5">
        <v>0.00467</v>
      </c>
    </row>
    <row r="104">
      <c r="A104" s="18" t="str">
        <f>IFERROR(__xludf.DUMMYFUNCTION("""COMPUTED_VALUE"""),"")</f>
        <v/>
      </c>
      <c r="B104" s="19" t="str">
        <f>IFERROR(__xludf.DUMMYFUNCTION("""COMPUTED_VALUE"""),"")</f>
        <v/>
      </c>
      <c r="C104" s="20" t="str">
        <f>IFERROR(__xludf.DUMMYFUNCTION("""COMPUTED_VALUE"""),"")</f>
        <v/>
      </c>
      <c r="D104" s="21" t="str">
        <f>IFERROR(__xludf.DUMMYFUNCTION("""COMPUTED_VALUE"""),"")</f>
        <v/>
      </c>
      <c r="E104" s="21" t="str">
        <f>IFERROR(__xludf.DUMMYFUNCTION("""COMPUTED_VALUE"""),"")</f>
        <v/>
      </c>
      <c r="F104" s="21" t="str">
        <f>IFERROR(__xludf.DUMMYFUNCTION("""COMPUTED_VALUE"""),"")</f>
        <v/>
      </c>
      <c r="G104" s="22" t="str">
        <f>IFERROR(__xludf.DUMMYFUNCTION("""COMPUTED_VALUE"""),"")</f>
        <v/>
      </c>
      <c r="H104" s="4"/>
      <c r="I104" s="5" t="s">
        <v>257</v>
      </c>
      <c r="J104" s="5" t="s">
        <v>51</v>
      </c>
      <c r="K104" s="5">
        <v>726.8</v>
      </c>
      <c r="L104" s="5">
        <v>-0.61909</v>
      </c>
      <c r="M104" s="5">
        <v>0.52204</v>
      </c>
      <c r="N104" s="5">
        <v>-0.09706</v>
      </c>
      <c r="O104" s="5">
        <v>0.4217</v>
      </c>
    </row>
    <row r="105">
      <c r="A105" s="12" t="str">
        <f>IFERROR(__xludf.DUMMYFUNCTION("""COMPUTED_VALUE"""),"")</f>
        <v/>
      </c>
      <c r="B105" s="13" t="str">
        <f>IFERROR(__xludf.DUMMYFUNCTION("""COMPUTED_VALUE"""),"")</f>
        <v/>
      </c>
      <c r="C105" s="14" t="str">
        <f>IFERROR(__xludf.DUMMYFUNCTION("""COMPUTED_VALUE"""),"")</f>
        <v/>
      </c>
      <c r="D105" s="15" t="str">
        <f>IFERROR(__xludf.DUMMYFUNCTION("""COMPUTED_VALUE"""),"")</f>
        <v/>
      </c>
      <c r="E105" s="15" t="str">
        <f>IFERROR(__xludf.DUMMYFUNCTION("""COMPUTED_VALUE"""),"")</f>
        <v/>
      </c>
      <c r="F105" s="15" t="str">
        <f>IFERROR(__xludf.DUMMYFUNCTION("""COMPUTED_VALUE"""),"")</f>
        <v/>
      </c>
      <c r="G105" s="16" t="str">
        <f>IFERROR(__xludf.DUMMYFUNCTION("""COMPUTED_VALUE"""),"")</f>
        <v/>
      </c>
      <c r="H105" s="4"/>
      <c r="I105" s="5" t="s">
        <v>260</v>
      </c>
      <c r="J105" s="5" t="s">
        <v>36</v>
      </c>
      <c r="K105" s="5">
        <v>3.2</v>
      </c>
      <c r="L105" s="5">
        <v>0.01523</v>
      </c>
      <c r="M105" s="5">
        <v>-0.13088</v>
      </c>
      <c r="N105" s="5">
        <v>-0.11564</v>
      </c>
      <c r="O105" s="5">
        <v>0.00181</v>
      </c>
    </row>
    <row r="106">
      <c r="A106" s="18" t="str">
        <f>IFERROR(__xludf.DUMMYFUNCTION("""COMPUTED_VALUE"""),"")</f>
        <v/>
      </c>
      <c r="B106" s="19" t="str">
        <f>IFERROR(__xludf.DUMMYFUNCTION("""COMPUTED_VALUE"""),"")</f>
        <v/>
      </c>
      <c r="C106" s="20" t="str">
        <f>IFERROR(__xludf.DUMMYFUNCTION("""COMPUTED_VALUE"""),"")</f>
        <v/>
      </c>
      <c r="D106" s="21" t="str">
        <f>IFERROR(__xludf.DUMMYFUNCTION("""COMPUTED_VALUE"""),"")</f>
        <v/>
      </c>
      <c r="E106" s="21" t="str">
        <f>IFERROR(__xludf.DUMMYFUNCTION("""COMPUTED_VALUE"""),"")</f>
        <v/>
      </c>
      <c r="F106" s="21" t="str">
        <f>IFERROR(__xludf.DUMMYFUNCTION("""COMPUTED_VALUE"""),"")</f>
        <v/>
      </c>
      <c r="G106" s="22" t="str">
        <f>IFERROR(__xludf.DUMMYFUNCTION("""COMPUTED_VALUE"""),"")</f>
        <v/>
      </c>
      <c r="H106" s="4"/>
      <c r="I106" s="5" t="s">
        <v>187</v>
      </c>
      <c r="J106" s="5" t="s">
        <v>24</v>
      </c>
      <c r="K106" s="5">
        <v>667.8</v>
      </c>
      <c r="L106" s="5">
        <v>-1.44437</v>
      </c>
      <c r="M106" s="5">
        <v>1.32461</v>
      </c>
      <c r="N106" s="5">
        <v>-0.11976</v>
      </c>
      <c r="O106" s="5">
        <v>0.38283</v>
      </c>
    </row>
    <row r="107">
      <c r="A107" s="12" t="str">
        <f>IFERROR(__xludf.DUMMYFUNCTION("""COMPUTED_VALUE"""),"")</f>
        <v/>
      </c>
      <c r="B107" s="13" t="str">
        <f>IFERROR(__xludf.DUMMYFUNCTION("""COMPUTED_VALUE"""),"")</f>
        <v/>
      </c>
      <c r="C107" s="14" t="str">
        <f>IFERROR(__xludf.DUMMYFUNCTION("""COMPUTED_VALUE"""),"")</f>
        <v/>
      </c>
      <c r="D107" s="15" t="str">
        <f>IFERROR(__xludf.DUMMYFUNCTION("""COMPUTED_VALUE"""),"")</f>
        <v/>
      </c>
      <c r="E107" s="15" t="str">
        <f>IFERROR(__xludf.DUMMYFUNCTION("""COMPUTED_VALUE"""),"")</f>
        <v/>
      </c>
      <c r="F107" s="15" t="str">
        <f>IFERROR(__xludf.DUMMYFUNCTION("""COMPUTED_VALUE"""),"")</f>
        <v/>
      </c>
      <c r="G107" s="16" t="str">
        <f>IFERROR(__xludf.DUMMYFUNCTION("""COMPUTED_VALUE"""),"")</f>
        <v/>
      </c>
      <c r="H107" s="4"/>
      <c r="I107" s="5" t="s">
        <v>264</v>
      </c>
      <c r="J107" s="5" t="s">
        <v>30</v>
      </c>
      <c r="K107" s="5">
        <v>716.5</v>
      </c>
      <c r="L107" s="5">
        <v>-1.44127</v>
      </c>
      <c r="M107" s="5">
        <v>1.30731</v>
      </c>
      <c r="N107" s="5">
        <v>-0.13395</v>
      </c>
      <c r="O107" s="5">
        <v>0.41051</v>
      </c>
    </row>
    <row r="108">
      <c r="A108" s="18" t="str">
        <f>IFERROR(__xludf.DUMMYFUNCTION("""COMPUTED_VALUE"""),"")</f>
        <v/>
      </c>
      <c r="B108" s="19" t="str">
        <f>IFERROR(__xludf.DUMMYFUNCTION("""COMPUTED_VALUE"""),"")</f>
        <v/>
      </c>
      <c r="C108" s="20" t="str">
        <f>IFERROR(__xludf.DUMMYFUNCTION("""COMPUTED_VALUE"""),"")</f>
        <v/>
      </c>
      <c r="D108" s="21" t="str">
        <f>IFERROR(__xludf.DUMMYFUNCTION("""COMPUTED_VALUE"""),"")</f>
        <v/>
      </c>
      <c r="E108" s="21" t="str">
        <f>IFERROR(__xludf.DUMMYFUNCTION("""COMPUTED_VALUE"""),"")</f>
        <v/>
      </c>
      <c r="F108" s="21" t="str">
        <f>IFERROR(__xludf.DUMMYFUNCTION("""COMPUTED_VALUE"""),"")</f>
        <v/>
      </c>
      <c r="G108" s="22" t="str">
        <f>IFERROR(__xludf.DUMMYFUNCTION("""COMPUTED_VALUE"""),"")</f>
        <v/>
      </c>
      <c r="H108" s="4"/>
      <c r="I108" s="5" t="s">
        <v>268</v>
      </c>
      <c r="J108" s="5" t="s">
        <v>51</v>
      </c>
      <c r="K108" s="5">
        <v>397.9</v>
      </c>
      <c r="L108" s="5">
        <v>-1.22866</v>
      </c>
      <c r="M108" s="5">
        <v>1.08236</v>
      </c>
      <c r="N108" s="5">
        <v>-0.1463</v>
      </c>
      <c r="O108" s="5">
        <v>0.22489</v>
      </c>
    </row>
    <row r="109">
      <c r="A109" s="12" t="str">
        <f>IFERROR(__xludf.DUMMYFUNCTION("""COMPUTED_VALUE"""),"")</f>
        <v/>
      </c>
      <c r="B109" s="13" t="str">
        <f>IFERROR(__xludf.DUMMYFUNCTION("""COMPUTED_VALUE"""),"")</f>
        <v/>
      </c>
      <c r="C109" s="14" t="str">
        <f>IFERROR(__xludf.DUMMYFUNCTION("""COMPUTED_VALUE"""),"")</f>
        <v/>
      </c>
      <c r="D109" s="15" t="str">
        <f>IFERROR(__xludf.DUMMYFUNCTION("""COMPUTED_VALUE"""),"")</f>
        <v/>
      </c>
      <c r="E109" s="15" t="str">
        <f>IFERROR(__xludf.DUMMYFUNCTION("""COMPUTED_VALUE"""),"")</f>
        <v/>
      </c>
      <c r="F109" s="15" t="str">
        <f>IFERROR(__xludf.DUMMYFUNCTION("""COMPUTED_VALUE"""),"")</f>
        <v/>
      </c>
      <c r="G109" s="16" t="str">
        <f>IFERROR(__xludf.DUMMYFUNCTION("""COMPUTED_VALUE"""),"")</f>
        <v/>
      </c>
      <c r="H109" s="4"/>
      <c r="I109" s="5" t="s">
        <v>271</v>
      </c>
      <c r="J109" s="5" t="s">
        <v>41</v>
      </c>
      <c r="K109" s="5">
        <v>132.1</v>
      </c>
      <c r="L109" s="5">
        <v>-0.6748</v>
      </c>
      <c r="M109" s="5">
        <v>0.48485</v>
      </c>
      <c r="N109" s="5">
        <v>-0.18995</v>
      </c>
      <c r="O109" s="5">
        <v>0.07291</v>
      </c>
    </row>
    <row r="110">
      <c r="A110" s="18" t="str">
        <f>IFERROR(__xludf.DUMMYFUNCTION("""COMPUTED_VALUE"""),"")</f>
        <v/>
      </c>
      <c r="B110" s="19" t="str">
        <f>IFERROR(__xludf.DUMMYFUNCTION("""COMPUTED_VALUE"""),"")</f>
        <v/>
      </c>
      <c r="C110" s="20" t="str">
        <f>IFERROR(__xludf.DUMMYFUNCTION("""COMPUTED_VALUE"""),"")</f>
        <v/>
      </c>
      <c r="D110" s="21" t="str">
        <f>IFERROR(__xludf.DUMMYFUNCTION("""COMPUTED_VALUE"""),"")</f>
        <v/>
      </c>
      <c r="E110" s="21" t="str">
        <f>IFERROR(__xludf.DUMMYFUNCTION("""COMPUTED_VALUE"""),"")</f>
        <v/>
      </c>
      <c r="F110" s="21" t="str">
        <f>IFERROR(__xludf.DUMMYFUNCTION("""COMPUTED_VALUE"""),"")</f>
        <v/>
      </c>
      <c r="G110" s="22" t="str">
        <f>IFERROR(__xludf.DUMMYFUNCTION("""COMPUTED_VALUE"""),"")</f>
        <v/>
      </c>
      <c r="H110" s="4"/>
      <c r="I110" s="5" t="s">
        <v>273</v>
      </c>
      <c r="J110" s="5" t="s">
        <v>51</v>
      </c>
      <c r="K110" s="5">
        <v>7.0</v>
      </c>
      <c r="L110" s="5">
        <v>-0.0622</v>
      </c>
      <c r="M110" s="5">
        <v>-0.16468</v>
      </c>
      <c r="N110" s="5">
        <v>-0.22689</v>
      </c>
      <c r="O110" s="5">
        <v>0.00351</v>
      </c>
    </row>
    <row r="111">
      <c r="A111" s="12" t="str">
        <f>IFERROR(__xludf.DUMMYFUNCTION("""COMPUTED_VALUE"""),"")</f>
        <v/>
      </c>
      <c r="B111" s="13" t="str">
        <f>IFERROR(__xludf.DUMMYFUNCTION("""COMPUTED_VALUE"""),"")</f>
        <v/>
      </c>
      <c r="C111" s="14" t="str">
        <f>IFERROR(__xludf.DUMMYFUNCTION("""COMPUTED_VALUE"""),"")</f>
        <v/>
      </c>
      <c r="D111" s="15" t="str">
        <f>IFERROR(__xludf.DUMMYFUNCTION("""COMPUTED_VALUE"""),"")</f>
        <v/>
      </c>
      <c r="E111" s="15" t="str">
        <f>IFERROR(__xludf.DUMMYFUNCTION("""COMPUTED_VALUE"""),"")</f>
        <v/>
      </c>
      <c r="F111" s="15" t="str">
        <f>IFERROR(__xludf.DUMMYFUNCTION("""COMPUTED_VALUE"""),"")</f>
        <v/>
      </c>
      <c r="G111" s="16" t="str">
        <f>IFERROR(__xludf.DUMMYFUNCTION("""COMPUTED_VALUE"""),"")</f>
        <v/>
      </c>
      <c r="H111" s="4"/>
      <c r="I111" s="5" t="s">
        <v>277</v>
      </c>
      <c r="J111" s="5" t="s">
        <v>118</v>
      </c>
      <c r="K111" s="5">
        <v>496.9</v>
      </c>
      <c r="L111" s="5">
        <v>2.55886</v>
      </c>
      <c r="M111" s="5">
        <v>-2.85421</v>
      </c>
      <c r="N111" s="5">
        <v>-0.29535</v>
      </c>
      <c r="O111" s="5">
        <v>0.25403</v>
      </c>
    </row>
    <row r="112">
      <c r="A112" s="18" t="str">
        <f>IFERROR(__xludf.DUMMYFUNCTION("""COMPUTED_VALUE"""),"")</f>
        <v/>
      </c>
      <c r="B112" s="19" t="str">
        <f>IFERROR(__xludf.DUMMYFUNCTION("""COMPUTED_VALUE"""),"")</f>
        <v/>
      </c>
      <c r="C112" s="20" t="str">
        <f>IFERROR(__xludf.DUMMYFUNCTION("""COMPUTED_VALUE"""),"")</f>
        <v/>
      </c>
      <c r="D112" s="21" t="str">
        <f>IFERROR(__xludf.DUMMYFUNCTION("""COMPUTED_VALUE"""),"")</f>
        <v/>
      </c>
      <c r="E112" s="21" t="str">
        <f>IFERROR(__xludf.DUMMYFUNCTION("""COMPUTED_VALUE"""),"")</f>
        <v/>
      </c>
      <c r="F112" s="21" t="str">
        <f>IFERROR(__xludf.DUMMYFUNCTION("""COMPUTED_VALUE"""),"")</f>
        <v/>
      </c>
      <c r="G112" s="22" t="str">
        <f>IFERROR(__xludf.DUMMYFUNCTION("""COMPUTED_VALUE"""),"")</f>
        <v/>
      </c>
      <c r="H112" s="4"/>
      <c r="I112" s="5" t="s">
        <v>279</v>
      </c>
      <c r="J112" s="5" t="s">
        <v>76</v>
      </c>
      <c r="K112" s="5">
        <v>38.4</v>
      </c>
      <c r="L112" s="5">
        <v>-0.21064</v>
      </c>
      <c r="M112" s="5">
        <v>-0.09706</v>
      </c>
      <c r="N112" s="5">
        <v>-0.3077</v>
      </c>
      <c r="O112" s="5">
        <v>0.02008</v>
      </c>
    </row>
    <row r="113">
      <c r="A113" s="12" t="str">
        <f>IFERROR(__xludf.DUMMYFUNCTION("""COMPUTED_VALUE"""),"")</f>
        <v/>
      </c>
      <c r="B113" s="13" t="str">
        <f>IFERROR(__xludf.DUMMYFUNCTION("""COMPUTED_VALUE"""),"")</f>
        <v/>
      </c>
      <c r="C113" s="14" t="str">
        <f>IFERROR(__xludf.DUMMYFUNCTION("""COMPUTED_VALUE"""),"")</f>
        <v/>
      </c>
      <c r="D113" s="15" t="str">
        <f>IFERROR(__xludf.DUMMYFUNCTION("""COMPUTED_VALUE"""),"")</f>
        <v/>
      </c>
      <c r="E113" s="15" t="str">
        <f>IFERROR(__xludf.DUMMYFUNCTION("""COMPUTED_VALUE"""),"")</f>
        <v/>
      </c>
      <c r="F113" s="15" t="str">
        <f>IFERROR(__xludf.DUMMYFUNCTION("""COMPUTED_VALUE"""),"")</f>
        <v/>
      </c>
      <c r="G113" s="16" t="str">
        <f>IFERROR(__xludf.DUMMYFUNCTION("""COMPUTED_VALUE"""),"")</f>
        <v/>
      </c>
      <c r="H113" s="4"/>
      <c r="I113" s="5" t="s">
        <v>282</v>
      </c>
      <c r="J113" s="5" t="s">
        <v>137</v>
      </c>
      <c r="K113" s="5">
        <v>12.5</v>
      </c>
      <c r="L113" s="5">
        <v>-0.25315</v>
      </c>
      <c r="M113" s="5">
        <v>-0.06223</v>
      </c>
      <c r="N113" s="5">
        <v>-0.31538</v>
      </c>
      <c r="O113" s="5">
        <v>0.00642</v>
      </c>
    </row>
    <row r="114">
      <c r="A114" s="18" t="str">
        <f>IFERROR(__xludf.DUMMYFUNCTION("""COMPUTED_VALUE"""),"")</f>
        <v/>
      </c>
      <c r="B114" s="19" t="str">
        <f>IFERROR(__xludf.DUMMYFUNCTION("""COMPUTED_VALUE"""),"")</f>
        <v/>
      </c>
      <c r="C114" s="20" t="str">
        <f>IFERROR(__xludf.DUMMYFUNCTION("""COMPUTED_VALUE"""),"")</f>
        <v/>
      </c>
      <c r="D114" s="21" t="str">
        <f>IFERROR(__xludf.DUMMYFUNCTION("""COMPUTED_VALUE"""),"")</f>
        <v/>
      </c>
      <c r="E114" s="21" t="str">
        <f>IFERROR(__xludf.DUMMYFUNCTION("""COMPUTED_VALUE"""),"")</f>
        <v/>
      </c>
      <c r="F114" s="21" t="str">
        <f>IFERROR(__xludf.DUMMYFUNCTION("""COMPUTED_VALUE"""),"")</f>
        <v/>
      </c>
      <c r="G114" s="22" t="str">
        <f>IFERROR(__xludf.DUMMYFUNCTION("""COMPUTED_VALUE"""),"")</f>
        <v/>
      </c>
      <c r="H114" s="4"/>
      <c r="I114" s="5" t="s">
        <v>284</v>
      </c>
      <c r="J114" s="5" t="s">
        <v>12</v>
      </c>
      <c r="K114" s="5">
        <v>956.0</v>
      </c>
      <c r="L114" s="5">
        <v>-1.42412</v>
      </c>
      <c r="M114" s="5">
        <v>1.07207</v>
      </c>
      <c r="N114" s="5">
        <v>-0.35205</v>
      </c>
      <c r="O114" s="5">
        <v>0.47867</v>
      </c>
    </row>
    <row r="115">
      <c r="A115" s="12" t="str">
        <f>IFERROR(__xludf.DUMMYFUNCTION("""COMPUTED_VALUE"""),"")</f>
        <v/>
      </c>
      <c r="B115" s="13" t="str">
        <f>IFERROR(__xludf.DUMMYFUNCTION("""COMPUTED_VALUE"""),"")</f>
        <v/>
      </c>
      <c r="C115" s="14" t="str">
        <f>IFERROR(__xludf.DUMMYFUNCTION("""COMPUTED_VALUE"""),"")</f>
        <v/>
      </c>
      <c r="D115" s="15" t="str">
        <f>IFERROR(__xludf.DUMMYFUNCTION("""COMPUTED_VALUE"""),"")</f>
        <v/>
      </c>
      <c r="E115" s="15" t="str">
        <f>IFERROR(__xludf.DUMMYFUNCTION("""COMPUTED_VALUE"""),"")</f>
        <v/>
      </c>
      <c r="F115" s="15" t="str">
        <f>IFERROR(__xludf.DUMMYFUNCTION("""COMPUTED_VALUE"""),"")</f>
        <v/>
      </c>
      <c r="G115" s="16" t="str">
        <f>IFERROR(__xludf.DUMMYFUNCTION("""COMPUTED_VALUE"""),"")</f>
        <v/>
      </c>
      <c r="H115" s="4"/>
      <c r="I115" s="5" t="s">
        <v>287</v>
      </c>
      <c r="J115" s="5" t="s">
        <v>30</v>
      </c>
      <c r="K115" s="5">
        <v>423.1</v>
      </c>
      <c r="L115" s="5">
        <v>-1.91783</v>
      </c>
      <c r="M115" s="5">
        <v>1.55238</v>
      </c>
      <c r="N115" s="5">
        <v>-0.36546</v>
      </c>
      <c r="O115" s="5">
        <v>0.21234</v>
      </c>
    </row>
    <row r="116">
      <c r="A116" s="18" t="str">
        <f>IFERROR(__xludf.DUMMYFUNCTION("""COMPUTED_VALUE"""),"")</f>
        <v/>
      </c>
      <c r="B116" s="19" t="str">
        <f>IFERROR(__xludf.DUMMYFUNCTION("""COMPUTED_VALUE"""),"")</f>
        <v/>
      </c>
      <c r="C116" s="20" t="str">
        <f>IFERROR(__xludf.DUMMYFUNCTION("""COMPUTED_VALUE"""),"")</f>
        <v/>
      </c>
      <c r="D116" s="21" t="str">
        <f>IFERROR(__xludf.DUMMYFUNCTION("""COMPUTED_VALUE"""),"")</f>
        <v/>
      </c>
      <c r="E116" s="21" t="str">
        <f>IFERROR(__xludf.DUMMYFUNCTION("""COMPUTED_VALUE"""),"")</f>
        <v/>
      </c>
      <c r="F116" s="21" t="str">
        <f>IFERROR(__xludf.DUMMYFUNCTION("""COMPUTED_VALUE"""),"")</f>
        <v/>
      </c>
      <c r="G116" s="22" t="str">
        <f>IFERROR(__xludf.DUMMYFUNCTION("""COMPUTED_VALUE"""),"")</f>
        <v/>
      </c>
      <c r="H116" s="4"/>
      <c r="I116" s="5" t="s">
        <v>138</v>
      </c>
      <c r="J116" s="5" t="s">
        <v>41</v>
      </c>
      <c r="K116" s="5">
        <v>237.9</v>
      </c>
      <c r="L116" s="5">
        <v>-1.11522</v>
      </c>
      <c r="M116" s="5">
        <v>0.74044</v>
      </c>
      <c r="N116" s="5">
        <v>-0.37478</v>
      </c>
      <c r="O116" s="5">
        <v>0.1179</v>
      </c>
    </row>
    <row r="117">
      <c r="A117" s="12" t="str">
        <f>IFERROR(__xludf.DUMMYFUNCTION("""COMPUTED_VALUE"""),"")</f>
        <v/>
      </c>
      <c r="B117" s="13" t="str">
        <f>IFERROR(__xludf.DUMMYFUNCTION("""COMPUTED_VALUE"""),"")</f>
        <v/>
      </c>
      <c r="C117" s="14" t="str">
        <f>IFERROR(__xludf.DUMMYFUNCTION("""COMPUTED_VALUE"""),"")</f>
        <v/>
      </c>
      <c r="D117" s="15" t="str">
        <f>IFERROR(__xludf.DUMMYFUNCTION("""COMPUTED_VALUE"""),"")</f>
        <v/>
      </c>
      <c r="E117" s="15" t="str">
        <f>IFERROR(__xludf.DUMMYFUNCTION("""COMPUTED_VALUE"""),"")</f>
        <v/>
      </c>
      <c r="F117" s="15" t="str">
        <f>IFERROR(__xludf.DUMMYFUNCTION("""COMPUTED_VALUE"""),"")</f>
        <v/>
      </c>
      <c r="G117" s="16" t="str">
        <f>IFERROR(__xludf.DUMMYFUNCTION("""COMPUTED_VALUE"""),"")</f>
        <v/>
      </c>
      <c r="H117" s="4"/>
      <c r="I117" s="5" t="s">
        <v>293</v>
      </c>
      <c r="J117" s="5" t="s">
        <v>24</v>
      </c>
      <c r="K117" s="5">
        <v>16.0</v>
      </c>
      <c r="L117" s="5">
        <v>-0.70831</v>
      </c>
      <c r="M117" s="5">
        <v>0.29937</v>
      </c>
      <c r="N117" s="5">
        <v>-0.40894</v>
      </c>
      <c r="O117" s="5">
        <v>0.00781</v>
      </c>
    </row>
    <row r="118">
      <c r="A118" s="18" t="str">
        <f>IFERROR(__xludf.DUMMYFUNCTION("""COMPUTED_VALUE"""),"")</f>
        <v/>
      </c>
      <c r="B118" s="19" t="str">
        <f>IFERROR(__xludf.DUMMYFUNCTION("""COMPUTED_VALUE"""),"")</f>
        <v/>
      </c>
      <c r="C118" s="20" t="str">
        <f>IFERROR(__xludf.DUMMYFUNCTION("""COMPUTED_VALUE"""),"")</f>
        <v/>
      </c>
      <c r="D118" s="21" t="str">
        <f>IFERROR(__xludf.DUMMYFUNCTION("""COMPUTED_VALUE"""),"")</f>
        <v/>
      </c>
      <c r="E118" s="21" t="str">
        <f>IFERROR(__xludf.DUMMYFUNCTION("""COMPUTED_VALUE"""),"")</f>
        <v/>
      </c>
      <c r="F118" s="21" t="str">
        <f>IFERROR(__xludf.DUMMYFUNCTION("""COMPUTED_VALUE"""),"")</f>
        <v/>
      </c>
      <c r="G118" s="22" t="str">
        <f>IFERROR(__xludf.DUMMYFUNCTION("""COMPUTED_VALUE"""),"")</f>
        <v/>
      </c>
      <c r="H118" s="4"/>
      <c r="I118" s="5" t="s">
        <v>295</v>
      </c>
      <c r="J118" s="5" t="s">
        <v>76</v>
      </c>
      <c r="K118" s="5">
        <v>13.4</v>
      </c>
      <c r="L118" s="5">
        <v>-0.12673</v>
      </c>
      <c r="M118" s="5">
        <v>-0.31078</v>
      </c>
      <c r="N118" s="5">
        <v>-0.43751</v>
      </c>
      <c r="O118" s="5">
        <v>0.00647</v>
      </c>
    </row>
    <row r="119">
      <c r="A119" s="12" t="str">
        <f>IFERROR(__xludf.DUMMYFUNCTION("""COMPUTED_VALUE"""),"")</f>
        <v/>
      </c>
      <c r="B119" s="13" t="str">
        <f>IFERROR(__xludf.DUMMYFUNCTION("""COMPUTED_VALUE"""),"")</f>
        <v/>
      </c>
      <c r="C119" s="14" t="str">
        <f>IFERROR(__xludf.DUMMYFUNCTION("""COMPUTED_VALUE"""),"")</f>
        <v/>
      </c>
      <c r="D119" s="15" t="str">
        <f>IFERROR(__xludf.DUMMYFUNCTION("""COMPUTED_VALUE"""),"")</f>
        <v/>
      </c>
      <c r="E119" s="15" t="str">
        <f>IFERROR(__xludf.DUMMYFUNCTION("""COMPUTED_VALUE"""),"")</f>
        <v/>
      </c>
      <c r="F119" s="15" t="str">
        <f>IFERROR(__xludf.DUMMYFUNCTION("""COMPUTED_VALUE"""),"")</f>
        <v/>
      </c>
      <c r="G119" s="16" t="str">
        <f>IFERROR(__xludf.DUMMYFUNCTION("""COMPUTED_VALUE"""),"")</f>
        <v/>
      </c>
      <c r="H119" s="4"/>
      <c r="I119" s="5" t="s">
        <v>298</v>
      </c>
      <c r="J119" s="5" t="s">
        <v>30</v>
      </c>
      <c r="K119" s="5">
        <v>52.9</v>
      </c>
      <c r="L119" s="5">
        <v>-0.29811</v>
      </c>
      <c r="M119" s="5">
        <v>-0.14448</v>
      </c>
      <c r="N119" s="5">
        <v>-0.44259</v>
      </c>
      <c r="O119" s="5">
        <v>0.0253</v>
      </c>
    </row>
    <row r="120">
      <c r="A120" s="18" t="str">
        <f>IFERROR(__xludf.DUMMYFUNCTION("""COMPUTED_VALUE"""),"")</f>
        <v/>
      </c>
      <c r="B120" s="19" t="str">
        <f>IFERROR(__xludf.DUMMYFUNCTION("""COMPUTED_VALUE"""),"")</f>
        <v/>
      </c>
      <c r="C120" s="20" t="str">
        <f>IFERROR(__xludf.DUMMYFUNCTION("""COMPUTED_VALUE"""),"")</f>
        <v/>
      </c>
      <c r="D120" s="21" t="str">
        <f>IFERROR(__xludf.DUMMYFUNCTION("""COMPUTED_VALUE"""),"")</f>
        <v/>
      </c>
      <c r="E120" s="21" t="str">
        <f>IFERROR(__xludf.DUMMYFUNCTION("""COMPUTED_VALUE"""),"")</f>
        <v/>
      </c>
      <c r="F120" s="21" t="str">
        <f>IFERROR(__xludf.DUMMYFUNCTION("""COMPUTED_VALUE"""),"")</f>
        <v/>
      </c>
      <c r="G120" s="22" t="str">
        <f>IFERROR(__xludf.DUMMYFUNCTION("""COMPUTED_VALUE"""),"")</f>
        <v/>
      </c>
      <c r="H120" s="4"/>
      <c r="I120" s="5" t="s">
        <v>301</v>
      </c>
      <c r="J120" s="5" t="s">
        <v>41</v>
      </c>
      <c r="K120" s="5">
        <v>347.4</v>
      </c>
      <c r="L120" s="5">
        <v>-2.80006</v>
      </c>
      <c r="M120" s="5">
        <v>2.32468</v>
      </c>
      <c r="N120" s="5">
        <v>-0.47538</v>
      </c>
      <c r="O120" s="5">
        <v>0.16151</v>
      </c>
    </row>
    <row r="121">
      <c r="A121" s="12" t="str">
        <f>IFERROR(__xludf.DUMMYFUNCTION("""COMPUTED_VALUE"""),"")</f>
        <v/>
      </c>
      <c r="B121" s="13" t="str">
        <f>IFERROR(__xludf.DUMMYFUNCTION("""COMPUTED_VALUE"""),"")</f>
        <v/>
      </c>
      <c r="C121" s="14" t="str">
        <f>IFERROR(__xludf.DUMMYFUNCTION("""COMPUTED_VALUE"""),"")</f>
        <v/>
      </c>
      <c r="D121" s="15" t="str">
        <f>IFERROR(__xludf.DUMMYFUNCTION("""COMPUTED_VALUE"""),"")</f>
        <v/>
      </c>
      <c r="E121" s="15" t="str">
        <f>IFERROR(__xludf.DUMMYFUNCTION("""COMPUTED_VALUE"""),"")</f>
        <v/>
      </c>
      <c r="F121" s="15" t="str">
        <f>IFERROR(__xludf.DUMMYFUNCTION("""COMPUTED_VALUE"""),"")</f>
        <v/>
      </c>
      <c r="G121" s="16" t="str">
        <f>IFERROR(__xludf.DUMMYFUNCTION("""COMPUTED_VALUE"""),"")</f>
        <v/>
      </c>
      <c r="H121" s="4"/>
      <c r="I121" s="5" t="s">
        <v>262</v>
      </c>
      <c r="J121" s="5" t="s">
        <v>14</v>
      </c>
      <c r="K121" s="5">
        <v>107.8</v>
      </c>
      <c r="L121" s="5">
        <v>-0.23046</v>
      </c>
      <c r="M121" s="5">
        <v>-0.25199</v>
      </c>
      <c r="N121" s="5">
        <v>-0.48245</v>
      </c>
      <c r="O121" s="5">
        <v>0.04971</v>
      </c>
    </row>
    <row r="122">
      <c r="A122" s="18" t="str">
        <f>IFERROR(__xludf.DUMMYFUNCTION("""COMPUTED_VALUE"""),"")</f>
        <v/>
      </c>
      <c r="B122" s="19" t="str">
        <f>IFERROR(__xludf.DUMMYFUNCTION("""COMPUTED_VALUE"""),"")</f>
        <v/>
      </c>
      <c r="C122" s="20" t="str">
        <f>IFERROR(__xludf.DUMMYFUNCTION("""COMPUTED_VALUE"""),"")</f>
        <v/>
      </c>
      <c r="D122" s="21" t="str">
        <f>IFERROR(__xludf.DUMMYFUNCTION("""COMPUTED_VALUE"""),"")</f>
        <v/>
      </c>
      <c r="E122" s="21" t="str">
        <f>IFERROR(__xludf.DUMMYFUNCTION("""COMPUTED_VALUE"""),"")</f>
        <v/>
      </c>
      <c r="F122" s="21" t="str">
        <f>IFERROR(__xludf.DUMMYFUNCTION("""COMPUTED_VALUE"""),"")</f>
        <v/>
      </c>
      <c r="G122" s="22" t="str">
        <f>IFERROR(__xludf.DUMMYFUNCTION("""COMPUTED_VALUE"""),"")</f>
        <v/>
      </c>
      <c r="H122" s="4"/>
      <c r="I122" s="5" t="s">
        <v>306</v>
      </c>
      <c r="J122" s="5" t="s">
        <v>72</v>
      </c>
      <c r="K122" s="5">
        <v>669.9</v>
      </c>
      <c r="L122" s="5">
        <v>0.29535</v>
      </c>
      <c r="M122" s="5">
        <v>-0.81478</v>
      </c>
      <c r="N122" s="5">
        <v>-0.51943</v>
      </c>
      <c r="O122" s="5">
        <v>0.30741</v>
      </c>
    </row>
    <row r="123">
      <c r="A123" s="12" t="str">
        <f>IFERROR(__xludf.DUMMYFUNCTION("""COMPUTED_VALUE"""),"")</f>
        <v/>
      </c>
      <c r="B123" s="13" t="str">
        <f>IFERROR(__xludf.DUMMYFUNCTION("""COMPUTED_VALUE"""),"")</f>
        <v/>
      </c>
      <c r="C123" s="14" t="str">
        <f>IFERROR(__xludf.DUMMYFUNCTION("""COMPUTED_VALUE"""),"")</f>
        <v/>
      </c>
      <c r="D123" s="15" t="str">
        <f>IFERROR(__xludf.DUMMYFUNCTION("""COMPUTED_VALUE"""),"")</f>
        <v/>
      </c>
      <c r="E123" s="15" t="str">
        <f>IFERROR(__xludf.DUMMYFUNCTION("""COMPUTED_VALUE"""),"")</f>
        <v/>
      </c>
      <c r="F123" s="15" t="str">
        <f>IFERROR(__xludf.DUMMYFUNCTION("""COMPUTED_VALUE"""),"")</f>
        <v/>
      </c>
      <c r="G123" s="16" t="str">
        <f>IFERROR(__xludf.DUMMYFUNCTION("""COMPUTED_VALUE"""),"")</f>
        <v/>
      </c>
      <c r="H123" s="4"/>
      <c r="I123" s="5" t="s">
        <v>308</v>
      </c>
      <c r="J123" s="5" t="s">
        <v>41</v>
      </c>
      <c r="K123" s="5">
        <v>5.7</v>
      </c>
      <c r="L123" s="5">
        <v>-0.38833</v>
      </c>
      <c r="M123" s="5">
        <v>-0.13685</v>
      </c>
      <c r="N123" s="5">
        <v>-0.52518</v>
      </c>
      <c r="O123" s="5">
        <v>0.00256</v>
      </c>
    </row>
    <row r="124">
      <c r="A124" s="18" t="str">
        <f>IFERROR(__xludf.DUMMYFUNCTION("""COMPUTED_VALUE"""),"")</f>
        <v/>
      </c>
      <c r="B124" s="19" t="str">
        <f>IFERROR(__xludf.DUMMYFUNCTION("""COMPUTED_VALUE"""),"")</f>
        <v/>
      </c>
      <c r="C124" s="20" t="str">
        <f>IFERROR(__xludf.DUMMYFUNCTION("""COMPUTED_VALUE"""),"")</f>
        <v/>
      </c>
      <c r="D124" s="21" t="str">
        <f>IFERROR(__xludf.DUMMYFUNCTION("""COMPUTED_VALUE"""),"")</f>
        <v/>
      </c>
      <c r="E124" s="21" t="str">
        <f>IFERROR(__xludf.DUMMYFUNCTION("""COMPUTED_VALUE"""),"")</f>
        <v/>
      </c>
      <c r="F124" s="21" t="str">
        <f>IFERROR(__xludf.DUMMYFUNCTION("""COMPUTED_VALUE"""),"")</f>
        <v/>
      </c>
      <c r="G124" s="22" t="str">
        <f>IFERROR(__xludf.DUMMYFUNCTION("""COMPUTED_VALUE"""),"")</f>
        <v/>
      </c>
      <c r="H124" s="4"/>
      <c r="I124" s="5" t="s">
        <v>311</v>
      </c>
      <c r="J124" s="5" t="s">
        <v>59</v>
      </c>
      <c r="K124" s="5">
        <v>32.2</v>
      </c>
      <c r="L124" s="5">
        <v>-0.50865</v>
      </c>
      <c r="M124" s="5">
        <v>-0.03405</v>
      </c>
      <c r="N124" s="5">
        <v>-0.5427</v>
      </c>
      <c r="O124" s="5">
        <v>0.01419</v>
      </c>
    </row>
    <row r="125">
      <c r="A125" s="12" t="str">
        <f>IFERROR(__xludf.DUMMYFUNCTION("""COMPUTED_VALUE"""),"")</f>
        <v/>
      </c>
      <c r="B125" s="13" t="str">
        <f>IFERROR(__xludf.DUMMYFUNCTION("""COMPUTED_VALUE"""),"")</f>
        <v/>
      </c>
      <c r="C125" s="14" t="str">
        <f>IFERROR(__xludf.DUMMYFUNCTION("""COMPUTED_VALUE"""),"")</f>
        <v/>
      </c>
      <c r="D125" s="15" t="str">
        <f>IFERROR(__xludf.DUMMYFUNCTION("""COMPUTED_VALUE"""),"")</f>
        <v/>
      </c>
      <c r="E125" s="15" t="str">
        <f>IFERROR(__xludf.DUMMYFUNCTION("""COMPUTED_VALUE"""),"")</f>
        <v/>
      </c>
      <c r="F125" s="15" t="str">
        <f>IFERROR(__xludf.DUMMYFUNCTION("""COMPUTED_VALUE"""),"")</f>
        <v/>
      </c>
      <c r="G125" s="16" t="str">
        <f>IFERROR(__xludf.DUMMYFUNCTION("""COMPUTED_VALUE"""),"")</f>
        <v/>
      </c>
      <c r="H125" s="4"/>
      <c r="I125" s="5" t="s">
        <v>312</v>
      </c>
      <c r="J125" s="5" t="s">
        <v>72</v>
      </c>
      <c r="K125" s="5">
        <v>290.4</v>
      </c>
      <c r="L125" s="5">
        <v>2.85398</v>
      </c>
      <c r="M125" s="5">
        <v>-3.42822</v>
      </c>
      <c r="N125" s="5">
        <v>-0.57424</v>
      </c>
      <c r="O125" s="5">
        <v>0.12833</v>
      </c>
    </row>
    <row r="126">
      <c r="A126" s="18" t="str">
        <f>IFERROR(__xludf.DUMMYFUNCTION("""COMPUTED_VALUE"""),"")</f>
        <v/>
      </c>
      <c r="B126" s="19" t="str">
        <f>IFERROR(__xludf.DUMMYFUNCTION("""COMPUTED_VALUE"""),"")</f>
        <v/>
      </c>
      <c r="C126" s="20" t="str">
        <f>IFERROR(__xludf.DUMMYFUNCTION("""COMPUTED_VALUE"""),"")</f>
        <v/>
      </c>
      <c r="D126" s="21" t="str">
        <f>IFERROR(__xludf.DUMMYFUNCTION("""COMPUTED_VALUE"""),"")</f>
        <v/>
      </c>
      <c r="E126" s="21" t="str">
        <f>IFERROR(__xludf.DUMMYFUNCTION("""COMPUTED_VALUE"""),"")</f>
        <v/>
      </c>
      <c r="F126" s="21" t="str">
        <f>IFERROR(__xludf.DUMMYFUNCTION("""COMPUTED_VALUE"""),"")</f>
        <v/>
      </c>
      <c r="G126" s="22" t="str">
        <f>IFERROR(__xludf.DUMMYFUNCTION("""COMPUTED_VALUE"""),"")</f>
        <v/>
      </c>
      <c r="H126" s="4"/>
      <c r="I126" s="5" t="s">
        <v>315</v>
      </c>
      <c r="J126" s="5" t="s">
        <v>118</v>
      </c>
      <c r="K126" s="5">
        <v>47.6</v>
      </c>
      <c r="L126" s="5">
        <v>-0.80727</v>
      </c>
      <c r="M126" s="5">
        <v>0.22496</v>
      </c>
      <c r="N126" s="5">
        <v>-0.58231</v>
      </c>
      <c r="O126" s="5">
        <v>0.02024</v>
      </c>
    </row>
    <row r="127">
      <c r="A127" s="12" t="str">
        <f>IFERROR(__xludf.DUMMYFUNCTION("""COMPUTED_VALUE"""),"")</f>
        <v/>
      </c>
      <c r="B127" s="13" t="str">
        <f>IFERROR(__xludf.DUMMYFUNCTION("""COMPUTED_VALUE"""),"")</f>
        <v/>
      </c>
      <c r="C127" s="14" t="str">
        <f>IFERROR(__xludf.DUMMYFUNCTION("""COMPUTED_VALUE"""),"")</f>
        <v/>
      </c>
      <c r="D127" s="15" t="str">
        <f>IFERROR(__xludf.DUMMYFUNCTION("""COMPUTED_VALUE"""),"")</f>
        <v/>
      </c>
      <c r="E127" s="15" t="str">
        <f>IFERROR(__xludf.DUMMYFUNCTION("""COMPUTED_VALUE"""),"")</f>
        <v/>
      </c>
      <c r="F127" s="15" t="str">
        <f>IFERROR(__xludf.DUMMYFUNCTION("""COMPUTED_VALUE"""),"")</f>
        <v/>
      </c>
      <c r="G127" s="16" t="str">
        <f>IFERROR(__xludf.DUMMYFUNCTION("""COMPUTED_VALUE"""),"")</f>
        <v/>
      </c>
      <c r="H127" s="4"/>
      <c r="I127" s="5" t="s">
        <v>316</v>
      </c>
      <c r="J127" s="5" t="s">
        <v>59</v>
      </c>
      <c r="K127" s="5">
        <v>32.8</v>
      </c>
      <c r="L127" s="5">
        <v>-0.20318</v>
      </c>
      <c r="M127" s="5">
        <v>-0.38846</v>
      </c>
      <c r="N127" s="5">
        <v>-0.59165</v>
      </c>
      <c r="O127" s="5">
        <v>0.01397</v>
      </c>
    </row>
    <row r="128">
      <c r="A128" s="18" t="str">
        <f>IFERROR(__xludf.DUMMYFUNCTION("""COMPUTED_VALUE"""),"")</f>
        <v/>
      </c>
      <c r="B128" s="19" t="str">
        <f>IFERROR(__xludf.DUMMYFUNCTION("""COMPUTED_VALUE"""),"")</f>
        <v/>
      </c>
      <c r="C128" s="20" t="str">
        <f>IFERROR(__xludf.DUMMYFUNCTION("""COMPUTED_VALUE"""),"")</f>
        <v/>
      </c>
      <c r="D128" s="21" t="str">
        <f>IFERROR(__xludf.DUMMYFUNCTION("""COMPUTED_VALUE"""),"")</f>
        <v/>
      </c>
      <c r="E128" s="21" t="str">
        <f>IFERROR(__xludf.DUMMYFUNCTION("""COMPUTED_VALUE"""),"")</f>
        <v/>
      </c>
      <c r="F128" s="21" t="str">
        <f>IFERROR(__xludf.DUMMYFUNCTION("""COMPUTED_VALUE"""),"")</f>
        <v/>
      </c>
      <c r="G128" s="22" t="str">
        <f>IFERROR(__xludf.DUMMYFUNCTION("""COMPUTED_VALUE"""),"")</f>
        <v/>
      </c>
      <c r="H128" s="4"/>
      <c r="I128" s="5" t="s">
        <v>317</v>
      </c>
      <c r="J128" s="5" t="s">
        <v>41</v>
      </c>
      <c r="K128" s="5">
        <v>10.0</v>
      </c>
      <c r="L128" s="5">
        <v>-0.51711</v>
      </c>
      <c r="M128" s="5">
        <v>-0.07911</v>
      </c>
      <c r="N128" s="5">
        <v>-0.59622</v>
      </c>
      <c r="O128" s="5">
        <v>0.00428</v>
      </c>
    </row>
    <row r="129">
      <c r="A129" s="12" t="str">
        <f>IFERROR(__xludf.DUMMYFUNCTION("""COMPUTED_VALUE"""),"")</f>
        <v/>
      </c>
      <c r="B129" s="13" t="str">
        <f>IFERROR(__xludf.DUMMYFUNCTION("""COMPUTED_VALUE"""),"")</f>
        <v/>
      </c>
      <c r="C129" s="14" t="str">
        <f>IFERROR(__xludf.DUMMYFUNCTION("""COMPUTED_VALUE"""),"")</f>
        <v/>
      </c>
      <c r="D129" s="15" t="str">
        <f>IFERROR(__xludf.DUMMYFUNCTION("""COMPUTED_VALUE"""),"")</f>
        <v/>
      </c>
      <c r="E129" s="15" t="str">
        <f>IFERROR(__xludf.DUMMYFUNCTION("""COMPUTED_VALUE"""),"")</f>
        <v/>
      </c>
      <c r="F129" s="15" t="str">
        <f>IFERROR(__xludf.DUMMYFUNCTION("""COMPUTED_VALUE"""),"")</f>
        <v/>
      </c>
      <c r="G129" s="16" t="str">
        <f>IFERROR(__xludf.DUMMYFUNCTION("""COMPUTED_VALUE"""),"")</f>
        <v/>
      </c>
      <c r="H129" s="4"/>
      <c r="I129" s="5" t="s">
        <v>319</v>
      </c>
      <c r="J129" s="5" t="s">
        <v>19</v>
      </c>
      <c r="K129" s="5">
        <v>365.5</v>
      </c>
      <c r="L129" s="5">
        <v>0.56754</v>
      </c>
      <c r="M129" s="5">
        <v>-1.1669</v>
      </c>
      <c r="N129" s="5">
        <v>-0.59937</v>
      </c>
      <c r="O129" s="5">
        <v>0.15437</v>
      </c>
    </row>
    <row r="130">
      <c r="A130" s="18" t="str">
        <f>IFERROR(__xludf.DUMMYFUNCTION("""COMPUTED_VALUE"""),"")</f>
        <v/>
      </c>
      <c r="B130" s="19" t="str">
        <f>IFERROR(__xludf.DUMMYFUNCTION("""COMPUTED_VALUE"""),"")</f>
        <v/>
      </c>
      <c r="C130" s="20" t="str">
        <f>IFERROR(__xludf.DUMMYFUNCTION("""COMPUTED_VALUE"""),"")</f>
        <v/>
      </c>
      <c r="D130" s="21" t="str">
        <f>IFERROR(__xludf.DUMMYFUNCTION("""COMPUTED_VALUE"""),"")</f>
        <v/>
      </c>
      <c r="E130" s="21" t="str">
        <f>IFERROR(__xludf.DUMMYFUNCTION("""COMPUTED_VALUE"""),"")</f>
        <v/>
      </c>
      <c r="F130" s="21" t="str">
        <f>IFERROR(__xludf.DUMMYFUNCTION("""COMPUTED_VALUE"""),"")</f>
        <v/>
      </c>
      <c r="G130" s="22" t="str">
        <f>IFERROR(__xludf.DUMMYFUNCTION("""COMPUTED_VALUE"""),"")</f>
        <v/>
      </c>
      <c r="H130" s="4"/>
      <c r="I130" s="5" t="s">
        <v>322</v>
      </c>
      <c r="J130" s="5" t="s">
        <v>12</v>
      </c>
      <c r="K130" s="5">
        <v>51.2</v>
      </c>
      <c r="L130" s="5">
        <v>-0.26247</v>
      </c>
      <c r="M130" s="5">
        <v>-0.34211</v>
      </c>
      <c r="N130" s="5">
        <v>-0.60458</v>
      </c>
      <c r="O130" s="5">
        <v>0.02171</v>
      </c>
    </row>
    <row r="131">
      <c r="A131" s="12" t="str">
        <f>IFERROR(__xludf.DUMMYFUNCTION("""COMPUTED_VALUE"""),"")</f>
        <v/>
      </c>
      <c r="B131" s="13" t="str">
        <f>IFERROR(__xludf.DUMMYFUNCTION("""COMPUTED_VALUE"""),"")</f>
        <v/>
      </c>
      <c r="C131" s="14" t="str">
        <f>IFERROR(__xludf.DUMMYFUNCTION("""COMPUTED_VALUE"""),"")</f>
        <v/>
      </c>
      <c r="D131" s="15" t="str">
        <f>IFERROR(__xludf.DUMMYFUNCTION("""COMPUTED_VALUE"""),"")</f>
        <v/>
      </c>
      <c r="E131" s="15" t="str">
        <f>IFERROR(__xludf.DUMMYFUNCTION("""COMPUTED_VALUE"""),"")</f>
        <v/>
      </c>
      <c r="F131" s="15" t="str">
        <f>IFERROR(__xludf.DUMMYFUNCTION("""COMPUTED_VALUE"""),"")</f>
        <v/>
      </c>
      <c r="G131" s="16" t="str">
        <f>IFERROR(__xludf.DUMMYFUNCTION("""COMPUTED_VALUE"""),"")</f>
        <v/>
      </c>
      <c r="H131" s="4"/>
      <c r="I131" s="5" t="s">
        <v>325</v>
      </c>
      <c r="J131" s="5" t="s">
        <v>118</v>
      </c>
      <c r="K131" s="5">
        <v>327.3</v>
      </c>
      <c r="L131" s="5">
        <v>-0.00553</v>
      </c>
      <c r="M131" s="5">
        <v>-0.59956</v>
      </c>
      <c r="N131" s="5">
        <v>-0.60509</v>
      </c>
      <c r="O131" s="5">
        <v>0.13692</v>
      </c>
    </row>
    <row r="132">
      <c r="A132" s="18" t="str">
        <f>IFERROR(__xludf.DUMMYFUNCTION("""COMPUTED_VALUE"""),"")</f>
        <v/>
      </c>
      <c r="B132" s="19" t="str">
        <f>IFERROR(__xludf.DUMMYFUNCTION("""COMPUTED_VALUE"""),"")</f>
        <v/>
      </c>
      <c r="C132" s="20" t="str">
        <f>IFERROR(__xludf.DUMMYFUNCTION("""COMPUTED_VALUE"""),"")</f>
        <v/>
      </c>
      <c r="D132" s="21" t="str">
        <f>IFERROR(__xludf.DUMMYFUNCTION("""COMPUTED_VALUE"""),"")</f>
        <v/>
      </c>
      <c r="E132" s="21" t="str">
        <f>IFERROR(__xludf.DUMMYFUNCTION("""COMPUTED_VALUE"""),"")</f>
        <v/>
      </c>
      <c r="F132" s="21" t="str">
        <f>IFERROR(__xludf.DUMMYFUNCTION("""COMPUTED_VALUE"""),"")</f>
        <v/>
      </c>
      <c r="G132" s="22" t="str">
        <f>IFERROR(__xludf.DUMMYFUNCTION("""COMPUTED_VALUE"""),"")</f>
        <v/>
      </c>
      <c r="H132" s="4"/>
      <c r="I132" s="5" t="s">
        <v>327</v>
      </c>
      <c r="J132" s="5" t="s">
        <v>137</v>
      </c>
      <c r="K132" s="5">
        <v>395.4</v>
      </c>
      <c r="L132" s="5">
        <v>1.19442</v>
      </c>
      <c r="M132" s="5">
        <v>-1.82593</v>
      </c>
      <c r="N132" s="5">
        <v>-0.6315</v>
      </c>
      <c r="O132" s="5">
        <v>0.16497</v>
      </c>
    </row>
    <row r="133">
      <c r="A133" s="12" t="str">
        <f>IFERROR(__xludf.DUMMYFUNCTION("""COMPUTED_VALUE"""),"")</f>
        <v/>
      </c>
      <c r="B133" s="13" t="str">
        <f>IFERROR(__xludf.DUMMYFUNCTION("""COMPUTED_VALUE"""),"")</f>
        <v/>
      </c>
      <c r="C133" s="14" t="str">
        <f>IFERROR(__xludf.DUMMYFUNCTION("""COMPUTED_VALUE"""),"")</f>
        <v/>
      </c>
      <c r="D133" s="15" t="str">
        <f>IFERROR(__xludf.DUMMYFUNCTION("""COMPUTED_VALUE"""),"")</f>
        <v/>
      </c>
      <c r="E133" s="15" t="str">
        <f>IFERROR(__xludf.DUMMYFUNCTION("""COMPUTED_VALUE"""),"")</f>
        <v/>
      </c>
      <c r="F133" s="15" t="str">
        <f>IFERROR(__xludf.DUMMYFUNCTION("""COMPUTED_VALUE"""),"")</f>
        <v/>
      </c>
      <c r="G133" s="16" t="str">
        <f>IFERROR(__xludf.DUMMYFUNCTION("""COMPUTED_VALUE"""),"")</f>
        <v/>
      </c>
      <c r="H133" s="4"/>
      <c r="I133" s="5" t="s">
        <v>328</v>
      </c>
      <c r="J133" s="5" t="s">
        <v>137</v>
      </c>
      <c r="K133" s="5">
        <v>16.7</v>
      </c>
      <c r="L133" s="5">
        <v>-0.44104</v>
      </c>
      <c r="M133" s="5">
        <v>-0.21763</v>
      </c>
      <c r="N133" s="5">
        <v>-0.65867</v>
      </c>
      <c r="O133" s="5">
        <v>0.00683</v>
      </c>
    </row>
    <row r="134">
      <c r="A134" s="18" t="str">
        <f>IFERROR(__xludf.DUMMYFUNCTION("""COMPUTED_VALUE"""),"")</f>
        <v/>
      </c>
      <c r="B134" s="19" t="str">
        <f>IFERROR(__xludf.DUMMYFUNCTION("""COMPUTED_VALUE"""),"")</f>
        <v/>
      </c>
      <c r="C134" s="20" t="str">
        <f>IFERROR(__xludf.DUMMYFUNCTION("""COMPUTED_VALUE"""),"")</f>
        <v/>
      </c>
      <c r="D134" s="21" t="str">
        <f>IFERROR(__xludf.DUMMYFUNCTION("""COMPUTED_VALUE"""),"")</f>
        <v/>
      </c>
      <c r="E134" s="21" t="str">
        <f>IFERROR(__xludf.DUMMYFUNCTION("""COMPUTED_VALUE"""),"")</f>
        <v/>
      </c>
      <c r="F134" s="21" t="str">
        <f>IFERROR(__xludf.DUMMYFUNCTION("""COMPUTED_VALUE"""),"")</f>
        <v/>
      </c>
      <c r="G134" s="22" t="str">
        <f>IFERROR(__xludf.DUMMYFUNCTION("""COMPUTED_VALUE"""),"")</f>
        <v/>
      </c>
      <c r="H134" s="4"/>
      <c r="I134" s="5" t="s">
        <v>331</v>
      </c>
      <c r="J134" s="5" t="s">
        <v>14</v>
      </c>
      <c r="K134" s="5">
        <v>9.5</v>
      </c>
      <c r="L134" s="5">
        <v>-0.4673</v>
      </c>
      <c r="M134" s="5">
        <v>-0.20027</v>
      </c>
      <c r="N134" s="5">
        <v>-0.66757</v>
      </c>
      <c r="O134" s="5">
        <v>0.00385</v>
      </c>
    </row>
    <row r="135">
      <c r="A135" s="12" t="str">
        <f>IFERROR(__xludf.DUMMYFUNCTION("""COMPUTED_VALUE"""),"")</f>
        <v/>
      </c>
      <c r="B135" s="13" t="str">
        <f>IFERROR(__xludf.DUMMYFUNCTION("""COMPUTED_VALUE"""),"")</f>
        <v/>
      </c>
      <c r="C135" s="14" t="str">
        <f>IFERROR(__xludf.DUMMYFUNCTION("""COMPUTED_VALUE"""),"")</f>
        <v/>
      </c>
      <c r="D135" s="15" t="str">
        <f>IFERROR(__xludf.DUMMYFUNCTION("""COMPUTED_VALUE"""),"")</f>
        <v/>
      </c>
      <c r="E135" s="15" t="str">
        <f>IFERROR(__xludf.DUMMYFUNCTION("""COMPUTED_VALUE"""),"")</f>
        <v/>
      </c>
      <c r="F135" s="15" t="str">
        <f>IFERROR(__xludf.DUMMYFUNCTION("""COMPUTED_VALUE"""),"")</f>
        <v/>
      </c>
      <c r="G135" s="16" t="str">
        <f>IFERROR(__xludf.DUMMYFUNCTION("""COMPUTED_VALUE"""),"")</f>
        <v/>
      </c>
      <c r="H135" s="4"/>
      <c r="I135" s="5" t="s">
        <v>333</v>
      </c>
      <c r="J135" s="5" t="s">
        <v>12</v>
      </c>
      <c r="K135" s="5">
        <v>105.3</v>
      </c>
      <c r="L135" s="5">
        <v>-1.45078</v>
      </c>
      <c r="M135" s="5">
        <v>0.77375</v>
      </c>
      <c r="N135" s="5">
        <v>-0.67703</v>
      </c>
      <c r="O135" s="5">
        <v>0.04233</v>
      </c>
    </row>
    <row r="136">
      <c r="A136" s="18" t="str">
        <f>IFERROR(__xludf.DUMMYFUNCTION("""COMPUTED_VALUE"""),"")</f>
        <v/>
      </c>
      <c r="B136" s="19" t="str">
        <f>IFERROR(__xludf.DUMMYFUNCTION("""COMPUTED_VALUE"""),"")</f>
        <v/>
      </c>
      <c r="C136" s="20" t="str">
        <f>IFERROR(__xludf.DUMMYFUNCTION("""COMPUTED_VALUE"""),"")</f>
        <v/>
      </c>
      <c r="D136" s="21" t="str">
        <f>IFERROR(__xludf.DUMMYFUNCTION("""COMPUTED_VALUE"""),"")</f>
        <v/>
      </c>
      <c r="E136" s="21" t="str">
        <f>IFERROR(__xludf.DUMMYFUNCTION("""COMPUTED_VALUE"""),"")</f>
        <v/>
      </c>
      <c r="F136" s="21" t="str">
        <f>IFERROR(__xludf.DUMMYFUNCTION("""COMPUTED_VALUE"""),"")</f>
        <v/>
      </c>
      <c r="G136" s="22" t="str">
        <f>IFERROR(__xludf.DUMMYFUNCTION("""COMPUTED_VALUE"""),"")</f>
        <v/>
      </c>
      <c r="H136" s="4"/>
      <c r="I136" s="5" t="s">
        <v>335</v>
      </c>
      <c r="J136" s="5" t="s">
        <v>12</v>
      </c>
      <c r="K136" s="5">
        <v>131.9</v>
      </c>
      <c r="L136" s="5">
        <v>-1.52454</v>
      </c>
      <c r="M136" s="5">
        <v>0.83424</v>
      </c>
      <c r="N136" s="5">
        <v>-0.69031</v>
      </c>
      <c r="O136" s="5">
        <v>0.05249</v>
      </c>
    </row>
    <row r="137">
      <c r="A137" s="12" t="str">
        <f>IFERROR(__xludf.DUMMYFUNCTION("""COMPUTED_VALUE"""),"")</f>
        <v/>
      </c>
      <c r="B137" s="13" t="str">
        <f>IFERROR(__xludf.DUMMYFUNCTION("""COMPUTED_VALUE"""),"")</f>
        <v/>
      </c>
      <c r="C137" s="14" t="str">
        <f>IFERROR(__xludf.DUMMYFUNCTION("""COMPUTED_VALUE"""),"")</f>
        <v/>
      </c>
      <c r="D137" s="15" t="str">
        <f>IFERROR(__xludf.DUMMYFUNCTION("""COMPUTED_VALUE"""),"")</f>
        <v/>
      </c>
      <c r="E137" s="15" t="str">
        <f>IFERROR(__xludf.DUMMYFUNCTION("""COMPUTED_VALUE"""),"")</f>
        <v/>
      </c>
      <c r="F137" s="15" t="str">
        <f>IFERROR(__xludf.DUMMYFUNCTION("""COMPUTED_VALUE"""),"")</f>
        <v/>
      </c>
      <c r="G137" s="16" t="str">
        <f>IFERROR(__xludf.DUMMYFUNCTION("""COMPUTED_VALUE"""),"")</f>
        <v/>
      </c>
      <c r="H137" s="4"/>
      <c r="I137" s="5" t="s">
        <v>338</v>
      </c>
      <c r="J137" s="5" t="s">
        <v>137</v>
      </c>
      <c r="K137" s="5">
        <v>633.0</v>
      </c>
      <c r="L137" s="5">
        <v>-1.92456</v>
      </c>
      <c r="M137" s="5">
        <v>1.22804</v>
      </c>
      <c r="N137" s="5">
        <v>-0.69653</v>
      </c>
      <c r="O137" s="5">
        <v>0.25155</v>
      </c>
    </row>
    <row r="138">
      <c r="A138" s="18" t="str">
        <f>IFERROR(__xludf.DUMMYFUNCTION("""COMPUTED_VALUE"""),"")</f>
        <v/>
      </c>
      <c r="B138" s="19" t="str">
        <f>IFERROR(__xludf.DUMMYFUNCTION("""COMPUTED_VALUE"""),"")</f>
        <v/>
      </c>
      <c r="C138" s="20" t="str">
        <f>IFERROR(__xludf.DUMMYFUNCTION("""COMPUTED_VALUE"""),"")</f>
        <v/>
      </c>
      <c r="D138" s="21" t="str">
        <f>IFERROR(__xludf.DUMMYFUNCTION("""COMPUTED_VALUE"""),"")</f>
        <v/>
      </c>
      <c r="E138" s="21" t="str">
        <f>IFERROR(__xludf.DUMMYFUNCTION("""COMPUTED_VALUE"""),"")</f>
        <v/>
      </c>
      <c r="F138" s="21" t="str">
        <f>IFERROR(__xludf.DUMMYFUNCTION("""COMPUTED_VALUE"""),"")</f>
        <v/>
      </c>
      <c r="G138" s="22" t="str">
        <f>IFERROR(__xludf.DUMMYFUNCTION("""COMPUTED_VALUE"""),"")</f>
        <v/>
      </c>
      <c r="H138" s="4"/>
      <c r="I138" s="5" t="s">
        <v>339</v>
      </c>
      <c r="J138" s="5" t="s">
        <v>118</v>
      </c>
      <c r="K138" s="5">
        <v>125.5</v>
      </c>
      <c r="L138" s="5">
        <v>-0.83339</v>
      </c>
      <c r="M138" s="5">
        <v>0.11782</v>
      </c>
      <c r="N138" s="5">
        <v>-0.71556</v>
      </c>
      <c r="O138" s="5">
        <v>0.04834</v>
      </c>
    </row>
    <row r="139">
      <c r="A139" s="12" t="str">
        <f>IFERROR(__xludf.DUMMYFUNCTION("""COMPUTED_VALUE"""),"")</f>
        <v/>
      </c>
      <c r="B139" s="13" t="str">
        <f>IFERROR(__xludf.DUMMYFUNCTION("""COMPUTED_VALUE"""),"")</f>
        <v/>
      </c>
      <c r="C139" s="14" t="str">
        <f>IFERROR(__xludf.DUMMYFUNCTION("""COMPUTED_VALUE"""),"")</f>
        <v/>
      </c>
      <c r="D139" s="15" t="str">
        <f>IFERROR(__xludf.DUMMYFUNCTION("""COMPUTED_VALUE"""),"")</f>
        <v/>
      </c>
      <c r="E139" s="15" t="str">
        <f>IFERROR(__xludf.DUMMYFUNCTION("""COMPUTED_VALUE"""),"")</f>
        <v/>
      </c>
      <c r="F139" s="15" t="str">
        <f>IFERROR(__xludf.DUMMYFUNCTION("""COMPUTED_VALUE"""),"")</f>
        <v/>
      </c>
      <c r="G139" s="16" t="str">
        <f>IFERROR(__xludf.DUMMYFUNCTION("""COMPUTED_VALUE"""),"")</f>
        <v/>
      </c>
      <c r="H139" s="4"/>
      <c r="I139" s="5" t="s">
        <v>342</v>
      </c>
      <c r="J139" s="5" t="s">
        <v>118</v>
      </c>
      <c r="K139" s="5">
        <v>590.5</v>
      </c>
      <c r="L139" s="5">
        <v>-0.83146</v>
      </c>
      <c r="M139" s="5">
        <v>0.0939</v>
      </c>
      <c r="N139" s="5">
        <v>-0.73756</v>
      </c>
      <c r="O139" s="5">
        <v>0.22357</v>
      </c>
    </row>
    <row r="140">
      <c r="A140" s="18" t="str">
        <f>IFERROR(__xludf.DUMMYFUNCTION("""COMPUTED_VALUE"""),"")</f>
        <v/>
      </c>
      <c r="B140" s="19" t="str">
        <f>IFERROR(__xludf.DUMMYFUNCTION("""COMPUTED_VALUE"""),"")</f>
        <v/>
      </c>
      <c r="C140" s="20" t="str">
        <f>IFERROR(__xludf.DUMMYFUNCTION("""COMPUTED_VALUE"""),"")</f>
        <v/>
      </c>
      <c r="D140" s="21" t="str">
        <f>IFERROR(__xludf.DUMMYFUNCTION("""COMPUTED_VALUE"""),"")</f>
        <v/>
      </c>
      <c r="E140" s="21" t="str">
        <f>IFERROR(__xludf.DUMMYFUNCTION("""COMPUTED_VALUE"""),"")</f>
        <v/>
      </c>
      <c r="F140" s="21" t="str">
        <f>IFERROR(__xludf.DUMMYFUNCTION("""COMPUTED_VALUE"""),"")</f>
        <v/>
      </c>
      <c r="G140" s="22" t="str">
        <f>IFERROR(__xludf.DUMMYFUNCTION("""COMPUTED_VALUE"""),"")</f>
        <v/>
      </c>
      <c r="H140" s="4"/>
      <c r="I140" s="5" t="s">
        <v>216</v>
      </c>
      <c r="J140" s="5" t="s">
        <v>14</v>
      </c>
      <c r="K140" s="5">
        <v>72.0</v>
      </c>
      <c r="L140" s="5">
        <v>0.80316</v>
      </c>
      <c r="M140" s="5">
        <v>-1.55373</v>
      </c>
      <c r="N140" s="5">
        <v>-0.75057</v>
      </c>
      <c r="O140" s="5">
        <v>0.02733</v>
      </c>
    </row>
    <row r="141">
      <c r="A141" s="12" t="str">
        <f>IFERROR(__xludf.DUMMYFUNCTION("""COMPUTED_VALUE"""),"")</f>
        <v/>
      </c>
      <c r="B141" s="13" t="str">
        <f>IFERROR(__xludf.DUMMYFUNCTION("""COMPUTED_VALUE"""),"")</f>
        <v/>
      </c>
      <c r="C141" s="14" t="str">
        <f>IFERROR(__xludf.DUMMYFUNCTION("""COMPUTED_VALUE"""),"")</f>
        <v/>
      </c>
      <c r="D141" s="15" t="str">
        <f>IFERROR(__xludf.DUMMYFUNCTION("""COMPUTED_VALUE"""),"")</f>
        <v/>
      </c>
      <c r="E141" s="15" t="str">
        <f>IFERROR(__xludf.DUMMYFUNCTION("""COMPUTED_VALUE"""),"")</f>
        <v/>
      </c>
      <c r="F141" s="15" t="str">
        <f>IFERROR(__xludf.DUMMYFUNCTION("""COMPUTED_VALUE"""),"")</f>
        <v/>
      </c>
      <c r="G141" s="16" t="str">
        <f>IFERROR(__xludf.DUMMYFUNCTION("""COMPUTED_VALUE"""),"")</f>
        <v/>
      </c>
      <c r="H141" s="4"/>
      <c r="I141" s="5" t="s">
        <v>211</v>
      </c>
      <c r="J141" s="5" t="s">
        <v>14</v>
      </c>
      <c r="K141" s="5">
        <v>699.2</v>
      </c>
      <c r="L141" s="5">
        <v>-0.80658</v>
      </c>
      <c r="M141" s="5">
        <v>0.00437</v>
      </c>
      <c r="N141" s="5">
        <v>-0.80221</v>
      </c>
      <c r="O141" s="5">
        <v>0.25447</v>
      </c>
    </row>
    <row r="142">
      <c r="A142" s="18" t="str">
        <f>IFERROR(__xludf.DUMMYFUNCTION("""COMPUTED_VALUE"""),"")</f>
        <v/>
      </c>
      <c r="B142" s="19" t="str">
        <f>IFERROR(__xludf.DUMMYFUNCTION("""COMPUTED_VALUE"""),"")</f>
        <v/>
      </c>
      <c r="C142" s="20" t="str">
        <f>IFERROR(__xludf.DUMMYFUNCTION("""COMPUTED_VALUE"""),"")</f>
        <v/>
      </c>
      <c r="D142" s="21" t="str">
        <f>IFERROR(__xludf.DUMMYFUNCTION("""COMPUTED_VALUE"""),"")</f>
        <v/>
      </c>
      <c r="E142" s="21" t="str">
        <f>IFERROR(__xludf.DUMMYFUNCTION("""COMPUTED_VALUE"""),"")</f>
        <v/>
      </c>
      <c r="F142" s="21" t="str">
        <f>IFERROR(__xludf.DUMMYFUNCTION("""COMPUTED_VALUE"""),"")</f>
        <v/>
      </c>
      <c r="G142" s="22" t="str">
        <f>IFERROR(__xludf.DUMMYFUNCTION("""COMPUTED_VALUE"""),"")</f>
        <v/>
      </c>
      <c r="H142" s="4"/>
      <c r="I142" s="5" t="s">
        <v>346</v>
      </c>
      <c r="J142" s="5" t="s">
        <v>76</v>
      </c>
      <c r="K142" s="5">
        <v>47.1</v>
      </c>
      <c r="L142" s="5">
        <v>-0.65589</v>
      </c>
      <c r="M142" s="5">
        <v>-0.17215</v>
      </c>
      <c r="N142" s="5">
        <v>-0.82804</v>
      </c>
      <c r="O142" s="5">
        <v>0.01706</v>
      </c>
    </row>
    <row r="143">
      <c r="A143" s="12" t="str">
        <f>IFERROR(__xludf.DUMMYFUNCTION("""COMPUTED_VALUE"""),"")</f>
        <v/>
      </c>
      <c r="B143" s="13" t="str">
        <f>IFERROR(__xludf.DUMMYFUNCTION("""COMPUTED_VALUE"""),"")</f>
        <v/>
      </c>
      <c r="C143" s="14" t="str">
        <f>IFERROR(__xludf.DUMMYFUNCTION("""COMPUTED_VALUE"""),"")</f>
        <v/>
      </c>
      <c r="D143" s="15" t="str">
        <f>IFERROR(__xludf.DUMMYFUNCTION("""COMPUTED_VALUE"""),"")</f>
        <v/>
      </c>
      <c r="E143" s="15" t="str">
        <f>IFERROR(__xludf.DUMMYFUNCTION("""COMPUTED_VALUE"""),"")</f>
        <v/>
      </c>
      <c r="F143" s="15" t="str">
        <f>IFERROR(__xludf.DUMMYFUNCTION("""COMPUTED_VALUE"""),"")</f>
        <v/>
      </c>
      <c r="G143" s="16" t="str">
        <f>IFERROR(__xludf.DUMMYFUNCTION("""COMPUTED_VALUE"""),"")</f>
        <v/>
      </c>
      <c r="H143" s="4"/>
      <c r="I143" s="5" t="s">
        <v>348</v>
      </c>
      <c r="J143" s="5" t="s">
        <v>30</v>
      </c>
      <c r="K143" s="5">
        <v>592.2</v>
      </c>
      <c r="L143" s="5">
        <v>-1.18034</v>
      </c>
      <c r="M143" s="5">
        <v>0.33784</v>
      </c>
      <c r="N143" s="5">
        <v>-0.8425</v>
      </c>
      <c r="O143" s="5">
        <v>0.21046</v>
      </c>
    </row>
    <row r="144">
      <c r="A144" s="18" t="str">
        <f>IFERROR(__xludf.DUMMYFUNCTION("""COMPUTED_VALUE"""),"")</f>
        <v/>
      </c>
      <c r="B144" s="19" t="str">
        <f>IFERROR(__xludf.DUMMYFUNCTION("""COMPUTED_VALUE"""),"")</f>
        <v/>
      </c>
      <c r="C144" s="20" t="str">
        <f>IFERROR(__xludf.DUMMYFUNCTION("""COMPUTED_VALUE"""),"")</f>
        <v/>
      </c>
      <c r="D144" s="21" t="str">
        <f>IFERROR(__xludf.DUMMYFUNCTION("""COMPUTED_VALUE"""),"")</f>
        <v/>
      </c>
      <c r="E144" s="21" t="str">
        <f>IFERROR(__xludf.DUMMYFUNCTION("""COMPUTED_VALUE"""),"")</f>
        <v/>
      </c>
      <c r="F144" s="21" t="str">
        <f>IFERROR(__xludf.DUMMYFUNCTION("""COMPUTED_VALUE"""),"")</f>
        <v/>
      </c>
      <c r="G144" s="22" t="str">
        <f>IFERROR(__xludf.DUMMYFUNCTION("""COMPUTED_VALUE"""),"")</f>
        <v/>
      </c>
      <c r="H144" s="4"/>
      <c r="I144" s="5" t="s">
        <v>237</v>
      </c>
      <c r="J144" s="5" t="s">
        <v>59</v>
      </c>
      <c r="K144" s="5">
        <v>294.3</v>
      </c>
      <c r="L144" s="5">
        <v>0.53643</v>
      </c>
      <c r="M144" s="5">
        <v>-1.39462</v>
      </c>
      <c r="N144" s="5">
        <v>-0.85819</v>
      </c>
      <c r="O144" s="5">
        <v>0.10159</v>
      </c>
    </row>
    <row r="145">
      <c r="A145" s="12" t="str">
        <f>IFERROR(__xludf.DUMMYFUNCTION("""COMPUTED_VALUE"""),"")</f>
        <v/>
      </c>
      <c r="B145" s="13" t="str">
        <f>IFERROR(__xludf.DUMMYFUNCTION("""COMPUTED_VALUE"""),"")</f>
        <v/>
      </c>
      <c r="C145" s="14" t="str">
        <f>IFERROR(__xludf.DUMMYFUNCTION("""COMPUTED_VALUE"""),"")</f>
        <v/>
      </c>
      <c r="D145" s="15" t="str">
        <f>IFERROR(__xludf.DUMMYFUNCTION("""COMPUTED_VALUE"""),"")</f>
        <v/>
      </c>
      <c r="E145" s="15" t="str">
        <f>IFERROR(__xludf.DUMMYFUNCTION("""COMPUTED_VALUE"""),"")</f>
        <v/>
      </c>
      <c r="F145" s="15" t="str">
        <f>IFERROR(__xludf.DUMMYFUNCTION("""COMPUTED_VALUE"""),"")</f>
        <v/>
      </c>
      <c r="G145" s="16" t="str">
        <f>IFERROR(__xludf.DUMMYFUNCTION("""COMPUTED_VALUE"""),"")</f>
        <v/>
      </c>
      <c r="H145" s="4"/>
      <c r="I145" s="5" t="s">
        <v>353</v>
      </c>
      <c r="J145" s="5" t="s">
        <v>118</v>
      </c>
      <c r="K145" s="5">
        <v>514.9</v>
      </c>
      <c r="L145" s="5">
        <v>2.39769</v>
      </c>
      <c r="M145" s="5">
        <v>-3.26792</v>
      </c>
      <c r="N145" s="5">
        <v>-0.87023</v>
      </c>
      <c r="O145" s="5">
        <v>0.17446</v>
      </c>
    </row>
    <row r="146">
      <c r="A146" s="18" t="str">
        <f>IFERROR(__xludf.DUMMYFUNCTION("""COMPUTED_VALUE"""),"")</f>
        <v/>
      </c>
      <c r="B146" s="19" t="str">
        <f>IFERROR(__xludf.DUMMYFUNCTION("""COMPUTED_VALUE"""),"")</f>
        <v/>
      </c>
      <c r="C146" s="20" t="str">
        <f>IFERROR(__xludf.DUMMYFUNCTION("""COMPUTED_VALUE"""),"")</f>
        <v/>
      </c>
      <c r="D146" s="21" t="str">
        <f>IFERROR(__xludf.DUMMYFUNCTION("""COMPUTED_VALUE"""),"")</f>
        <v/>
      </c>
      <c r="E146" s="21" t="str">
        <f>IFERROR(__xludf.DUMMYFUNCTION("""COMPUTED_VALUE"""),"")</f>
        <v/>
      </c>
      <c r="F146" s="21" t="str">
        <f>IFERROR(__xludf.DUMMYFUNCTION("""COMPUTED_VALUE"""),"")</f>
        <v/>
      </c>
      <c r="G146" s="22" t="str">
        <f>IFERROR(__xludf.DUMMYFUNCTION("""COMPUTED_VALUE"""),"")</f>
        <v/>
      </c>
      <c r="H146" s="4"/>
      <c r="I146" s="5" t="s">
        <v>355</v>
      </c>
      <c r="J146" s="5" t="s">
        <v>51</v>
      </c>
      <c r="K146" s="5">
        <v>674.7</v>
      </c>
      <c r="L146" s="5">
        <v>-0.49157</v>
      </c>
      <c r="M146" s="5">
        <v>-0.41885</v>
      </c>
      <c r="N146" s="5">
        <v>-0.91042</v>
      </c>
      <c r="O146" s="5">
        <v>0.22415</v>
      </c>
    </row>
    <row r="147">
      <c r="A147" s="12" t="str">
        <f>IFERROR(__xludf.DUMMYFUNCTION("""COMPUTED_VALUE"""),"")</f>
        <v/>
      </c>
      <c r="B147" s="13" t="str">
        <f>IFERROR(__xludf.DUMMYFUNCTION("""COMPUTED_VALUE"""),"")</f>
        <v/>
      </c>
      <c r="C147" s="14" t="str">
        <f>IFERROR(__xludf.DUMMYFUNCTION("""COMPUTED_VALUE"""),"")</f>
        <v/>
      </c>
      <c r="D147" s="15" t="str">
        <f>IFERROR(__xludf.DUMMYFUNCTION("""COMPUTED_VALUE"""),"")</f>
        <v/>
      </c>
      <c r="E147" s="15" t="str">
        <f>IFERROR(__xludf.DUMMYFUNCTION("""COMPUTED_VALUE"""),"")</f>
        <v/>
      </c>
      <c r="F147" s="15" t="str">
        <f>IFERROR(__xludf.DUMMYFUNCTION("""COMPUTED_VALUE"""),"")</f>
        <v/>
      </c>
      <c r="G147" s="16" t="str">
        <f>IFERROR(__xludf.DUMMYFUNCTION("""COMPUTED_VALUE"""),"")</f>
        <v/>
      </c>
      <c r="H147" s="4"/>
      <c r="I147" s="5" t="s">
        <v>358</v>
      </c>
      <c r="J147" s="5" t="s">
        <v>19</v>
      </c>
      <c r="K147" s="5">
        <v>269.5</v>
      </c>
      <c r="L147" s="5">
        <v>-1.78163</v>
      </c>
      <c r="M147" s="5">
        <v>0.8636</v>
      </c>
      <c r="N147" s="5">
        <v>-0.91803</v>
      </c>
      <c r="O147" s="5">
        <v>0.08793</v>
      </c>
    </row>
    <row r="148">
      <c r="A148" s="18" t="str">
        <f>IFERROR(__xludf.DUMMYFUNCTION("""COMPUTED_VALUE"""),"")</f>
        <v/>
      </c>
      <c r="B148" s="19" t="str">
        <f>IFERROR(__xludf.DUMMYFUNCTION("""COMPUTED_VALUE"""),"")</f>
        <v/>
      </c>
      <c r="C148" s="20" t="str">
        <f>IFERROR(__xludf.DUMMYFUNCTION("""COMPUTED_VALUE"""),"")</f>
        <v/>
      </c>
      <c r="D148" s="21" t="str">
        <f>IFERROR(__xludf.DUMMYFUNCTION("""COMPUTED_VALUE"""),"")</f>
        <v/>
      </c>
      <c r="E148" s="21" t="str">
        <f>IFERROR(__xludf.DUMMYFUNCTION("""COMPUTED_VALUE"""),"")</f>
        <v/>
      </c>
      <c r="F148" s="21" t="str">
        <f>IFERROR(__xludf.DUMMYFUNCTION("""COMPUTED_VALUE"""),"")</f>
        <v/>
      </c>
      <c r="G148" s="22" t="str">
        <f>IFERROR(__xludf.DUMMYFUNCTION("""COMPUTED_VALUE"""),"")</f>
        <v/>
      </c>
      <c r="H148" s="4"/>
      <c r="I148" s="5" t="s">
        <v>361</v>
      </c>
      <c r="J148" s="5" t="s">
        <v>137</v>
      </c>
      <c r="K148" s="5">
        <v>363.4</v>
      </c>
      <c r="L148" s="5">
        <v>-0.14777</v>
      </c>
      <c r="M148" s="5">
        <v>-0.83652</v>
      </c>
      <c r="N148" s="5">
        <v>-0.98429</v>
      </c>
      <c r="O148" s="5">
        <v>0.11253</v>
      </c>
    </row>
    <row r="149">
      <c r="A149" s="12" t="str">
        <f>IFERROR(__xludf.DUMMYFUNCTION("""COMPUTED_VALUE"""),"")</f>
        <v/>
      </c>
      <c r="B149" s="13" t="str">
        <f>IFERROR(__xludf.DUMMYFUNCTION("""COMPUTED_VALUE"""),"")</f>
        <v/>
      </c>
      <c r="C149" s="14" t="str">
        <f>IFERROR(__xludf.DUMMYFUNCTION("""COMPUTED_VALUE"""),"")</f>
        <v/>
      </c>
      <c r="D149" s="15" t="str">
        <f>IFERROR(__xludf.DUMMYFUNCTION("""COMPUTED_VALUE"""),"")</f>
        <v/>
      </c>
      <c r="E149" s="15" t="str">
        <f>IFERROR(__xludf.DUMMYFUNCTION("""COMPUTED_VALUE"""),"")</f>
        <v/>
      </c>
      <c r="F149" s="15" t="str">
        <f>IFERROR(__xludf.DUMMYFUNCTION("""COMPUTED_VALUE"""),"")</f>
        <v/>
      </c>
      <c r="G149" s="16" t="str">
        <f>IFERROR(__xludf.DUMMYFUNCTION("""COMPUTED_VALUE"""),"")</f>
        <v/>
      </c>
      <c r="H149" s="4"/>
      <c r="I149" s="5" t="s">
        <v>364</v>
      </c>
      <c r="J149" s="5" t="s">
        <v>64</v>
      </c>
      <c r="K149" s="5">
        <v>113.0</v>
      </c>
      <c r="L149" s="5">
        <v>-0.84485</v>
      </c>
      <c r="M149" s="5">
        <v>-0.14154</v>
      </c>
      <c r="N149" s="5">
        <v>-0.98639</v>
      </c>
      <c r="O149" s="5">
        <v>0.0348</v>
      </c>
    </row>
    <row r="150">
      <c r="A150" s="18" t="str">
        <f>IFERROR(__xludf.DUMMYFUNCTION("""COMPUTED_VALUE"""),"")</f>
        <v/>
      </c>
      <c r="B150" s="19" t="str">
        <f>IFERROR(__xludf.DUMMYFUNCTION("""COMPUTED_VALUE"""),"")</f>
        <v/>
      </c>
      <c r="C150" s="20" t="str">
        <f>IFERROR(__xludf.DUMMYFUNCTION("""COMPUTED_VALUE"""),"")</f>
        <v/>
      </c>
      <c r="D150" s="21" t="str">
        <f>IFERROR(__xludf.DUMMYFUNCTION("""COMPUTED_VALUE"""),"")</f>
        <v/>
      </c>
      <c r="E150" s="21" t="str">
        <f>IFERROR(__xludf.DUMMYFUNCTION("""COMPUTED_VALUE"""),"")</f>
        <v/>
      </c>
      <c r="F150" s="21" t="str">
        <f>IFERROR(__xludf.DUMMYFUNCTION("""COMPUTED_VALUE"""),"")</f>
        <v/>
      </c>
      <c r="G150" s="22" t="str">
        <f>IFERROR(__xludf.DUMMYFUNCTION("""COMPUTED_VALUE"""),"")</f>
        <v/>
      </c>
      <c r="H150" s="4"/>
      <c r="I150" s="5" t="s">
        <v>367</v>
      </c>
      <c r="J150" s="5" t="s">
        <v>60</v>
      </c>
      <c r="K150" s="5">
        <v>34.1</v>
      </c>
      <c r="L150" s="5">
        <v>-0.96866</v>
      </c>
      <c r="M150" s="5">
        <v>-0.03638</v>
      </c>
      <c r="N150" s="5">
        <v>-1.00504</v>
      </c>
      <c r="O150" s="5">
        <v>0.01034</v>
      </c>
    </row>
    <row r="151">
      <c r="A151" s="12" t="str">
        <f>IFERROR(__xludf.DUMMYFUNCTION("""COMPUTED_VALUE"""),"")</f>
        <v/>
      </c>
      <c r="B151" s="13" t="str">
        <f>IFERROR(__xludf.DUMMYFUNCTION("""COMPUTED_VALUE"""),"")</f>
        <v/>
      </c>
      <c r="C151" s="14" t="str">
        <f>IFERROR(__xludf.DUMMYFUNCTION("""COMPUTED_VALUE"""),"")</f>
        <v/>
      </c>
      <c r="D151" s="15" t="str">
        <f>IFERROR(__xludf.DUMMYFUNCTION("""COMPUTED_VALUE"""),"")</f>
        <v/>
      </c>
      <c r="E151" s="15" t="str">
        <f>IFERROR(__xludf.DUMMYFUNCTION("""COMPUTED_VALUE"""),"")</f>
        <v/>
      </c>
      <c r="F151" s="15" t="str">
        <f>IFERROR(__xludf.DUMMYFUNCTION("""COMPUTED_VALUE"""),"")</f>
        <v/>
      </c>
      <c r="G151" s="16" t="str">
        <f>IFERROR(__xludf.DUMMYFUNCTION("""COMPUTED_VALUE"""),"")</f>
        <v/>
      </c>
      <c r="H151" s="4"/>
      <c r="I151" s="5" t="s">
        <v>369</v>
      </c>
      <c r="J151" s="5" t="s">
        <v>137</v>
      </c>
      <c r="K151" s="5">
        <v>191.0</v>
      </c>
      <c r="L151" s="5">
        <v>0.25334</v>
      </c>
      <c r="M151" s="5">
        <v>-1.27165</v>
      </c>
      <c r="N151" s="5">
        <v>-1.01831</v>
      </c>
      <c r="O151" s="5">
        <v>0.05717</v>
      </c>
    </row>
    <row r="152">
      <c r="A152" s="18" t="str">
        <f>IFERROR(__xludf.DUMMYFUNCTION("""COMPUTED_VALUE"""),"")</f>
        <v/>
      </c>
      <c r="B152" s="19" t="str">
        <f>IFERROR(__xludf.DUMMYFUNCTION("""COMPUTED_VALUE"""),"")</f>
        <v/>
      </c>
      <c r="C152" s="20" t="str">
        <f>IFERROR(__xludf.DUMMYFUNCTION("""COMPUTED_VALUE"""),"")</f>
        <v/>
      </c>
      <c r="D152" s="21" t="str">
        <f>IFERROR(__xludf.DUMMYFUNCTION("""COMPUTED_VALUE"""),"")</f>
        <v/>
      </c>
      <c r="E152" s="21" t="str">
        <f>IFERROR(__xludf.DUMMYFUNCTION("""COMPUTED_VALUE"""),"")</f>
        <v/>
      </c>
      <c r="F152" s="21" t="str">
        <f>IFERROR(__xludf.DUMMYFUNCTION("""COMPUTED_VALUE"""),"")</f>
        <v/>
      </c>
      <c r="G152" s="22" t="str">
        <f>IFERROR(__xludf.DUMMYFUNCTION("""COMPUTED_VALUE"""),"")</f>
        <v/>
      </c>
      <c r="H152" s="4"/>
      <c r="I152" s="5" t="s">
        <v>372</v>
      </c>
      <c r="J152" s="5" t="s">
        <v>41</v>
      </c>
      <c r="K152" s="5">
        <v>45.9</v>
      </c>
      <c r="L152" s="5">
        <v>-1.05996</v>
      </c>
      <c r="M152" s="5">
        <v>0.03721</v>
      </c>
      <c r="N152" s="5">
        <v>-1.02275</v>
      </c>
      <c r="O152" s="5">
        <v>0.01368</v>
      </c>
    </row>
    <row r="153">
      <c r="A153" s="12" t="str">
        <f>IFERROR(__xludf.DUMMYFUNCTION("""COMPUTED_VALUE"""),"")</f>
        <v/>
      </c>
      <c r="B153" s="13" t="str">
        <f>IFERROR(__xludf.DUMMYFUNCTION("""COMPUTED_VALUE"""),"")</f>
        <v/>
      </c>
      <c r="C153" s="14" t="str">
        <f>IFERROR(__xludf.DUMMYFUNCTION("""COMPUTED_VALUE"""),"")</f>
        <v/>
      </c>
      <c r="D153" s="15" t="str">
        <f>IFERROR(__xludf.DUMMYFUNCTION("""COMPUTED_VALUE"""),"")</f>
        <v/>
      </c>
      <c r="E153" s="15" t="str">
        <f>IFERROR(__xludf.DUMMYFUNCTION("""COMPUTED_VALUE"""),"")</f>
        <v/>
      </c>
      <c r="F153" s="15" t="str">
        <f>IFERROR(__xludf.DUMMYFUNCTION("""COMPUTED_VALUE"""),"")</f>
        <v/>
      </c>
      <c r="G153" s="16" t="str">
        <f>IFERROR(__xludf.DUMMYFUNCTION("""COMPUTED_VALUE"""),"")</f>
        <v/>
      </c>
      <c r="H153" s="4"/>
      <c r="I153" s="5" t="s">
        <v>374</v>
      </c>
      <c r="J153" s="5" t="s">
        <v>30</v>
      </c>
      <c r="K153" s="5">
        <v>161.4</v>
      </c>
      <c r="L153" s="5">
        <v>-1.80984</v>
      </c>
      <c r="M153" s="5">
        <v>0.78654</v>
      </c>
      <c r="N153" s="5">
        <v>-1.0233</v>
      </c>
      <c r="O153" s="5">
        <v>0.0484</v>
      </c>
    </row>
    <row r="154">
      <c r="A154" s="18" t="str">
        <f>IFERROR(__xludf.DUMMYFUNCTION("""COMPUTED_VALUE"""),"")</f>
        <v/>
      </c>
      <c r="B154" s="19" t="str">
        <f>IFERROR(__xludf.DUMMYFUNCTION("""COMPUTED_VALUE"""),"")</f>
        <v/>
      </c>
      <c r="C154" s="20" t="str">
        <f>IFERROR(__xludf.DUMMYFUNCTION("""COMPUTED_VALUE"""),"")</f>
        <v/>
      </c>
      <c r="D154" s="21" t="str">
        <f>IFERROR(__xludf.DUMMYFUNCTION("""COMPUTED_VALUE"""),"")</f>
        <v/>
      </c>
      <c r="E154" s="21" t="str">
        <f>IFERROR(__xludf.DUMMYFUNCTION("""COMPUTED_VALUE"""),"")</f>
        <v/>
      </c>
      <c r="F154" s="21" t="str">
        <f>IFERROR(__xludf.DUMMYFUNCTION("""COMPUTED_VALUE"""),"")</f>
        <v/>
      </c>
      <c r="G154" s="22" t="str">
        <f>IFERROR(__xludf.DUMMYFUNCTION("""COMPUTED_VALUE"""),"")</f>
        <v/>
      </c>
      <c r="H154" s="4"/>
      <c r="I154" s="5" t="s">
        <v>375</v>
      </c>
      <c r="J154" s="5" t="s">
        <v>118</v>
      </c>
      <c r="K154" s="5">
        <v>798.1</v>
      </c>
      <c r="L154" s="5">
        <v>0.48327</v>
      </c>
      <c r="M154" s="5">
        <v>-1.51118</v>
      </c>
      <c r="N154" s="5">
        <v>-1.02791</v>
      </c>
      <c r="O154" s="5">
        <v>0.23267</v>
      </c>
    </row>
    <row r="155">
      <c r="A155" s="12" t="str">
        <f>IFERROR(__xludf.DUMMYFUNCTION("""COMPUTED_VALUE"""),"")</f>
        <v/>
      </c>
      <c r="B155" s="13" t="str">
        <f>IFERROR(__xludf.DUMMYFUNCTION("""COMPUTED_VALUE"""),"")</f>
        <v/>
      </c>
      <c r="C155" s="14" t="str">
        <f>IFERROR(__xludf.DUMMYFUNCTION("""COMPUTED_VALUE"""),"")</f>
        <v/>
      </c>
      <c r="D155" s="15" t="str">
        <f>IFERROR(__xludf.DUMMYFUNCTION("""COMPUTED_VALUE"""),"")</f>
        <v/>
      </c>
      <c r="E155" s="15" t="str">
        <f>IFERROR(__xludf.DUMMYFUNCTION("""COMPUTED_VALUE"""),"")</f>
        <v/>
      </c>
      <c r="F155" s="15" t="str">
        <f>IFERROR(__xludf.DUMMYFUNCTION("""COMPUTED_VALUE"""),"")</f>
        <v/>
      </c>
      <c r="G155" s="16" t="str">
        <f>IFERROR(__xludf.DUMMYFUNCTION("""COMPUTED_VALUE"""),"")</f>
        <v/>
      </c>
      <c r="H155" s="4"/>
      <c r="I155" s="5" t="s">
        <v>378</v>
      </c>
      <c r="J155" s="5" t="s">
        <v>76</v>
      </c>
      <c r="K155" s="5">
        <v>37.1</v>
      </c>
      <c r="L155" s="5">
        <v>-0.8317</v>
      </c>
      <c r="M155" s="5">
        <v>-0.20072</v>
      </c>
      <c r="N155" s="5">
        <v>-1.03242</v>
      </c>
      <c r="O155" s="5">
        <v>0.01109</v>
      </c>
    </row>
    <row r="156">
      <c r="A156" s="18" t="str">
        <f>IFERROR(__xludf.DUMMYFUNCTION("""COMPUTED_VALUE"""),"")</f>
        <v/>
      </c>
      <c r="B156" s="19" t="str">
        <f>IFERROR(__xludf.DUMMYFUNCTION("""COMPUTED_VALUE"""),"")</f>
        <v/>
      </c>
      <c r="C156" s="20" t="str">
        <f>IFERROR(__xludf.DUMMYFUNCTION("""COMPUTED_VALUE"""),"")</f>
        <v/>
      </c>
      <c r="D156" s="21" t="str">
        <f>IFERROR(__xludf.DUMMYFUNCTION("""COMPUTED_VALUE"""),"")</f>
        <v/>
      </c>
      <c r="E156" s="21" t="str">
        <f>IFERROR(__xludf.DUMMYFUNCTION("""COMPUTED_VALUE"""),"")</f>
        <v/>
      </c>
      <c r="F156" s="21" t="str">
        <f>IFERROR(__xludf.DUMMYFUNCTION("""COMPUTED_VALUE"""),"")</f>
        <v/>
      </c>
      <c r="G156" s="22" t="str">
        <f>IFERROR(__xludf.DUMMYFUNCTION("""COMPUTED_VALUE"""),"")</f>
        <v/>
      </c>
      <c r="H156" s="4"/>
      <c r="I156" s="5" t="s">
        <v>381</v>
      </c>
      <c r="J156" s="5" t="s">
        <v>60</v>
      </c>
      <c r="K156" s="5">
        <v>35.3</v>
      </c>
      <c r="L156" s="5">
        <v>-0.62554</v>
      </c>
      <c r="M156" s="5">
        <v>-0.40779</v>
      </c>
      <c r="N156" s="5">
        <v>-1.03333</v>
      </c>
      <c r="O156" s="5">
        <v>0.0104</v>
      </c>
    </row>
    <row r="157">
      <c r="A157" s="12" t="str">
        <f>IFERROR(__xludf.DUMMYFUNCTION("""COMPUTED_VALUE"""),"")</f>
        <v/>
      </c>
      <c r="B157" s="13" t="str">
        <f>IFERROR(__xludf.DUMMYFUNCTION("""COMPUTED_VALUE"""),"")</f>
        <v/>
      </c>
      <c r="C157" s="14" t="str">
        <f>IFERROR(__xludf.DUMMYFUNCTION("""COMPUTED_VALUE"""),"")</f>
        <v/>
      </c>
      <c r="D157" s="15" t="str">
        <f>IFERROR(__xludf.DUMMYFUNCTION("""COMPUTED_VALUE"""),"")</f>
        <v/>
      </c>
      <c r="E157" s="15" t="str">
        <f>IFERROR(__xludf.DUMMYFUNCTION("""COMPUTED_VALUE"""),"")</f>
        <v/>
      </c>
      <c r="F157" s="15" t="str">
        <f>IFERROR(__xludf.DUMMYFUNCTION("""COMPUTED_VALUE"""),"")</f>
        <v/>
      </c>
      <c r="G157" s="16" t="str">
        <f>IFERROR(__xludf.DUMMYFUNCTION("""COMPUTED_VALUE"""),"")</f>
        <v/>
      </c>
      <c r="H157" s="4"/>
      <c r="I157" s="5" t="s">
        <v>384</v>
      </c>
      <c r="J157" s="5" t="s">
        <v>59</v>
      </c>
      <c r="K157" s="5">
        <v>559.2</v>
      </c>
      <c r="L157" s="5">
        <v>-1.93302</v>
      </c>
      <c r="M157" s="5">
        <v>0.8894</v>
      </c>
      <c r="N157" s="5">
        <v>-1.04362</v>
      </c>
      <c r="O157" s="5">
        <v>0.16169</v>
      </c>
    </row>
    <row r="158">
      <c r="A158" s="18" t="str">
        <f>IFERROR(__xludf.DUMMYFUNCTION("""COMPUTED_VALUE"""),"")</f>
        <v/>
      </c>
      <c r="B158" s="19" t="str">
        <f>IFERROR(__xludf.DUMMYFUNCTION("""COMPUTED_VALUE"""),"")</f>
        <v/>
      </c>
      <c r="C158" s="20" t="str">
        <f>IFERROR(__xludf.DUMMYFUNCTION("""COMPUTED_VALUE"""),"")</f>
        <v/>
      </c>
      <c r="D158" s="21" t="str">
        <f>IFERROR(__xludf.DUMMYFUNCTION("""COMPUTED_VALUE"""),"")</f>
        <v/>
      </c>
      <c r="E158" s="21" t="str">
        <f>IFERROR(__xludf.DUMMYFUNCTION("""COMPUTED_VALUE"""),"")</f>
        <v/>
      </c>
      <c r="F158" s="21" t="str">
        <f>IFERROR(__xludf.DUMMYFUNCTION("""COMPUTED_VALUE"""),"")</f>
        <v/>
      </c>
      <c r="G158" s="22" t="str">
        <f>IFERROR(__xludf.DUMMYFUNCTION("""COMPUTED_VALUE"""),"")</f>
        <v/>
      </c>
      <c r="H158" s="4"/>
      <c r="I158" s="5" t="s">
        <v>387</v>
      </c>
      <c r="J158" s="5" t="s">
        <v>60</v>
      </c>
      <c r="K158" s="5">
        <v>10.9</v>
      </c>
      <c r="L158" s="5">
        <v>-0.83642</v>
      </c>
      <c r="M158" s="5">
        <v>-0.20954</v>
      </c>
      <c r="N158" s="5">
        <v>-1.04596</v>
      </c>
      <c r="O158" s="5">
        <v>0.00317</v>
      </c>
    </row>
    <row r="159">
      <c r="A159" s="12" t="str">
        <f>IFERROR(__xludf.DUMMYFUNCTION("""COMPUTED_VALUE"""),"")</f>
        <v/>
      </c>
      <c r="B159" s="13" t="str">
        <f>IFERROR(__xludf.DUMMYFUNCTION("""COMPUTED_VALUE"""),"")</f>
        <v/>
      </c>
      <c r="C159" s="14" t="str">
        <f>IFERROR(__xludf.DUMMYFUNCTION("""COMPUTED_VALUE"""),"")</f>
        <v/>
      </c>
      <c r="D159" s="15" t="str">
        <f>IFERROR(__xludf.DUMMYFUNCTION("""COMPUTED_VALUE"""),"")</f>
        <v/>
      </c>
      <c r="E159" s="15" t="str">
        <f>IFERROR(__xludf.DUMMYFUNCTION("""COMPUTED_VALUE"""),"")</f>
        <v/>
      </c>
      <c r="F159" s="15" t="str">
        <f>IFERROR(__xludf.DUMMYFUNCTION("""COMPUTED_VALUE"""),"")</f>
        <v/>
      </c>
      <c r="G159" s="16" t="str">
        <f>IFERROR(__xludf.DUMMYFUNCTION("""COMPUTED_VALUE"""),"")</f>
        <v/>
      </c>
      <c r="H159" s="4"/>
      <c r="I159" s="5" t="s">
        <v>389</v>
      </c>
      <c r="J159" s="5" t="s">
        <v>64</v>
      </c>
      <c r="K159" s="5">
        <v>599.4</v>
      </c>
      <c r="L159" s="5">
        <v>-1.14247</v>
      </c>
      <c r="M159" s="5">
        <v>0.05507</v>
      </c>
      <c r="N159" s="5">
        <v>-1.0874</v>
      </c>
      <c r="O159" s="5">
        <v>0.16677</v>
      </c>
    </row>
    <row r="160">
      <c r="A160" s="18" t="str">
        <f>IFERROR(__xludf.DUMMYFUNCTION("""COMPUTED_VALUE"""),"")</f>
        <v/>
      </c>
      <c r="B160" s="19" t="str">
        <f>IFERROR(__xludf.DUMMYFUNCTION("""COMPUTED_VALUE"""),"")</f>
        <v/>
      </c>
      <c r="C160" s="20" t="str">
        <f>IFERROR(__xludf.DUMMYFUNCTION("""COMPUTED_VALUE"""),"")</f>
        <v/>
      </c>
      <c r="D160" s="21" t="str">
        <f>IFERROR(__xludf.DUMMYFUNCTION("""COMPUTED_VALUE"""),"")</f>
        <v/>
      </c>
      <c r="E160" s="21" t="str">
        <f>IFERROR(__xludf.DUMMYFUNCTION("""COMPUTED_VALUE"""),"")</f>
        <v/>
      </c>
      <c r="F160" s="21" t="str">
        <f>IFERROR(__xludf.DUMMYFUNCTION("""COMPUTED_VALUE"""),"")</f>
        <v/>
      </c>
      <c r="G160" s="22" t="str">
        <f>IFERROR(__xludf.DUMMYFUNCTION("""COMPUTED_VALUE"""),"")</f>
        <v/>
      </c>
      <c r="H160" s="4"/>
      <c r="I160" s="5" t="s">
        <v>391</v>
      </c>
      <c r="J160" s="5" t="s">
        <v>36</v>
      </c>
      <c r="K160" s="5">
        <v>68.4</v>
      </c>
      <c r="L160" s="5">
        <v>-0.95065</v>
      </c>
      <c r="M160" s="5">
        <v>-0.14936</v>
      </c>
      <c r="N160" s="5">
        <v>-1.10001</v>
      </c>
      <c r="O160" s="5">
        <v>0.01851</v>
      </c>
    </row>
    <row r="161">
      <c r="A161" s="12" t="str">
        <f>IFERROR(__xludf.DUMMYFUNCTION("""COMPUTED_VALUE"""),"")</f>
        <v/>
      </c>
      <c r="B161" s="13" t="str">
        <f>IFERROR(__xludf.DUMMYFUNCTION("""COMPUTED_VALUE"""),"")</f>
        <v/>
      </c>
      <c r="C161" s="14" t="str">
        <f>IFERROR(__xludf.DUMMYFUNCTION("""COMPUTED_VALUE"""),"")</f>
        <v/>
      </c>
      <c r="D161" s="15" t="str">
        <f>IFERROR(__xludf.DUMMYFUNCTION("""COMPUTED_VALUE"""),"")</f>
        <v/>
      </c>
      <c r="E161" s="15" t="str">
        <f>IFERROR(__xludf.DUMMYFUNCTION("""COMPUTED_VALUE"""),"")</f>
        <v/>
      </c>
      <c r="F161" s="15" t="str">
        <f>IFERROR(__xludf.DUMMYFUNCTION("""COMPUTED_VALUE"""),"")</f>
        <v/>
      </c>
      <c r="G161" s="16" t="str">
        <f>IFERROR(__xludf.DUMMYFUNCTION("""COMPUTED_VALUE"""),"")</f>
        <v/>
      </c>
      <c r="H161" s="4"/>
      <c r="I161" s="5" t="s">
        <v>147</v>
      </c>
      <c r="J161" s="5" t="s">
        <v>14</v>
      </c>
      <c r="K161" s="5">
        <v>284.0</v>
      </c>
      <c r="L161" s="5">
        <v>-1.78147</v>
      </c>
      <c r="M161" s="5">
        <v>0.67746</v>
      </c>
      <c r="N161" s="5">
        <v>-1.104</v>
      </c>
      <c r="O161" s="5">
        <v>0.07743</v>
      </c>
    </row>
    <row r="162">
      <c r="A162" s="18" t="str">
        <f>IFERROR(__xludf.DUMMYFUNCTION("""COMPUTED_VALUE"""),"")</f>
        <v/>
      </c>
      <c r="B162" s="19" t="str">
        <f>IFERROR(__xludf.DUMMYFUNCTION("""COMPUTED_VALUE"""),"")</f>
        <v/>
      </c>
      <c r="C162" s="20" t="str">
        <f>IFERROR(__xludf.DUMMYFUNCTION("""COMPUTED_VALUE"""),"")</f>
        <v/>
      </c>
      <c r="D162" s="21" t="str">
        <f>IFERROR(__xludf.DUMMYFUNCTION("""COMPUTED_VALUE"""),"")</f>
        <v/>
      </c>
      <c r="E162" s="21" t="str">
        <f>IFERROR(__xludf.DUMMYFUNCTION("""COMPUTED_VALUE"""),"")</f>
        <v/>
      </c>
      <c r="F162" s="21" t="str">
        <f>IFERROR(__xludf.DUMMYFUNCTION("""COMPUTED_VALUE"""),"")</f>
        <v/>
      </c>
      <c r="G162" s="22" t="str">
        <f>IFERROR(__xludf.DUMMYFUNCTION("""COMPUTED_VALUE"""),"")</f>
        <v/>
      </c>
      <c r="H162" s="4"/>
      <c r="I162" s="5" t="s">
        <v>394</v>
      </c>
      <c r="J162" s="5" t="s">
        <v>19</v>
      </c>
      <c r="K162" s="5">
        <v>372.7</v>
      </c>
      <c r="L162" s="5">
        <v>-2.95324</v>
      </c>
      <c r="M162" s="5">
        <v>1.83267</v>
      </c>
      <c r="N162" s="5">
        <v>-1.12057</v>
      </c>
      <c r="O162" s="5">
        <v>0.09884</v>
      </c>
    </row>
    <row r="163">
      <c r="A163" s="12" t="str">
        <f>IFERROR(__xludf.DUMMYFUNCTION("""COMPUTED_VALUE"""),"")</f>
        <v/>
      </c>
      <c r="B163" s="13" t="str">
        <f>IFERROR(__xludf.DUMMYFUNCTION("""COMPUTED_VALUE"""),"")</f>
        <v/>
      </c>
      <c r="C163" s="14" t="str">
        <f>IFERROR(__xludf.DUMMYFUNCTION("""COMPUTED_VALUE"""),"")</f>
        <v/>
      </c>
      <c r="D163" s="15" t="str">
        <f>IFERROR(__xludf.DUMMYFUNCTION("""COMPUTED_VALUE"""),"")</f>
        <v/>
      </c>
      <c r="E163" s="15" t="str">
        <f>IFERROR(__xludf.DUMMYFUNCTION("""COMPUTED_VALUE"""),"")</f>
        <v/>
      </c>
      <c r="F163" s="15" t="str">
        <f>IFERROR(__xludf.DUMMYFUNCTION("""COMPUTED_VALUE"""),"")</f>
        <v/>
      </c>
      <c r="G163" s="16" t="str">
        <f>IFERROR(__xludf.DUMMYFUNCTION("""COMPUTED_VALUE"""),"")</f>
        <v/>
      </c>
      <c r="H163" s="4"/>
      <c r="I163" s="5" t="s">
        <v>395</v>
      </c>
      <c r="J163" s="5" t="s">
        <v>14</v>
      </c>
      <c r="K163" s="5">
        <v>45.4</v>
      </c>
      <c r="L163" s="5">
        <v>-0.99487</v>
      </c>
      <c r="M163" s="5">
        <v>-0.14006</v>
      </c>
      <c r="N163" s="5">
        <v>-1.13492</v>
      </c>
      <c r="O163" s="5">
        <v>0.01193</v>
      </c>
    </row>
    <row r="164">
      <c r="A164" s="18" t="str">
        <f>IFERROR(__xludf.DUMMYFUNCTION("""COMPUTED_VALUE"""),"")</f>
        <v/>
      </c>
      <c r="B164" s="19" t="str">
        <f>IFERROR(__xludf.DUMMYFUNCTION("""COMPUTED_VALUE"""),"")</f>
        <v/>
      </c>
      <c r="C164" s="20" t="str">
        <f>IFERROR(__xludf.DUMMYFUNCTION("""COMPUTED_VALUE"""),"")</f>
        <v/>
      </c>
      <c r="D164" s="21" t="str">
        <f>IFERROR(__xludf.DUMMYFUNCTION("""COMPUTED_VALUE"""),"")</f>
        <v/>
      </c>
      <c r="E164" s="21" t="str">
        <f>IFERROR(__xludf.DUMMYFUNCTION("""COMPUTED_VALUE"""),"")</f>
        <v/>
      </c>
      <c r="F164" s="21" t="str">
        <f>IFERROR(__xludf.DUMMYFUNCTION("""COMPUTED_VALUE"""),"")</f>
        <v/>
      </c>
      <c r="G164" s="22" t="str">
        <f>IFERROR(__xludf.DUMMYFUNCTION("""COMPUTED_VALUE"""),"")</f>
        <v/>
      </c>
      <c r="H164" s="4"/>
      <c r="I164" s="5" t="s">
        <v>253</v>
      </c>
      <c r="J164" s="5" t="s">
        <v>59</v>
      </c>
      <c r="K164" s="5">
        <v>688.0</v>
      </c>
      <c r="L164" s="5">
        <v>2.0384</v>
      </c>
      <c r="M164" s="5">
        <v>-3.21128</v>
      </c>
      <c r="N164" s="5">
        <v>-1.17288</v>
      </c>
      <c r="O164" s="5">
        <v>0.17215</v>
      </c>
    </row>
    <row r="165">
      <c r="A165" s="12" t="str">
        <f>IFERROR(__xludf.DUMMYFUNCTION("""COMPUTED_VALUE"""),"")</f>
        <v/>
      </c>
      <c r="B165" s="13" t="str">
        <f>IFERROR(__xludf.DUMMYFUNCTION("""COMPUTED_VALUE"""),"")</f>
        <v/>
      </c>
      <c r="C165" s="14" t="str">
        <f>IFERROR(__xludf.DUMMYFUNCTION("""COMPUTED_VALUE"""),"")</f>
        <v/>
      </c>
      <c r="D165" s="15" t="str">
        <f>IFERROR(__xludf.DUMMYFUNCTION("""COMPUTED_VALUE"""),"")</f>
        <v/>
      </c>
      <c r="E165" s="15" t="str">
        <f>IFERROR(__xludf.DUMMYFUNCTION("""COMPUTED_VALUE"""),"")</f>
        <v/>
      </c>
      <c r="F165" s="15" t="str">
        <f>IFERROR(__xludf.DUMMYFUNCTION("""COMPUTED_VALUE"""),"")</f>
        <v/>
      </c>
      <c r="G165" s="16" t="str">
        <f>IFERROR(__xludf.DUMMYFUNCTION("""COMPUTED_VALUE"""),"")</f>
        <v/>
      </c>
      <c r="H165" s="4"/>
      <c r="I165" s="5" t="s">
        <v>144</v>
      </c>
      <c r="J165" s="5" t="s">
        <v>59</v>
      </c>
      <c r="K165" s="5">
        <v>376.4</v>
      </c>
      <c r="L165" s="5">
        <v>-0.88669</v>
      </c>
      <c r="M165" s="5">
        <v>-0.28867</v>
      </c>
      <c r="N165" s="5">
        <v>-1.17536</v>
      </c>
      <c r="O165" s="5">
        <v>0.09384</v>
      </c>
    </row>
    <row r="166">
      <c r="A166" s="18" t="str">
        <f>IFERROR(__xludf.DUMMYFUNCTION("""COMPUTED_VALUE"""),"")</f>
        <v/>
      </c>
      <c r="B166" s="19" t="str">
        <f>IFERROR(__xludf.DUMMYFUNCTION("""COMPUTED_VALUE"""),"")</f>
        <v/>
      </c>
      <c r="C166" s="20" t="str">
        <f>IFERROR(__xludf.DUMMYFUNCTION("""COMPUTED_VALUE"""),"")</f>
        <v/>
      </c>
      <c r="D166" s="21" t="str">
        <f>IFERROR(__xludf.DUMMYFUNCTION("""COMPUTED_VALUE"""),"")</f>
        <v/>
      </c>
      <c r="E166" s="21" t="str">
        <f>IFERROR(__xludf.DUMMYFUNCTION("""COMPUTED_VALUE"""),"")</f>
        <v/>
      </c>
      <c r="F166" s="21" t="str">
        <f>IFERROR(__xludf.DUMMYFUNCTION("""COMPUTED_VALUE"""),"")</f>
        <v/>
      </c>
      <c r="G166" s="22" t="str">
        <f>IFERROR(__xludf.DUMMYFUNCTION("""COMPUTED_VALUE"""),"")</f>
        <v/>
      </c>
      <c r="H166" s="4"/>
      <c r="I166" s="5" t="s">
        <v>398</v>
      </c>
      <c r="J166" s="5" t="s">
        <v>19</v>
      </c>
      <c r="K166" s="5">
        <v>81.0</v>
      </c>
      <c r="L166" s="5">
        <v>-1.9061</v>
      </c>
      <c r="M166" s="5">
        <v>0.7241</v>
      </c>
      <c r="N166" s="5">
        <v>-1.182</v>
      </c>
      <c r="O166" s="5">
        <v>0.02005</v>
      </c>
    </row>
    <row r="167">
      <c r="A167" s="12" t="str">
        <f>IFERROR(__xludf.DUMMYFUNCTION("""COMPUTED_VALUE"""),"")</f>
        <v/>
      </c>
      <c r="B167" s="13" t="str">
        <f>IFERROR(__xludf.DUMMYFUNCTION("""COMPUTED_VALUE"""),"")</f>
        <v/>
      </c>
      <c r="C167" s="14" t="str">
        <f>IFERROR(__xludf.DUMMYFUNCTION("""COMPUTED_VALUE"""),"")</f>
        <v/>
      </c>
      <c r="D167" s="15" t="str">
        <f>IFERROR(__xludf.DUMMYFUNCTION("""COMPUTED_VALUE"""),"")</f>
        <v/>
      </c>
      <c r="E167" s="15" t="str">
        <f>IFERROR(__xludf.DUMMYFUNCTION("""COMPUTED_VALUE"""),"")</f>
        <v/>
      </c>
      <c r="F167" s="15" t="str">
        <f>IFERROR(__xludf.DUMMYFUNCTION("""COMPUTED_VALUE"""),"")</f>
        <v/>
      </c>
      <c r="G167" s="16" t="str">
        <f>IFERROR(__xludf.DUMMYFUNCTION("""COMPUTED_VALUE"""),"")</f>
        <v/>
      </c>
      <c r="H167" s="4"/>
      <c r="I167" s="5" t="s">
        <v>400</v>
      </c>
      <c r="J167" s="5" t="s">
        <v>118</v>
      </c>
      <c r="K167" s="5">
        <v>26.2</v>
      </c>
      <c r="L167" s="5">
        <v>-1.57059</v>
      </c>
      <c r="M167" s="5">
        <v>0.3881</v>
      </c>
      <c r="N167" s="5">
        <v>-1.18249</v>
      </c>
      <c r="O167" s="5">
        <v>0.00642</v>
      </c>
    </row>
    <row r="168">
      <c r="A168" s="18" t="str">
        <f>IFERROR(__xludf.DUMMYFUNCTION("""COMPUTED_VALUE"""),"")</f>
        <v/>
      </c>
      <c r="B168" s="19" t="str">
        <f>IFERROR(__xludf.DUMMYFUNCTION("""COMPUTED_VALUE"""),"")</f>
        <v/>
      </c>
      <c r="C168" s="20" t="str">
        <f>IFERROR(__xludf.DUMMYFUNCTION("""COMPUTED_VALUE"""),"")</f>
        <v/>
      </c>
      <c r="D168" s="21" t="str">
        <f>IFERROR(__xludf.DUMMYFUNCTION("""COMPUTED_VALUE"""),"")</f>
        <v/>
      </c>
      <c r="E168" s="21" t="str">
        <f>IFERROR(__xludf.DUMMYFUNCTION("""COMPUTED_VALUE"""),"")</f>
        <v/>
      </c>
      <c r="F168" s="21" t="str">
        <f>IFERROR(__xludf.DUMMYFUNCTION("""COMPUTED_VALUE"""),"")</f>
        <v/>
      </c>
      <c r="G168" s="22" t="str">
        <f>IFERROR(__xludf.DUMMYFUNCTION("""COMPUTED_VALUE"""),"")</f>
        <v/>
      </c>
      <c r="H168" s="4"/>
      <c r="I168" s="5" t="s">
        <v>401</v>
      </c>
      <c r="J168" s="5" t="s">
        <v>118</v>
      </c>
      <c r="K168" s="5">
        <v>307.2</v>
      </c>
      <c r="L168" s="5">
        <v>1.45349</v>
      </c>
      <c r="M168" s="5">
        <v>-2.65085</v>
      </c>
      <c r="N168" s="5">
        <v>-1.19736</v>
      </c>
      <c r="O168" s="5">
        <v>0.07395</v>
      </c>
    </row>
    <row r="169">
      <c r="A169" s="12" t="str">
        <f>IFERROR(__xludf.DUMMYFUNCTION("""COMPUTED_VALUE"""),"")</f>
        <v/>
      </c>
      <c r="B169" s="13" t="str">
        <f>IFERROR(__xludf.DUMMYFUNCTION("""COMPUTED_VALUE"""),"")</f>
        <v/>
      </c>
      <c r="C169" s="14" t="str">
        <f>IFERROR(__xludf.DUMMYFUNCTION("""COMPUTED_VALUE"""),"")</f>
        <v/>
      </c>
      <c r="D169" s="15" t="str">
        <f>IFERROR(__xludf.DUMMYFUNCTION("""COMPUTED_VALUE"""),"")</f>
        <v/>
      </c>
      <c r="E169" s="15" t="str">
        <f>IFERROR(__xludf.DUMMYFUNCTION("""COMPUTED_VALUE"""),"")</f>
        <v/>
      </c>
      <c r="F169" s="15" t="str">
        <f>IFERROR(__xludf.DUMMYFUNCTION("""COMPUTED_VALUE"""),"")</f>
        <v/>
      </c>
      <c r="G169" s="16" t="str">
        <f>IFERROR(__xludf.DUMMYFUNCTION("""COMPUTED_VALUE"""),"")</f>
        <v/>
      </c>
      <c r="H169" s="4"/>
      <c r="I169" s="5" t="s">
        <v>402</v>
      </c>
      <c r="J169" s="5" t="s">
        <v>64</v>
      </c>
      <c r="K169" s="5">
        <v>40.7</v>
      </c>
      <c r="L169" s="5">
        <v>-0.91491</v>
      </c>
      <c r="M169" s="5">
        <v>-0.32209</v>
      </c>
      <c r="N169" s="5">
        <v>-1.237</v>
      </c>
      <c r="O169" s="5">
        <v>0.00947</v>
      </c>
    </row>
    <row r="170">
      <c r="A170" s="18" t="str">
        <f>IFERROR(__xludf.DUMMYFUNCTION("""COMPUTED_VALUE"""),"")</f>
        <v/>
      </c>
      <c r="B170" s="19" t="str">
        <f>IFERROR(__xludf.DUMMYFUNCTION("""COMPUTED_VALUE"""),"")</f>
        <v/>
      </c>
      <c r="C170" s="20" t="str">
        <f>IFERROR(__xludf.DUMMYFUNCTION("""COMPUTED_VALUE"""),"")</f>
        <v/>
      </c>
      <c r="D170" s="21" t="str">
        <f>IFERROR(__xludf.DUMMYFUNCTION("""COMPUTED_VALUE"""),"")</f>
        <v/>
      </c>
      <c r="E170" s="21" t="str">
        <f>IFERROR(__xludf.DUMMYFUNCTION("""COMPUTED_VALUE"""),"")</f>
        <v/>
      </c>
      <c r="F170" s="21" t="str">
        <f>IFERROR(__xludf.DUMMYFUNCTION("""COMPUTED_VALUE"""),"")</f>
        <v/>
      </c>
      <c r="G170" s="22" t="str">
        <f>IFERROR(__xludf.DUMMYFUNCTION("""COMPUTED_VALUE"""),"")</f>
        <v/>
      </c>
      <c r="H170" s="4"/>
      <c r="I170" s="5" t="s">
        <v>281</v>
      </c>
      <c r="J170" s="5" t="s">
        <v>22</v>
      </c>
      <c r="K170" s="5">
        <v>312.3</v>
      </c>
      <c r="L170" s="5">
        <v>0.01453</v>
      </c>
      <c r="M170" s="5">
        <v>-1.28068</v>
      </c>
      <c r="N170" s="5">
        <v>-1.26614</v>
      </c>
      <c r="O170" s="5">
        <v>0.07018</v>
      </c>
    </row>
    <row r="171">
      <c r="A171" s="12" t="str">
        <f>IFERROR(__xludf.DUMMYFUNCTION("""COMPUTED_VALUE"""),"")</f>
        <v/>
      </c>
      <c r="B171" s="13" t="str">
        <f>IFERROR(__xludf.DUMMYFUNCTION("""COMPUTED_VALUE"""),"")</f>
        <v/>
      </c>
      <c r="C171" s="14" t="str">
        <f>IFERROR(__xludf.DUMMYFUNCTION("""COMPUTED_VALUE"""),"")</f>
        <v/>
      </c>
      <c r="D171" s="15" t="str">
        <f>IFERROR(__xludf.DUMMYFUNCTION("""COMPUTED_VALUE"""),"")</f>
        <v/>
      </c>
      <c r="E171" s="15" t="str">
        <f>IFERROR(__xludf.DUMMYFUNCTION("""COMPUTED_VALUE"""),"")</f>
        <v/>
      </c>
      <c r="F171" s="15" t="str">
        <f>IFERROR(__xludf.DUMMYFUNCTION("""COMPUTED_VALUE"""),"")</f>
        <v/>
      </c>
      <c r="G171" s="16" t="str">
        <f>IFERROR(__xludf.DUMMYFUNCTION("""COMPUTED_VALUE"""),"")</f>
        <v/>
      </c>
      <c r="H171" s="4"/>
      <c r="I171" s="5" t="s">
        <v>403</v>
      </c>
      <c r="J171" s="5" t="s">
        <v>60</v>
      </c>
      <c r="K171" s="5">
        <v>264.1</v>
      </c>
      <c r="L171" s="5">
        <v>-3.44795</v>
      </c>
      <c r="M171" s="5">
        <v>2.16153</v>
      </c>
      <c r="N171" s="5">
        <v>-1.28642</v>
      </c>
      <c r="O171" s="5">
        <v>0.05746</v>
      </c>
    </row>
    <row r="172">
      <c r="A172" s="18" t="str">
        <f>IFERROR(__xludf.DUMMYFUNCTION("""COMPUTED_VALUE"""),"")</f>
        <v/>
      </c>
      <c r="B172" s="19" t="str">
        <f>IFERROR(__xludf.DUMMYFUNCTION("""COMPUTED_VALUE"""),"")</f>
        <v/>
      </c>
      <c r="C172" s="20" t="str">
        <f>IFERROR(__xludf.DUMMYFUNCTION("""COMPUTED_VALUE"""),"")</f>
        <v/>
      </c>
      <c r="D172" s="21" t="str">
        <f>IFERROR(__xludf.DUMMYFUNCTION("""COMPUTED_VALUE"""),"")</f>
        <v/>
      </c>
      <c r="E172" s="21" t="str">
        <f>IFERROR(__xludf.DUMMYFUNCTION("""COMPUTED_VALUE"""),"")</f>
        <v/>
      </c>
      <c r="F172" s="21" t="str">
        <f>IFERROR(__xludf.DUMMYFUNCTION("""COMPUTED_VALUE"""),"")</f>
        <v/>
      </c>
      <c r="G172" s="22" t="str">
        <f>IFERROR(__xludf.DUMMYFUNCTION("""COMPUTED_VALUE"""),"")</f>
        <v/>
      </c>
      <c r="H172" s="4"/>
      <c r="I172" s="5" t="s">
        <v>404</v>
      </c>
      <c r="J172" s="5" t="s">
        <v>30</v>
      </c>
      <c r="K172" s="5">
        <v>632.0</v>
      </c>
      <c r="L172" s="5">
        <v>0.77272</v>
      </c>
      <c r="M172" s="5">
        <v>-2.08904</v>
      </c>
      <c r="N172" s="5">
        <v>-1.31633</v>
      </c>
      <c r="O172" s="5">
        <v>0.13264</v>
      </c>
    </row>
    <row r="173">
      <c r="A173" s="12" t="str">
        <f>IFERROR(__xludf.DUMMYFUNCTION("""COMPUTED_VALUE"""),"")</f>
        <v/>
      </c>
      <c r="B173" s="13" t="str">
        <f>IFERROR(__xludf.DUMMYFUNCTION("""COMPUTED_VALUE"""),"")</f>
        <v/>
      </c>
      <c r="C173" s="14" t="str">
        <f>IFERROR(__xludf.DUMMYFUNCTION("""COMPUTED_VALUE"""),"")</f>
        <v/>
      </c>
      <c r="D173" s="15" t="str">
        <f>IFERROR(__xludf.DUMMYFUNCTION("""COMPUTED_VALUE"""),"")</f>
        <v/>
      </c>
      <c r="E173" s="15" t="str">
        <f>IFERROR(__xludf.DUMMYFUNCTION("""COMPUTED_VALUE"""),"")</f>
        <v/>
      </c>
      <c r="F173" s="15" t="str">
        <f>IFERROR(__xludf.DUMMYFUNCTION("""COMPUTED_VALUE"""),"")</f>
        <v/>
      </c>
      <c r="G173" s="16" t="str">
        <f>IFERROR(__xludf.DUMMYFUNCTION("""COMPUTED_VALUE"""),"")</f>
        <v/>
      </c>
      <c r="H173" s="4"/>
      <c r="I173" s="5" t="s">
        <v>406</v>
      </c>
      <c r="J173" s="5" t="s">
        <v>59</v>
      </c>
      <c r="K173" s="5">
        <v>103.8</v>
      </c>
      <c r="L173" s="5">
        <v>-0.31385</v>
      </c>
      <c r="M173" s="5">
        <v>-1.06949</v>
      </c>
      <c r="N173" s="5">
        <v>-1.38334</v>
      </c>
      <c r="O173" s="5">
        <v>0.01935</v>
      </c>
    </row>
    <row r="174">
      <c r="A174" s="18" t="str">
        <f>IFERROR(__xludf.DUMMYFUNCTION("""COMPUTED_VALUE"""),"")</f>
        <v/>
      </c>
      <c r="B174" s="19" t="str">
        <f>IFERROR(__xludf.DUMMYFUNCTION("""COMPUTED_VALUE"""),"")</f>
        <v/>
      </c>
      <c r="C174" s="20" t="str">
        <f>IFERROR(__xludf.DUMMYFUNCTION("""COMPUTED_VALUE"""),"")</f>
        <v/>
      </c>
      <c r="D174" s="21" t="str">
        <f>IFERROR(__xludf.DUMMYFUNCTION("""COMPUTED_VALUE"""),"")</f>
        <v/>
      </c>
      <c r="E174" s="21" t="str">
        <f>IFERROR(__xludf.DUMMYFUNCTION("""COMPUTED_VALUE"""),"")</f>
        <v/>
      </c>
      <c r="F174" s="21" t="str">
        <f>IFERROR(__xludf.DUMMYFUNCTION("""COMPUTED_VALUE"""),"")</f>
        <v/>
      </c>
      <c r="G174" s="22" t="str">
        <f>IFERROR(__xludf.DUMMYFUNCTION("""COMPUTED_VALUE"""),"")</f>
        <v/>
      </c>
      <c r="H174" s="4"/>
      <c r="I174" s="5" t="s">
        <v>407</v>
      </c>
      <c r="J174" s="5" t="s">
        <v>12</v>
      </c>
      <c r="K174" s="5">
        <v>228.9</v>
      </c>
      <c r="L174" s="5">
        <v>-0.55827</v>
      </c>
      <c r="M174" s="5">
        <v>-0.87551</v>
      </c>
      <c r="N174" s="5">
        <v>-1.43378</v>
      </c>
      <c r="O174" s="5">
        <v>0.03938</v>
      </c>
    </row>
    <row r="175">
      <c r="A175" s="12" t="str">
        <f>IFERROR(__xludf.DUMMYFUNCTION("""COMPUTED_VALUE"""),"")</f>
        <v/>
      </c>
      <c r="B175" s="13" t="str">
        <f>IFERROR(__xludf.DUMMYFUNCTION("""COMPUTED_VALUE"""),"")</f>
        <v/>
      </c>
      <c r="C175" s="14" t="str">
        <f>IFERROR(__xludf.DUMMYFUNCTION("""COMPUTED_VALUE"""),"")</f>
        <v/>
      </c>
      <c r="D175" s="15" t="str">
        <f>IFERROR(__xludf.DUMMYFUNCTION("""COMPUTED_VALUE"""),"")</f>
        <v/>
      </c>
      <c r="E175" s="15" t="str">
        <f>IFERROR(__xludf.DUMMYFUNCTION("""COMPUTED_VALUE"""),"")</f>
        <v/>
      </c>
      <c r="F175" s="15" t="str">
        <f>IFERROR(__xludf.DUMMYFUNCTION("""COMPUTED_VALUE"""),"")</f>
        <v/>
      </c>
      <c r="G175" s="16" t="str">
        <f>IFERROR(__xludf.DUMMYFUNCTION("""COMPUTED_VALUE"""),"")</f>
        <v/>
      </c>
      <c r="H175" s="4"/>
      <c r="I175" s="5" t="s">
        <v>408</v>
      </c>
      <c r="J175" s="5" t="s">
        <v>30</v>
      </c>
      <c r="K175" s="5">
        <v>231.5</v>
      </c>
      <c r="L175" s="5">
        <v>-0.03783</v>
      </c>
      <c r="M175" s="5">
        <v>-1.45057</v>
      </c>
      <c r="N175" s="5">
        <v>-1.4884</v>
      </c>
      <c r="O175" s="5">
        <v>0.03636</v>
      </c>
    </row>
    <row r="176">
      <c r="A176" s="18" t="str">
        <f>IFERROR(__xludf.DUMMYFUNCTION("""COMPUTED_VALUE"""),"")</f>
        <v/>
      </c>
      <c r="B176" s="19" t="str">
        <f>IFERROR(__xludf.DUMMYFUNCTION("""COMPUTED_VALUE"""),"")</f>
        <v/>
      </c>
      <c r="C176" s="20" t="str">
        <f>IFERROR(__xludf.DUMMYFUNCTION("""COMPUTED_VALUE"""),"")</f>
        <v/>
      </c>
      <c r="D176" s="21" t="str">
        <f>IFERROR(__xludf.DUMMYFUNCTION("""COMPUTED_VALUE"""),"")</f>
        <v/>
      </c>
      <c r="E176" s="21" t="str">
        <f>IFERROR(__xludf.DUMMYFUNCTION("""COMPUTED_VALUE"""),"")</f>
        <v/>
      </c>
      <c r="F176" s="21" t="str">
        <f>IFERROR(__xludf.DUMMYFUNCTION("""COMPUTED_VALUE"""),"")</f>
        <v/>
      </c>
      <c r="G176" s="22" t="str">
        <f>IFERROR(__xludf.DUMMYFUNCTION("""COMPUTED_VALUE"""),"")</f>
        <v/>
      </c>
      <c r="H176" s="4"/>
      <c r="I176" s="5" t="s">
        <v>409</v>
      </c>
      <c r="J176" s="5" t="s">
        <v>36</v>
      </c>
      <c r="K176" s="5">
        <v>577.3</v>
      </c>
      <c r="L176" s="5">
        <v>-3.58013</v>
      </c>
      <c r="M176" s="5">
        <v>2.05163</v>
      </c>
      <c r="N176" s="5">
        <v>-1.5285</v>
      </c>
      <c r="O176" s="5">
        <v>0.08185</v>
      </c>
    </row>
    <row r="177">
      <c r="A177" s="12" t="str">
        <f>IFERROR(__xludf.DUMMYFUNCTION("""COMPUTED_VALUE"""),"")</f>
        <v/>
      </c>
      <c r="B177" s="13" t="str">
        <f>IFERROR(__xludf.DUMMYFUNCTION("""COMPUTED_VALUE"""),"")</f>
        <v/>
      </c>
      <c r="C177" s="14" t="str">
        <f>IFERROR(__xludf.DUMMYFUNCTION("""COMPUTED_VALUE"""),"")</f>
        <v/>
      </c>
      <c r="D177" s="15" t="str">
        <f>IFERROR(__xludf.DUMMYFUNCTION("""COMPUTED_VALUE"""),"")</f>
        <v/>
      </c>
      <c r="E177" s="15" t="str">
        <f>IFERROR(__xludf.DUMMYFUNCTION("""COMPUTED_VALUE"""),"")</f>
        <v/>
      </c>
      <c r="F177" s="15" t="str">
        <f>IFERROR(__xludf.DUMMYFUNCTION("""COMPUTED_VALUE"""),"")</f>
        <v/>
      </c>
      <c r="G177" s="16" t="str">
        <f>IFERROR(__xludf.DUMMYFUNCTION("""COMPUTED_VALUE"""),"")</f>
        <v/>
      </c>
      <c r="H177" s="4"/>
      <c r="I177" s="5" t="s">
        <v>411</v>
      </c>
      <c r="J177" s="5" t="s">
        <v>41</v>
      </c>
      <c r="K177" s="5">
        <v>670.8</v>
      </c>
      <c r="L177" s="5">
        <v>0.5208</v>
      </c>
      <c r="M177" s="5">
        <v>-2.10758</v>
      </c>
      <c r="N177" s="5">
        <v>-1.58678</v>
      </c>
      <c r="O177" s="5">
        <v>0.08452</v>
      </c>
    </row>
    <row r="178">
      <c r="A178" s="18" t="str">
        <f>IFERROR(__xludf.DUMMYFUNCTION("""COMPUTED_VALUE"""),"")</f>
        <v/>
      </c>
      <c r="B178" s="19" t="str">
        <f>IFERROR(__xludf.DUMMYFUNCTION("""COMPUTED_VALUE"""),"")</f>
        <v/>
      </c>
      <c r="C178" s="20" t="str">
        <f>IFERROR(__xludf.DUMMYFUNCTION("""COMPUTED_VALUE"""),"")</f>
        <v/>
      </c>
      <c r="D178" s="21" t="str">
        <f>IFERROR(__xludf.DUMMYFUNCTION("""COMPUTED_VALUE"""),"")</f>
        <v/>
      </c>
      <c r="E178" s="21" t="str">
        <f>IFERROR(__xludf.DUMMYFUNCTION("""COMPUTED_VALUE"""),"")</f>
        <v/>
      </c>
      <c r="F178" s="21" t="str">
        <f>IFERROR(__xludf.DUMMYFUNCTION("""COMPUTED_VALUE"""),"")</f>
        <v/>
      </c>
      <c r="G178" s="22" t="str">
        <f>IFERROR(__xludf.DUMMYFUNCTION("""COMPUTED_VALUE"""),"")</f>
        <v/>
      </c>
      <c r="H178" s="4"/>
      <c r="I178" s="5" t="s">
        <v>412</v>
      </c>
      <c r="J178" s="5" t="s">
        <v>19</v>
      </c>
      <c r="K178" s="5">
        <v>503.8</v>
      </c>
      <c r="L178" s="5">
        <v>-1.82067</v>
      </c>
      <c r="M178" s="5">
        <v>0.18367</v>
      </c>
      <c r="N178" s="5">
        <v>-1.637</v>
      </c>
      <c r="O178" s="5">
        <v>0.05515</v>
      </c>
    </row>
    <row r="179">
      <c r="A179" s="12" t="str">
        <f>IFERROR(__xludf.DUMMYFUNCTION("""COMPUTED_VALUE"""),"")</f>
        <v/>
      </c>
      <c r="B179" s="13" t="str">
        <f>IFERROR(__xludf.DUMMYFUNCTION("""COMPUTED_VALUE"""),"")</f>
        <v/>
      </c>
      <c r="C179" s="14" t="str">
        <f>IFERROR(__xludf.DUMMYFUNCTION("""COMPUTED_VALUE"""),"")</f>
        <v/>
      </c>
      <c r="D179" s="15" t="str">
        <f>IFERROR(__xludf.DUMMYFUNCTION("""COMPUTED_VALUE"""),"")</f>
        <v/>
      </c>
      <c r="E179" s="15" t="str">
        <f>IFERROR(__xludf.DUMMYFUNCTION("""COMPUTED_VALUE"""),"")</f>
        <v/>
      </c>
      <c r="F179" s="15" t="str">
        <f>IFERROR(__xludf.DUMMYFUNCTION("""COMPUTED_VALUE"""),"")</f>
        <v/>
      </c>
      <c r="G179" s="16" t="str">
        <f>IFERROR(__xludf.DUMMYFUNCTION("""COMPUTED_VALUE"""),"")</f>
        <v/>
      </c>
      <c r="H179" s="4"/>
      <c r="I179" s="5" t="s">
        <v>414</v>
      </c>
      <c r="J179" s="5" t="s">
        <v>118</v>
      </c>
      <c r="K179" s="5">
        <v>530.0</v>
      </c>
      <c r="L179" s="5">
        <v>-0.05243</v>
      </c>
      <c r="M179" s="5">
        <v>-1.63105</v>
      </c>
      <c r="N179" s="5">
        <v>-1.68347</v>
      </c>
      <c r="O179" s="5">
        <v>0.05031</v>
      </c>
    </row>
    <row r="180">
      <c r="A180" s="18" t="str">
        <f>IFERROR(__xludf.DUMMYFUNCTION("""COMPUTED_VALUE"""),"")</f>
        <v/>
      </c>
      <c r="B180" s="19" t="str">
        <f>IFERROR(__xludf.DUMMYFUNCTION("""COMPUTED_VALUE"""),"")</f>
        <v/>
      </c>
      <c r="C180" s="20" t="str">
        <f>IFERROR(__xludf.DUMMYFUNCTION("""COMPUTED_VALUE"""),"")</f>
        <v/>
      </c>
      <c r="D180" s="21" t="str">
        <f>IFERROR(__xludf.DUMMYFUNCTION("""COMPUTED_VALUE"""),"")</f>
        <v/>
      </c>
      <c r="E180" s="21" t="str">
        <f>IFERROR(__xludf.DUMMYFUNCTION("""COMPUTED_VALUE"""),"")</f>
        <v/>
      </c>
      <c r="F180" s="21" t="str">
        <f>IFERROR(__xludf.DUMMYFUNCTION("""COMPUTED_VALUE"""),"")</f>
        <v/>
      </c>
      <c r="G180" s="22" t="str">
        <f>IFERROR(__xludf.DUMMYFUNCTION("""COMPUTED_VALUE"""),"")</f>
        <v/>
      </c>
      <c r="H180" s="4"/>
      <c r="I180" s="5" t="s">
        <v>415</v>
      </c>
      <c r="J180" s="5" t="s">
        <v>72</v>
      </c>
      <c r="K180" s="5">
        <v>114.7</v>
      </c>
      <c r="L180" s="5">
        <v>-1.43198</v>
      </c>
      <c r="M180" s="5">
        <v>-0.29115</v>
      </c>
      <c r="N180" s="5">
        <v>-1.72313</v>
      </c>
      <c r="O180" s="5">
        <v>0.00984</v>
      </c>
    </row>
    <row r="181">
      <c r="A181" s="12" t="str">
        <f>IFERROR(__xludf.DUMMYFUNCTION("""COMPUTED_VALUE"""),"")</f>
        <v/>
      </c>
      <c r="B181" s="13" t="str">
        <f>IFERROR(__xludf.DUMMYFUNCTION("""COMPUTED_VALUE"""),"")</f>
        <v/>
      </c>
      <c r="C181" s="14" t="str">
        <f>IFERROR(__xludf.DUMMYFUNCTION("""COMPUTED_VALUE"""),"")</f>
        <v/>
      </c>
      <c r="D181" s="15" t="str">
        <f>IFERROR(__xludf.DUMMYFUNCTION("""COMPUTED_VALUE"""),"")</f>
        <v/>
      </c>
      <c r="E181" s="15" t="str">
        <f>IFERROR(__xludf.DUMMYFUNCTION("""COMPUTED_VALUE"""),"")</f>
        <v/>
      </c>
      <c r="F181" s="15" t="str">
        <f>IFERROR(__xludf.DUMMYFUNCTION("""COMPUTED_VALUE"""),"")</f>
        <v/>
      </c>
      <c r="G181" s="16" t="str">
        <f>IFERROR(__xludf.DUMMYFUNCTION("""COMPUTED_VALUE"""),"")</f>
        <v/>
      </c>
      <c r="H181" s="4"/>
      <c r="I181" s="5" t="s">
        <v>417</v>
      </c>
      <c r="J181" s="5" t="s">
        <v>137</v>
      </c>
      <c r="K181" s="5">
        <v>36.1</v>
      </c>
      <c r="L181" s="5">
        <v>-1.55842</v>
      </c>
      <c r="M181" s="5">
        <v>-0.20976</v>
      </c>
      <c r="N181" s="5">
        <v>-1.76818</v>
      </c>
      <c r="O181" s="5">
        <v>0.00255</v>
      </c>
    </row>
    <row r="182">
      <c r="A182" s="18" t="str">
        <f>IFERROR(__xludf.DUMMYFUNCTION("""COMPUTED_VALUE"""),"")</f>
        <v/>
      </c>
      <c r="B182" s="19" t="str">
        <f>IFERROR(__xludf.DUMMYFUNCTION("""COMPUTED_VALUE"""),"")</f>
        <v/>
      </c>
      <c r="C182" s="20" t="str">
        <f>IFERROR(__xludf.DUMMYFUNCTION("""COMPUTED_VALUE"""),"")</f>
        <v/>
      </c>
      <c r="D182" s="21" t="str">
        <f>IFERROR(__xludf.DUMMYFUNCTION("""COMPUTED_VALUE"""),"")</f>
        <v/>
      </c>
      <c r="E182" s="21" t="str">
        <f>IFERROR(__xludf.DUMMYFUNCTION("""COMPUTED_VALUE"""),"")</f>
        <v/>
      </c>
      <c r="F182" s="21" t="str">
        <f>IFERROR(__xludf.DUMMYFUNCTION("""COMPUTED_VALUE"""),"")</f>
        <v/>
      </c>
      <c r="G182" s="22" t="str">
        <f>IFERROR(__xludf.DUMMYFUNCTION("""COMPUTED_VALUE"""),"")</f>
        <v/>
      </c>
      <c r="H182" s="4"/>
      <c r="I182" s="5" t="s">
        <v>350</v>
      </c>
      <c r="J182" s="5" t="s">
        <v>24</v>
      </c>
      <c r="K182" s="5">
        <v>304.2</v>
      </c>
      <c r="L182" s="5">
        <v>-2.87426</v>
      </c>
      <c r="M182" s="5">
        <v>1.10171</v>
      </c>
      <c r="N182" s="5">
        <v>-1.77255</v>
      </c>
      <c r="O182" s="5">
        <v>0.0211</v>
      </c>
    </row>
    <row r="183">
      <c r="A183" s="12" t="str">
        <f>IFERROR(__xludf.DUMMYFUNCTION("""COMPUTED_VALUE"""),"")</f>
        <v/>
      </c>
      <c r="B183" s="13" t="str">
        <f>IFERROR(__xludf.DUMMYFUNCTION("""COMPUTED_VALUE"""),"")</f>
        <v/>
      </c>
      <c r="C183" s="14" t="str">
        <f>IFERROR(__xludf.DUMMYFUNCTION("""COMPUTED_VALUE"""),"")</f>
        <v/>
      </c>
      <c r="D183" s="15" t="str">
        <f>IFERROR(__xludf.DUMMYFUNCTION("""COMPUTED_VALUE"""),"")</f>
        <v/>
      </c>
      <c r="E183" s="15" t="str">
        <f>IFERROR(__xludf.DUMMYFUNCTION("""COMPUTED_VALUE"""),"")</f>
        <v/>
      </c>
      <c r="F183" s="15" t="str">
        <f>IFERROR(__xludf.DUMMYFUNCTION("""COMPUTED_VALUE"""),"")</f>
        <v/>
      </c>
      <c r="G183" s="16" t="str">
        <f>IFERROR(__xludf.DUMMYFUNCTION("""COMPUTED_VALUE"""),"")</f>
        <v/>
      </c>
      <c r="H183" s="4"/>
      <c r="I183" s="5" t="s">
        <v>418</v>
      </c>
      <c r="J183" s="5" t="s">
        <v>14</v>
      </c>
      <c r="K183" s="5">
        <v>173.8</v>
      </c>
      <c r="L183" s="5">
        <v>-0.80605</v>
      </c>
      <c r="M183" s="5">
        <v>-1.09007</v>
      </c>
      <c r="N183" s="5">
        <v>-1.89612</v>
      </c>
      <c r="O183" s="5">
        <v>0.00549</v>
      </c>
    </row>
    <row r="184">
      <c r="A184" s="18" t="str">
        <f>IFERROR(__xludf.DUMMYFUNCTION("""COMPUTED_VALUE"""),"")</f>
        <v/>
      </c>
      <c r="B184" s="19" t="str">
        <f>IFERROR(__xludf.DUMMYFUNCTION("""COMPUTED_VALUE"""),"")</f>
        <v/>
      </c>
      <c r="C184" s="20" t="str">
        <f>IFERROR(__xludf.DUMMYFUNCTION("""COMPUTED_VALUE"""),"")</f>
        <v/>
      </c>
      <c r="D184" s="21" t="str">
        <f>IFERROR(__xludf.DUMMYFUNCTION("""COMPUTED_VALUE"""),"")</f>
        <v/>
      </c>
      <c r="E184" s="21" t="str">
        <f>IFERROR(__xludf.DUMMYFUNCTION("""COMPUTED_VALUE"""),"")</f>
        <v/>
      </c>
      <c r="F184" s="21" t="str">
        <f>IFERROR(__xludf.DUMMYFUNCTION("""COMPUTED_VALUE"""),"")</f>
        <v/>
      </c>
      <c r="G184" s="22" t="str">
        <f>IFERROR(__xludf.DUMMYFUNCTION("""COMPUTED_VALUE"""),"")</f>
        <v/>
      </c>
      <c r="H184" s="4"/>
      <c r="I184" s="5" t="s">
        <v>419</v>
      </c>
      <c r="J184" s="5" t="s">
        <v>24</v>
      </c>
      <c r="K184" s="5">
        <v>225.0</v>
      </c>
      <c r="L184" s="5">
        <v>-2.54588</v>
      </c>
      <c r="M184" s="5">
        <v>0.6471</v>
      </c>
      <c r="N184" s="5">
        <v>-1.89879</v>
      </c>
      <c r="O184" s="5">
        <v>0.00694</v>
      </c>
    </row>
    <row r="185">
      <c r="A185" s="12" t="str">
        <f>IFERROR(__xludf.DUMMYFUNCTION("""COMPUTED_VALUE"""),"")</f>
        <v/>
      </c>
      <c r="B185" s="13" t="str">
        <f>IFERROR(__xludf.DUMMYFUNCTION("""COMPUTED_VALUE"""),"")</f>
        <v/>
      </c>
      <c r="C185" s="14" t="str">
        <f>IFERROR(__xludf.DUMMYFUNCTION("""COMPUTED_VALUE"""),"")</f>
        <v/>
      </c>
      <c r="D185" s="15" t="str">
        <f>IFERROR(__xludf.DUMMYFUNCTION("""COMPUTED_VALUE"""),"")</f>
        <v/>
      </c>
      <c r="E185" s="15" t="str">
        <f>IFERROR(__xludf.DUMMYFUNCTION("""COMPUTED_VALUE"""),"")</f>
        <v/>
      </c>
      <c r="F185" s="15" t="str">
        <f>IFERROR(__xludf.DUMMYFUNCTION("""COMPUTED_VALUE"""),"")</f>
        <v/>
      </c>
      <c r="G185" s="16" t="str">
        <f>IFERROR(__xludf.DUMMYFUNCTION("""COMPUTED_VALUE"""),"")</f>
        <v/>
      </c>
      <c r="H185" s="4"/>
      <c r="I185" s="5" t="s">
        <v>421</v>
      </c>
      <c r="J185" s="5" t="s">
        <v>51</v>
      </c>
      <c r="K185" s="5">
        <v>282.1</v>
      </c>
      <c r="L185" s="5">
        <v>-4.39857</v>
      </c>
      <c r="M185" s="5">
        <v>2.4838</v>
      </c>
      <c r="N185" s="5">
        <v>-1.91477</v>
      </c>
      <c r="O185" s="5">
        <v>0.00733</v>
      </c>
    </row>
    <row r="186">
      <c r="A186" s="18" t="str">
        <f>IFERROR(__xludf.DUMMYFUNCTION("""COMPUTED_VALUE"""),"")</f>
        <v/>
      </c>
      <c r="B186" s="19" t="str">
        <f>IFERROR(__xludf.DUMMYFUNCTION("""COMPUTED_VALUE"""),"")</f>
        <v/>
      </c>
      <c r="C186" s="20" t="str">
        <f>IFERROR(__xludf.DUMMYFUNCTION("""COMPUTED_VALUE"""),"")</f>
        <v/>
      </c>
      <c r="D186" s="21" t="str">
        <f>IFERROR(__xludf.DUMMYFUNCTION("""COMPUTED_VALUE"""),"")</f>
        <v/>
      </c>
      <c r="E186" s="21" t="str">
        <f>IFERROR(__xludf.DUMMYFUNCTION("""COMPUTED_VALUE"""),"")</f>
        <v/>
      </c>
      <c r="F186" s="21" t="str">
        <f>IFERROR(__xludf.DUMMYFUNCTION("""COMPUTED_VALUE"""),"")</f>
        <v/>
      </c>
      <c r="G186" s="22" t="str">
        <f>IFERROR(__xludf.DUMMYFUNCTION("""COMPUTED_VALUE"""),"")</f>
        <v/>
      </c>
      <c r="H186" s="4"/>
      <c r="I186" s="5" t="s">
        <v>424</v>
      </c>
      <c r="J186" s="5" t="s">
        <v>64</v>
      </c>
      <c r="K186" s="5">
        <v>761.0</v>
      </c>
      <c r="L186" s="5">
        <v>-0.04057</v>
      </c>
      <c r="M186" s="5">
        <v>-1.87804</v>
      </c>
      <c r="N186" s="5">
        <v>-1.91861</v>
      </c>
      <c r="O186" s="5">
        <v>0.01888</v>
      </c>
    </row>
    <row r="187">
      <c r="A187" s="12" t="str">
        <f>IFERROR(__xludf.DUMMYFUNCTION("""COMPUTED_VALUE"""),"")</f>
        <v/>
      </c>
      <c r="B187" s="13" t="str">
        <f>IFERROR(__xludf.DUMMYFUNCTION("""COMPUTED_VALUE"""),"")</f>
        <v/>
      </c>
      <c r="C187" s="14" t="str">
        <f>IFERROR(__xludf.DUMMYFUNCTION("""COMPUTED_VALUE"""),"")</f>
        <v/>
      </c>
      <c r="D187" s="15" t="str">
        <f>IFERROR(__xludf.DUMMYFUNCTION("""COMPUTED_VALUE"""),"")</f>
        <v/>
      </c>
      <c r="E187" s="15" t="str">
        <f>IFERROR(__xludf.DUMMYFUNCTION("""COMPUTED_VALUE"""),"")</f>
        <v/>
      </c>
      <c r="F187" s="15" t="str">
        <f>IFERROR(__xludf.DUMMYFUNCTION("""COMPUTED_VALUE"""),"")</f>
        <v/>
      </c>
      <c r="G187" s="16" t="str">
        <f>IFERROR(__xludf.DUMMYFUNCTION("""COMPUTED_VALUE"""),"")</f>
        <v/>
      </c>
      <c r="H187" s="4"/>
      <c r="I187" s="5" t="s">
        <v>425</v>
      </c>
      <c r="J187" s="5" t="s">
        <v>60</v>
      </c>
      <c r="K187" s="5">
        <v>734.3</v>
      </c>
      <c r="L187" s="5">
        <v>-1.01882</v>
      </c>
      <c r="M187" s="5">
        <v>-0.90559</v>
      </c>
      <c r="N187" s="5">
        <v>-1.92441</v>
      </c>
      <c r="O187" s="5">
        <v>0.01692</v>
      </c>
    </row>
    <row r="188">
      <c r="A188" s="18" t="str">
        <f>IFERROR(__xludf.DUMMYFUNCTION("""COMPUTED_VALUE"""),"")</f>
        <v/>
      </c>
      <c r="B188" s="19" t="str">
        <f>IFERROR(__xludf.DUMMYFUNCTION("""COMPUTED_VALUE"""),"")</f>
        <v/>
      </c>
      <c r="C188" s="20" t="str">
        <f>IFERROR(__xludf.DUMMYFUNCTION("""COMPUTED_VALUE"""),"")</f>
        <v/>
      </c>
      <c r="D188" s="21" t="str">
        <f>IFERROR(__xludf.DUMMYFUNCTION("""COMPUTED_VALUE"""),"")</f>
        <v/>
      </c>
      <c r="E188" s="21" t="str">
        <f>IFERROR(__xludf.DUMMYFUNCTION("""COMPUTED_VALUE"""),"")</f>
        <v/>
      </c>
      <c r="F188" s="21" t="str">
        <f>IFERROR(__xludf.DUMMYFUNCTION("""COMPUTED_VALUE"""),"")</f>
        <v/>
      </c>
      <c r="G188" s="22" t="str">
        <f>IFERROR(__xludf.DUMMYFUNCTION("""COMPUTED_VALUE"""),"")</f>
        <v/>
      </c>
      <c r="H188" s="4"/>
      <c r="I188" s="5" t="s">
        <v>428</v>
      </c>
      <c r="J188" s="5" t="s">
        <v>36</v>
      </c>
      <c r="K188" s="5">
        <v>332.0</v>
      </c>
      <c r="L188" s="5">
        <v>-1.50153</v>
      </c>
      <c r="M188" s="5">
        <v>-0.44116</v>
      </c>
      <c r="N188" s="5">
        <v>-1.94269</v>
      </c>
      <c r="O188" s="5">
        <v>0.00572</v>
      </c>
    </row>
    <row r="189">
      <c r="A189" s="12" t="str">
        <f>IFERROR(__xludf.DUMMYFUNCTION("""COMPUTED_VALUE"""),"")</f>
        <v/>
      </c>
      <c r="B189" s="13" t="str">
        <f>IFERROR(__xludf.DUMMYFUNCTION("""COMPUTED_VALUE"""),"")</f>
        <v/>
      </c>
      <c r="C189" s="14" t="str">
        <f>IFERROR(__xludf.DUMMYFUNCTION("""COMPUTED_VALUE"""),"")</f>
        <v/>
      </c>
      <c r="D189" s="15" t="str">
        <f>IFERROR(__xludf.DUMMYFUNCTION("""COMPUTED_VALUE"""),"")</f>
        <v/>
      </c>
      <c r="E189" s="15" t="str">
        <f>IFERROR(__xludf.DUMMYFUNCTION("""COMPUTED_VALUE"""),"")</f>
        <v/>
      </c>
      <c r="F189" s="15" t="str">
        <f>IFERROR(__xludf.DUMMYFUNCTION("""COMPUTED_VALUE"""),"")</f>
        <v/>
      </c>
      <c r="G189" s="16" t="str">
        <f>IFERROR(__xludf.DUMMYFUNCTION("""COMPUTED_VALUE"""),"")</f>
        <v/>
      </c>
      <c r="H189" s="4"/>
      <c r="I189" s="5" t="s">
        <v>429</v>
      </c>
      <c r="J189" s="5" t="s">
        <v>60</v>
      </c>
      <c r="K189" s="5">
        <v>269.1</v>
      </c>
      <c r="L189" s="5">
        <v>0.63808</v>
      </c>
      <c r="M189" s="5">
        <v>-2.61812</v>
      </c>
      <c r="N189" s="5">
        <v>-1.98004</v>
      </c>
      <c r="O189" s="5">
        <v>0.00164</v>
      </c>
    </row>
    <row r="190">
      <c r="A190" s="18" t="str">
        <f>IFERROR(__xludf.DUMMYFUNCTION("""COMPUTED_VALUE"""),"")</f>
        <v/>
      </c>
      <c r="B190" s="19" t="str">
        <f>IFERROR(__xludf.DUMMYFUNCTION("""COMPUTED_VALUE"""),"")</f>
        <v/>
      </c>
      <c r="C190" s="20" t="str">
        <f>IFERROR(__xludf.DUMMYFUNCTION("""COMPUTED_VALUE"""),"")</f>
        <v/>
      </c>
      <c r="D190" s="21" t="str">
        <f>IFERROR(__xludf.DUMMYFUNCTION("""COMPUTED_VALUE"""),"")</f>
        <v/>
      </c>
      <c r="E190" s="21" t="str">
        <f>IFERROR(__xludf.DUMMYFUNCTION("""COMPUTED_VALUE"""),"")</f>
        <v/>
      </c>
      <c r="F190" s="21" t="str">
        <f>IFERROR(__xludf.DUMMYFUNCTION("""COMPUTED_VALUE"""),"")</f>
        <v/>
      </c>
      <c r="G190" s="22" t="str">
        <f>IFERROR(__xludf.DUMMYFUNCTION("""COMPUTED_VALUE"""),"")</f>
        <v/>
      </c>
      <c r="H190" s="4"/>
      <c r="I190" s="5" t="s">
        <v>431</v>
      </c>
      <c r="J190" s="5" t="s">
        <v>60</v>
      </c>
      <c r="K190" s="5">
        <v>39.5</v>
      </c>
      <c r="L190" s="5">
        <v>-1.22299</v>
      </c>
      <c r="M190" s="5">
        <v>-0.769</v>
      </c>
      <c r="N190" s="5">
        <v>-1.99199</v>
      </c>
      <c r="O190" s="5">
        <v>1.0E-4</v>
      </c>
    </row>
    <row r="191">
      <c r="A191" s="12" t="str">
        <f>IFERROR(__xludf.DUMMYFUNCTION("""COMPUTED_VALUE"""),"")</f>
        <v/>
      </c>
      <c r="B191" s="13" t="str">
        <f>IFERROR(__xludf.DUMMYFUNCTION("""COMPUTED_VALUE"""),"")</f>
        <v/>
      </c>
      <c r="C191" s="14" t="str">
        <f>IFERROR(__xludf.DUMMYFUNCTION("""COMPUTED_VALUE"""),"")</f>
        <v/>
      </c>
      <c r="D191" s="15" t="str">
        <f>IFERROR(__xludf.DUMMYFUNCTION("""COMPUTED_VALUE"""),"")</f>
        <v/>
      </c>
      <c r="E191" s="15" t="str">
        <f>IFERROR(__xludf.DUMMYFUNCTION("""COMPUTED_VALUE"""),"")</f>
        <v/>
      </c>
      <c r="F191" s="15" t="str">
        <f>IFERROR(__xludf.DUMMYFUNCTION("""COMPUTED_VALUE"""),"")</f>
        <v/>
      </c>
      <c r="G191" s="16" t="str">
        <f>IFERROR(__xludf.DUMMYFUNCTION("""COMPUTED_VALUE"""),"")</f>
        <v/>
      </c>
      <c r="H191" s="4"/>
      <c r="I191" s="5" t="s">
        <v>433</v>
      </c>
      <c r="J191" s="5" t="s">
        <v>64</v>
      </c>
      <c r="K191" s="5">
        <v>72.0</v>
      </c>
      <c r="L191" s="5">
        <v>-2.00926</v>
      </c>
      <c r="M191" s="5">
        <v>-0.00118</v>
      </c>
      <c r="N191" s="5">
        <v>-2.01043</v>
      </c>
      <c r="O191" s="5">
        <v>-2.3E-4</v>
      </c>
    </row>
    <row r="192">
      <c r="A192" s="18" t="str">
        <f>IFERROR(__xludf.DUMMYFUNCTION("""COMPUTED_VALUE"""),"")</f>
        <v/>
      </c>
      <c r="B192" s="19" t="str">
        <f>IFERROR(__xludf.DUMMYFUNCTION("""COMPUTED_VALUE"""),"")</f>
        <v/>
      </c>
      <c r="C192" s="20" t="str">
        <f>IFERROR(__xludf.DUMMYFUNCTION("""COMPUTED_VALUE"""),"")</f>
        <v/>
      </c>
      <c r="D192" s="21" t="str">
        <f>IFERROR(__xludf.DUMMYFUNCTION("""COMPUTED_VALUE"""),"")</f>
        <v/>
      </c>
      <c r="E192" s="21" t="str">
        <f>IFERROR(__xludf.DUMMYFUNCTION("""COMPUTED_VALUE"""),"")</f>
        <v/>
      </c>
      <c r="F192" s="21" t="str">
        <f>IFERROR(__xludf.DUMMYFUNCTION("""COMPUTED_VALUE"""),"")</f>
        <v/>
      </c>
      <c r="G192" s="22" t="str">
        <f>IFERROR(__xludf.DUMMYFUNCTION("""COMPUTED_VALUE"""),"")</f>
        <v/>
      </c>
      <c r="H192" s="4"/>
      <c r="I192" s="5" t="s">
        <v>435</v>
      </c>
      <c r="J192" s="5" t="s">
        <v>30</v>
      </c>
      <c r="K192" s="5">
        <v>117.2</v>
      </c>
      <c r="L192" s="5">
        <v>-3.0893</v>
      </c>
      <c r="M192" s="5">
        <v>1.05857</v>
      </c>
      <c r="N192" s="5">
        <v>-2.03073</v>
      </c>
      <c r="O192" s="5">
        <v>-0.00111</v>
      </c>
    </row>
    <row r="193">
      <c r="A193" s="12" t="str">
        <f>IFERROR(__xludf.DUMMYFUNCTION("""COMPUTED_VALUE"""),"")</f>
        <v/>
      </c>
      <c r="B193" s="13" t="str">
        <f>IFERROR(__xludf.DUMMYFUNCTION("""COMPUTED_VALUE"""),"")</f>
        <v/>
      </c>
      <c r="C193" s="14" t="str">
        <f>IFERROR(__xludf.DUMMYFUNCTION("""COMPUTED_VALUE"""),"")</f>
        <v/>
      </c>
      <c r="D193" s="15" t="str">
        <f>IFERROR(__xludf.DUMMYFUNCTION("""COMPUTED_VALUE"""),"")</f>
        <v/>
      </c>
      <c r="E193" s="15" t="str">
        <f>IFERROR(__xludf.DUMMYFUNCTION("""COMPUTED_VALUE"""),"")</f>
        <v/>
      </c>
      <c r="F193" s="15" t="str">
        <f>IFERROR(__xludf.DUMMYFUNCTION("""COMPUTED_VALUE"""),"")</f>
        <v/>
      </c>
      <c r="G193" s="16" t="str">
        <f>IFERROR(__xludf.DUMMYFUNCTION("""COMPUTED_VALUE"""),"")</f>
        <v/>
      </c>
      <c r="H193" s="4"/>
      <c r="I193" s="5" t="s">
        <v>437</v>
      </c>
      <c r="J193" s="5" t="s">
        <v>22</v>
      </c>
      <c r="K193" s="5">
        <v>114.1</v>
      </c>
      <c r="L193" s="5">
        <v>-2.38859</v>
      </c>
      <c r="M193" s="5">
        <v>0.31406</v>
      </c>
      <c r="N193" s="5">
        <v>-2.07453</v>
      </c>
      <c r="O193" s="5">
        <v>-0.0026</v>
      </c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2" t="str">
        <f>IFERROR(__xludf.DUMMYFUNCTION("""COMPUTED_VALUE"""),"")</f>
        <v/>
      </c>
      <c r="H194" s="4"/>
      <c r="I194" s="5" t="s">
        <v>438</v>
      </c>
      <c r="J194" s="5" t="s">
        <v>19</v>
      </c>
      <c r="K194" s="5">
        <v>372.9</v>
      </c>
      <c r="L194" s="5">
        <v>-3.22583</v>
      </c>
      <c r="M194" s="5">
        <v>1.13349</v>
      </c>
      <c r="N194" s="5">
        <v>-2.09233</v>
      </c>
      <c r="O194" s="5">
        <v>-0.01038</v>
      </c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6" t="str">
        <f>IFERROR(__xludf.DUMMYFUNCTION("""COMPUTED_VALUE"""),"")</f>
        <v/>
      </c>
      <c r="H195" s="4"/>
      <c r="I195" s="5" t="s">
        <v>439</v>
      </c>
      <c r="J195" s="5" t="s">
        <v>118</v>
      </c>
      <c r="K195" s="5">
        <v>604.0</v>
      </c>
      <c r="L195" s="5">
        <v>0.05184</v>
      </c>
      <c r="M195" s="5">
        <v>-2.19915</v>
      </c>
      <c r="N195" s="5">
        <v>-2.14731</v>
      </c>
      <c r="O195" s="5">
        <v>-0.02668</v>
      </c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2" t="str">
        <f>IFERROR(__xludf.DUMMYFUNCTION("""COMPUTED_VALUE"""),"")</f>
        <v/>
      </c>
      <c r="H196" s="4"/>
      <c r="I196" s="5" t="s">
        <v>441</v>
      </c>
      <c r="J196" s="5" t="s">
        <v>30</v>
      </c>
      <c r="K196" s="5">
        <v>681.6</v>
      </c>
      <c r="L196" s="5">
        <v>-3.28574</v>
      </c>
      <c r="M196" s="5">
        <v>1.0959</v>
      </c>
      <c r="N196" s="5">
        <v>-2.18984</v>
      </c>
      <c r="O196" s="5">
        <v>-0.03973</v>
      </c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6" t="str">
        <f>IFERROR(__xludf.DUMMYFUNCTION("""COMPUTED_VALUE"""),"")</f>
        <v/>
      </c>
      <c r="H197" s="4"/>
      <c r="I197" s="5" t="s">
        <v>443</v>
      </c>
      <c r="J197" s="5" t="s">
        <v>51</v>
      </c>
      <c r="K197" s="5">
        <v>782.2</v>
      </c>
      <c r="L197" s="5">
        <v>-3.16271</v>
      </c>
      <c r="M197" s="5">
        <v>0.93236</v>
      </c>
      <c r="N197" s="5">
        <v>-2.23036</v>
      </c>
      <c r="O197" s="5">
        <v>-0.05494</v>
      </c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2" t="str">
        <f>IFERROR(__xludf.DUMMYFUNCTION("""COMPUTED_VALUE"""),"")</f>
        <v/>
      </c>
      <c r="H198" s="4"/>
      <c r="I198" s="5" t="s">
        <v>444</v>
      </c>
      <c r="J198" s="5" t="s">
        <v>64</v>
      </c>
      <c r="K198" s="5">
        <v>144.0</v>
      </c>
      <c r="L198" s="5">
        <v>-1.32934</v>
      </c>
      <c r="M198" s="5">
        <v>-0.95407</v>
      </c>
      <c r="N198" s="5">
        <v>-2.2834</v>
      </c>
      <c r="O198" s="5">
        <v>-0.01242</v>
      </c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6" t="str">
        <f>IFERROR(__xludf.DUMMYFUNCTION("""COMPUTED_VALUE"""),"")</f>
        <v/>
      </c>
      <c r="H199" s="4"/>
      <c r="I199" s="5" t="s">
        <v>201</v>
      </c>
      <c r="J199" s="5" t="s">
        <v>59</v>
      </c>
      <c r="K199" s="5">
        <v>477.5</v>
      </c>
      <c r="L199" s="5">
        <v>-0.27278</v>
      </c>
      <c r="M199" s="5">
        <v>-2.02787</v>
      </c>
      <c r="N199" s="5">
        <v>-2.30065</v>
      </c>
      <c r="O199" s="5">
        <v>-0.0434</v>
      </c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2" t="str">
        <f>IFERROR(__xludf.DUMMYFUNCTION("""COMPUTED_VALUE"""),"")</f>
        <v/>
      </c>
      <c r="H200" s="4"/>
      <c r="I200" s="5" t="s">
        <v>445</v>
      </c>
      <c r="J200" s="5" t="s">
        <v>76</v>
      </c>
      <c r="K200" s="5">
        <v>806.7</v>
      </c>
      <c r="L200" s="5">
        <v>-2.32096</v>
      </c>
      <c r="M200" s="5">
        <v>0.0102</v>
      </c>
      <c r="N200" s="5">
        <v>-2.31076</v>
      </c>
      <c r="O200" s="5">
        <v>-0.07747</v>
      </c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6" t="str">
        <f>IFERROR(__xludf.DUMMYFUNCTION("""COMPUTED_VALUE"""),"")</f>
        <v/>
      </c>
      <c r="H201" s="4"/>
      <c r="I201" s="5" t="s">
        <v>447</v>
      </c>
      <c r="J201" s="5" t="s">
        <v>72</v>
      </c>
      <c r="K201" s="5">
        <v>580.2</v>
      </c>
      <c r="L201" s="5">
        <v>-2.38199</v>
      </c>
      <c r="M201" s="5">
        <v>0.03973</v>
      </c>
      <c r="N201" s="5">
        <v>-2.34226</v>
      </c>
      <c r="O201" s="5">
        <v>-0.06155</v>
      </c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2" t="str">
        <f>IFERROR(__xludf.DUMMYFUNCTION("""COMPUTED_VALUE"""),"")</f>
        <v/>
      </c>
      <c r="H202" s="4"/>
      <c r="I202" s="5" t="s">
        <v>286</v>
      </c>
      <c r="J202" s="5" t="s">
        <v>22</v>
      </c>
      <c r="K202" s="5">
        <v>571.7</v>
      </c>
      <c r="L202" s="5">
        <v>-1.61152</v>
      </c>
      <c r="M202" s="5">
        <v>-0.74695</v>
      </c>
      <c r="N202" s="5">
        <v>-2.35847</v>
      </c>
      <c r="O202" s="5">
        <v>-0.06276</v>
      </c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6" t="str">
        <f>IFERROR(__xludf.DUMMYFUNCTION("""COMPUTED_VALUE"""),"")</f>
        <v/>
      </c>
      <c r="H203" s="4"/>
      <c r="I203" s="5" t="s">
        <v>448</v>
      </c>
      <c r="J203" s="5" t="s">
        <v>60</v>
      </c>
      <c r="K203" s="5">
        <v>49.5</v>
      </c>
      <c r="L203" s="5">
        <v>-1.83695</v>
      </c>
      <c r="M203" s="5">
        <v>-0.52741</v>
      </c>
      <c r="N203" s="5">
        <v>-2.36436</v>
      </c>
      <c r="O203" s="5">
        <v>-0.0055</v>
      </c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2" t="str">
        <f>IFERROR(__xludf.DUMMYFUNCTION("""COMPUTED_VALUE"""),"")</f>
        <v/>
      </c>
      <c r="H204" s="4"/>
      <c r="I204" s="5" t="s">
        <v>450</v>
      </c>
      <c r="J204" s="5" t="s">
        <v>72</v>
      </c>
      <c r="K204" s="5">
        <v>219.5</v>
      </c>
      <c r="L204" s="5">
        <v>-2.41128</v>
      </c>
      <c r="M204" s="5">
        <v>0.03361</v>
      </c>
      <c r="N204" s="5">
        <v>-2.37767</v>
      </c>
      <c r="O204" s="5">
        <v>-0.02569</v>
      </c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6" t="str">
        <f>IFERROR(__xludf.DUMMYFUNCTION("""COMPUTED_VALUE"""),"")</f>
        <v/>
      </c>
      <c r="H205" s="4"/>
      <c r="I205" s="5" t="s">
        <v>452</v>
      </c>
      <c r="J205" s="5" t="s">
        <v>51</v>
      </c>
      <c r="K205" s="5">
        <v>103.7</v>
      </c>
      <c r="L205" s="5">
        <v>-2.33667</v>
      </c>
      <c r="M205" s="5">
        <v>-0.06657</v>
      </c>
      <c r="N205" s="5">
        <v>-2.40324</v>
      </c>
      <c r="O205" s="5">
        <v>-0.01275</v>
      </c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2" t="str">
        <f>IFERROR(__xludf.DUMMYFUNCTION("""COMPUTED_VALUE"""),"")</f>
        <v/>
      </c>
      <c r="H206" s="4"/>
      <c r="I206" s="5" t="s">
        <v>453</v>
      </c>
      <c r="J206" s="5" t="s">
        <v>60</v>
      </c>
      <c r="K206" s="5">
        <v>182.4</v>
      </c>
      <c r="L206" s="5">
        <v>-0.3388</v>
      </c>
      <c r="M206" s="5">
        <v>-2.09375</v>
      </c>
      <c r="N206" s="5">
        <v>-2.43254</v>
      </c>
      <c r="O206" s="5">
        <v>-0.02405</v>
      </c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6" t="str">
        <f>IFERROR(__xludf.DUMMYFUNCTION("""COMPUTED_VALUE"""),"")</f>
        <v/>
      </c>
      <c r="H207" s="4"/>
      <c r="I207" s="5" t="s">
        <v>455</v>
      </c>
      <c r="J207" s="5" t="s">
        <v>64</v>
      </c>
      <c r="K207" s="5">
        <v>359.7</v>
      </c>
      <c r="L207" s="5">
        <v>-2.1235</v>
      </c>
      <c r="M207" s="5">
        <v>-0.33462</v>
      </c>
      <c r="N207" s="5">
        <v>-2.45812</v>
      </c>
      <c r="O207" s="5">
        <v>-0.05024</v>
      </c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2" t="str">
        <f>IFERROR(__xludf.DUMMYFUNCTION("""COMPUTED_VALUE"""),"")</f>
        <v/>
      </c>
      <c r="H208" s="4"/>
      <c r="I208" s="5" t="s">
        <v>122</v>
      </c>
      <c r="J208" s="5" t="s">
        <v>59</v>
      </c>
      <c r="K208" s="5">
        <v>519.0</v>
      </c>
      <c r="L208" s="5">
        <v>0.76139</v>
      </c>
      <c r="M208" s="5">
        <v>-3.23812</v>
      </c>
      <c r="N208" s="5">
        <v>-2.47673</v>
      </c>
      <c r="O208" s="5">
        <v>-0.0748</v>
      </c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6" t="str">
        <f>IFERROR(__xludf.DUMMYFUNCTION("""COMPUTED_VALUE"""),"")</f>
        <v/>
      </c>
      <c r="H209" s="4"/>
      <c r="I209" s="5" t="s">
        <v>456</v>
      </c>
      <c r="J209" s="5" t="s">
        <v>60</v>
      </c>
      <c r="K209" s="5">
        <v>252.2</v>
      </c>
      <c r="L209" s="5">
        <v>-0.30685</v>
      </c>
      <c r="M209" s="5">
        <v>-2.19798</v>
      </c>
      <c r="N209" s="5">
        <v>-2.50483</v>
      </c>
      <c r="O209" s="5">
        <v>-0.03882</v>
      </c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2" t="str">
        <f>IFERROR(__xludf.DUMMYFUNCTION("""COMPUTED_VALUE"""),"")</f>
        <v/>
      </c>
      <c r="H210" s="4"/>
      <c r="I210" s="5" t="s">
        <v>192</v>
      </c>
      <c r="J210" s="5" t="s">
        <v>41</v>
      </c>
      <c r="K210" s="5">
        <v>316.2</v>
      </c>
      <c r="L210" s="5">
        <v>-2.20091</v>
      </c>
      <c r="M210" s="5">
        <v>-0.34155</v>
      </c>
      <c r="N210" s="5">
        <v>-2.54246</v>
      </c>
      <c r="O210" s="5">
        <v>-0.0523</v>
      </c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6" t="str">
        <f>IFERROR(__xludf.DUMMYFUNCTION("""COMPUTED_VALUE"""),"")</f>
        <v/>
      </c>
      <c r="H211" s="4"/>
      <c r="I211" s="5" t="s">
        <v>458</v>
      </c>
      <c r="J211" s="5" t="s">
        <v>72</v>
      </c>
      <c r="K211" s="5">
        <v>500.4</v>
      </c>
      <c r="L211" s="5">
        <v>-0.21431</v>
      </c>
      <c r="M211" s="5">
        <v>-2.35668</v>
      </c>
      <c r="N211" s="5">
        <v>-2.57098</v>
      </c>
      <c r="O211" s="5">
        <v>-0.08856</v>
      </c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2" t="str">
        <f>IFERROR(__xludf.DUMMYFUNCTION("""COMPUTED_VALUE"""),"")</f>
        <v/>
      </c>
      <c r="H212" s="4"/>
      <c r="I212" s="5" t="s">
        <v>460</v>
      </c>
      <c r="J212" s="5" t="s">
        <v>137</v>
      </c>
      <c r="K212" s="5">
        <v>327.1</v>
      </c>
      <c r="L212" s="5">
        <v>-1.42658</v>
      </c>
      <c r="M212" s="5">
        <v>-1.1478</v>
      </c>
      <c r="N212" s="5">
        <v>-2.57439</v>
      </c>
      <c r="O212" s="5">
        <v>-0.05728</v>
      </c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6" t="str">
        <f>IFERROR(__xludf.DUMMYFUNCTION("""COMPUTED_VALUE"""),"")</f>
        <v/>
      </c>
      <c r="H213" s="4"/>
      <c r="I213" s="5" t="s">
        <v>461</v>
      </c>
      <c r="J213" s="5" t="s">
        <v>137</v>
      </c>
      <c r="K213" s="5">
        <v>129.1</v>
      </c>
      <c r="L213" s="5">
        <v>-1.06242</v>
      </c>
      <c r="M213" s="5">
        <v>-1.52034</v>
      </c>
      <c r="N213" s="5">
        <v>-2.58276</v>
      </c>
      <c r="O213" s="5">
        <v>-0.02294</v>
      </c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2" t="str">
        <f>IFERROR(__xludf.DUMMYFUNCTION("""COMPUTED_VALUE"""),"")</f>
        <v/>
      </c>
      <c r="H214" s="4"/>
      <c r="I214" s="5" t="s">
        <v>463</v>
      </c>
      <c r="J214" s="5" t="s">
        <v>22</v>
      </c>
      <c r="K214" s="5">
        <v>646.4</v>
      </c>
      <c r="L214" s="5">
        <v>-1.87306</v>
      </c>
      <c r="M214" s="5">
        <v>-0.72352</v>
      </c>
      <c r="N214" s="5">
        <v>-2.59658</v>
      </c>
      <c r="O214" s="5">
        <v>-0.11809</v>
      </c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6" t="str">
        <f>IFERROR(__xludf.DUMMYFUNCTION("""COMPUTED_VALUE"""),"")</f>
        <v/>
      </c>
      <c r="H215" s="4"/>
      <c r="I215" s="5" t="s">
        <v>464</v>
      </c>
      <c r="J215" s="5" t="s">
        <v>72</v>
      </c>
      <c r="K215" s="5">
        <v>601.4</v>
      </c>
      <c r="L215" s="5">
        <v>-1.93897</v>
      </c>
      <c r="M215" s="5">
        <v>-0.76184</v>
      </c>
      <c r="N215" s="5">
        <v>-2.7008</v>
      </c>
      <c r="O215" s="5">
        <v>-0.13063</v>
      </c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2" t="str">
        <f>IFERROR(__xludf.DUMMYFUNCTION("""COMPUTED_VALUE"""),"")</f>
        <v/>
      </c>
      <c r="H216" s="4"/>
      <c r="I216" s="5" t="s">
        <v>466</v>
      </c>
      <c r="J216" s="5" t="s">
        <v>60</v>
      </c>
      <c r="K216" s="5">
        <v>767.7</v>
      </c>
      <c r="L216" s="5">
        <v>-0.05408</v>
      </c>
      <c r="M216" s="5">
        <v>-2.69251</v>
      </c>
      <c r="N216" s="5">
        <v>-2.74659</v>
      </c>
      <c r="O216" s="5">
        <v>-0.17475</v>
      </c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6" t="str">
        <f>IFERROR(__xludf.DUMMYFUNCTION("""COMPUTED_VALUE"""),"")</f>
        <v/>
      </c>
      <c r="H217" s="4"/>
      <c r="I217" s="5" t="s">
        <v>467</v>
      </c>
      <c r="J217" s="5" t="s">
        <v>137</v>
      </c>
      <c r="K217" s="5">
        <v>611.3</v>
      </c>
      <c r="L217" s="5">
        <v>-2.99869</v>
      </c>
      <c r="M217" s="5">
        <v>0.20979</v>
      </c>
      <c r="N217" s="5">
        <v>-2.7889</v>
      </c>
      <c r="O217" s="5">
        <v>-0.14703</v>
      </c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2" t="str">
        <f>IFERROR(__xludf.DUMMYFUNCTION("""COMPUTED_VALUE"""),"")</f>
        <v/>
      </c>
      <c r="H218" s="4"/>
      <c r="I218" s="5" t="s">
        <v>469</v>
      </c>
      <c r="J218" s="5" t="s">
        <v>72</v>
      </c>
      <c r="K218" s="5">
        <v>155.7</v>
      </c>
      <c r="L218" s="5">
        <v>-2.5444</v>
      </c>
      <c r="M218" s="5">
        <v>-0.25378</v>
      </c>
      <c r="N218" s="5">
        <v>-2.79818</v>
      </c>
      <c r="O218" s="5">
        <v>-0.03852</v>
      </c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6" t="str">
        <f>IFERROR(__xludf.DUMMYFUNCTION("""COMPUTED_VALUE"""),"")</f>
        <v/>
      </c>
      <c r="H219" s="4"/>
      <c r="I219" s="5" t="s">
        <v>470</v>
      </c>
      <c r="J219" s="5" t="s">
        <v>60</v>
      </c>
      <c r="K219" s="5">
        <v>392.8</v>
      </c>
      <c r="L219" s="5">
        <v>0.02557</v>
      </c>
      <c r="M219" s="5">
        <v>-2.85547</v>
      </c>
      <c r="N219" s="5">
        <v>-2.8299</v>
      </c>
      <c r="O219" s="5">
        <v>-0.09939</v>
      </c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2" t="str">
        <f>IFERROR(__xludf.DUMMYFUNCTION("""COMPUTED_VALUE"""),"")</f>
        <v/>
      </c>
      <c r="H220" s="4"/>
      <c r="I220" s="5" t="s">
        <v>471</v>
      </c>
      <c r="J220" s="5" t="s">
        <v>19</v>
      </c>
      <c r="K220" s="5">
        <v>118.9</v>
      </c>
      <c r="L220" s="5">
        <v>-2.18136</v>
      </c>
      <c r="M220" s="5">
        <v>-0.66629</v>
      </c>
      <c r="N220" s="5">
        <v>-2.84764</v>
      </c>
      <c r="O220" s="5">
        <v>-0.03039</v>
      </c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6" t="str">
        <f>IFERROR(__xludf.DUMMYFUNCTION("""COMPUTED_VALUE"""),"")</f>
        <v/>
      </c>
      <c r="H221" s="4"/>
      <c r="I221" s="5" t="s">
        <v>116</v>
      </c>
      <c r="J221" s="5" t="s">
        <v>59</v>
      </c>
      <c r="K221" s="5">
        <v>443.2</v>
      </c>
      <c r="L221" s="5">
        <v>-0.6852</v>
      </c>
      <c r="M221" s="5">
        <v>-2.20615</v>
      </c>
      <c r="N221" s="5">
        <v>-2.89135</v>
      </c>
      <c r="O221" s="5">
        <v>-0.11944</v>
      </c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2" t="str">
        <f>IFERROR(__xludf.DUMMYFUNCTION("""COMPUTED_VALUE"""),"")</f>
        <v/>
      </c>
      <c r="H222" s="4"/>
      <c r="I222" s="5" t="s">
        <v>472</v>
      </c>
      <c r="J222" s="5" t="s">
        <v>30</v>
      </c>
      <c r="K222" s="5">
        <v>86.5</v>
      </c>
      <c r="L222" s="5">
        <v>-2.07297</v>
      </c>
      <c r="M222" s="5">
        <v>-0.84353</v>
      </c>
      <c r="N222" s="5">
        <v>-2.9165</v>
      </c>
      <c r="O222" s="5">
        <v>-0.02434</v>
      </c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6" t="str">
        <f>IFERROR(__xludf.DUMMYFUNCTION("""COMPUTED_VALUE"""),"")</f>
        <v/>
      </c>
      <c r="H223" s="4"/>
      <c r="I223" s="5" t="s">
        <v>474</v>
      </c>
      <c r="J223" s="5" t="s">
        <v>12</v>
      </c>
      <c r="K223" s="5">
        <v>227.8</v>
      </c>
      <c r="L223" s="5">
        <v>-1.84628</v>
      </c>
      <c r="M223" s="5">
        <v>-1.08084</v>
      </c>
      <c r="N223" s="5">
        <v>-2.92713</v>
      </c>
      <c r="O223" s="5">
        <v>-0.06417</v>
      </c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2" t="str">
        <f>IFERROR(__xludf.DUMMYFUNCTION("""COMPUTED_VALUE"""),"")</f>
        <v/>
      </c>
      <c r="H224" s="4"/>
      <c r="I224" s="5" t="s">
        <v>475</v>
      </c>
      <c r="J224" s="5" t="s">
        <v>59</v>
      </c>
      <c r="K224" s="5">
        <v>126.7</v>
      </c>
      <c r="L224" s="5">
        <v>-1.85586</v>
      </c>
      <c r="M224" s="5">
        <v>-1.09059</v>
      </c>
      <c r="N224" s="5">
        <v>-2.94645</v>
      </c>
      <c r="O224" s="5">
        <v>-0.03625</v>
      </c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6" t="str">
        <f>IFERROR(__xludf.DUMMYFUNCTION("""COMPUTED_VALUE"""),"")</f>
        <v/>
      </c>
      <c r="H225" s="4"/>
      <c r="I225" s="5" t="s">
        <v>477</v>
      </c>
      <c r="J225" s="5" t="s">
        <v>30</v>
      </c>
      <c r="K225" s="5">
        <v>90.8</v>
      </c>
      <c r="L225" s="5">
        <v>-2.27314</v>
      </c>
      <c r="M225" s="5">
        <v>-0.7069</v>
      </c>
      <c r="N225" s="5">
        <v>-2.98004</v>
      </c>
      <c r="O225" s="5">
        <v>-0.02732</v>
      </c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2" t="str">
        <f>IFERROR(__xludf.DUMMYFUNCTION("""COMPUTED_VALUE"""),"")</f>
        <v/>
      </c>
      <c r="H226" s="4"/>
      <c r="I226" s="5" t="s">
        <v>479</v>
      </c>
      <c r="J226" s="5" t="s">
        <v>137</v>
      </c>
      <c r="K226" s="5">
        <v>698.9</v>
      </c>
      <c r="L226" s="5">
        <v>-0.80398</v>
      </c>
      <c r="M226" s="5">
        <v>-2.25738</v>
      </c>
      <c r="N226" s="5">
        <v>-3.06136</v>
      </c>
      <c r="O226" s="5">
        <v>-0.22615</v>
      </c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6" t="str">
        <f>IFERROR(__xludf.DUMMYFUNCTION("""COMPUTED_VALUE"""),"")</f>
        <v/>
      </c>
      <c r="H227" s="4"/>
      <c r="I227" s="5" t="s">
        <v>480</v>
      </c>
      <c r="J227" s="5" t="s">
        <v>118</v>
      </c>
      <c r="K227" s="5">
        <v>653.8</v>
      </c>
      <c r="L227" s="5">
        <v>-0.82011</v>
      </c>
      <c r="M227" s="5">
        <v>-2.27937</v>
      </c>
      <c r="N227" s="5">
        <v>-3.09948</v>
      </c>
      <c r="O227" s="5">
        <v>-0.21558</v>
      </c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2" t="str">
        <f>IFERROR(__xludf.DUMMYFUNCTION("""COMPUTED_VALUE"""),"")</f>
        <v/>
      </c>
      <c r="H228" s="4"/>
      <c r="I228" s="5" t="s">
        <v>482</v>
      </c>
      <c r="J228" s="5" t="s">
        <v>51</v>
      </c>
      <c r="K228" s="5">
        <v>349.1</v>
      </c>
      <c r="L228" s="5">
        <v>-1.02925</v>
      </c>
      <c r="M228" s="5">
        <v>-2.08865</v>
      </c>
      <c r="N228" s="5">
        <v>-3.1179</v>
      </c>
      <c r="O228" s="5">
        <v>-0.11899</v>
      </c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6" t="str">
        <f>IFERROR(__xludf.DUMMYFUNCTION("""COMPUTED_VALUE"""),"")</f>
        <v/>
      </c>
      <c r="H229" s="4"/>
      <c r="I229" s="5" t="s">
        <v>484</v>
      </c>
      <c r="J229" s="5" t="s">
        <v>76</v>
      </c>
      <c r="K229" s="5">
        <v>225.0</v>
      </c>
      <c r="L229" s="5">
        <v>-2.69701</v>
      </c>
      <c r="M229" s="5">
        <v>-0.56827</v>
      </c>
      <c r="N229" s="5">
        <v>-3.26528</v>
      </c>
      <c r="O229" s="5">
        <v>-0.08801</v>
      </c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2" t="str">
        <f>IFERROR(__xludf.DUMMYFUNCTION("""COMPUTED_VALUE"""),"")</f>
        <v/>
      </c>
      <c r="H230" s="4"/>
      <c r="I230" s="5" t="s">
        <v>485</v>
      </c>
      <c r="J230" s="5" t="s">
        <v>64</v>
      </c>
      <c r="K230" s="5">
        <v>687.6</v>
      </c>
      <c r="L230" s="5">
        <v>-2.28131</v>
      </c>
      <c r="M230" s="5">
        <v>-1.05832</v>
      </c>
      <c r="N230" s="5">
        <v>-3.33963</v>
      </c>
      <c r="O230" s="5">
        <v>-0.28083</v>
      </c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6" t="str">
        <f>IFERROR(__xludf.DUMMYFUNCTION("""COMPUTED_VALUE"""),"")</f>
        <v/>
      </c>
      <c r="H231" s="4"/>
      <c r="I231" s="5" t="s">
        <v>486</v>
      </c>
      <c r="J231" s="5" t="s">
        <v>22</v>
      </c>
      <c r="K231" s="5">
        <v>99.4</v>
      </c>
      <c r="L231" s="5">
        <v>-2.53149</v>
      </c>
      <c r="M231" s="5">
        <v>-0.80823</v>
      </c>
      <c r="N231" s="5">
        <v>-3.33971</v>
      </c>
      <c r="O231" s="5">
        <v>-0.04078</v>
      </c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2" t="str">
        <f>IFERROR(__xludf.DUMMYFUNCTION("""COMPUTED_VALUE"""),"")</f>
        <v/>
      </c>
      <c r="H232" s="4"/>
      <c r="I232" s="5" t="s">
        <v>487</v>
      </c>
      <c r="J232" s="5" t="s">
        <v>118</v>
      </c>
      <c r="K232" s="5">
        <v>149.5</v>
      </c>
      <c r="L232" s="5">
        <v>-1.80105</v>
      </c>
      <c r="M232" s="5">
        <v>-1.5978</v>
      </c>
      <c r="N232" s="5">
        <v>-3.39885</v>
      </c>
      <c r="O232" s="5">
        <v>-0.06272</v>
      </c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6" t="str">
        <f>IFERROR(__xludf.DUMMYFUNCTION("""COMPUTED_VALUE"""),"")</f>
        <v/>
      </c>
      <c r="H233" s="4"/>
      <c r="I233" s="5" t="s">
        <v>489</v>
      </c>
      <c r="J233" s="5" t="s">
        <v>36</v>
      </c>
      <c r="K233" s="5">
        <v>141.0</v>
      </c>
      <c r="L233" s="5">
        <v>-2.27886</v>
      </c>
      <c r="M233" s="5">
        <v>-1.15816</v>
      </c>
      <c r="N233" s="5">
        <v>-3.43702</v>
      </c>
      <c r="O233" s="5">
        <v>-0.06089</v>
      </c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2" t="str">
        <f>IFERROR(__xludf.DUMMYFUNCTION("""COMPUTED_VALUE"""),"")</f>
        <v/>
      </c>
      <c r="H234" s="4"/>
      <c r="I234" s="5" t="s">
        <v>491</v>
      </c>
      <c r="J234" s="5" t="s">
        <v>64</v>
      </c>
      <c r="K234" s="5">
        <v>679.1</v>
      </c>
      <c r="L234" s="5">
        <v>-1.22138</v>
      </c>
      <c r="M234" s="5">
        <v>-2.24876</v>
      </c>
      <c r="N234" s="5">
        <v>-3.47014</v>
      </c>
      <c r="O234" s="5">
        <v>-0.30438</v>
      </c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6" t="str">
        <f>IFERROR(__xludf.DUMMYFUNCTION("""COMPUTED_VALUE"""),"")</f>
        <v/>
      </c>
      <c r="H235" s="4"/>
      <c r="I235" s="5" t="s">
        <v>492</v>
      </c>
      <c r="J235" s="5" t="s">
        <v>76</v>
      </c>
      <c r="K235" s="5">
        <v>520.0</v>
      </c>
      <c r="L235" s="5">
        <v>-2.02519</v>
      </c>
      <c r="M235" s="5">
        <v>-1.4657</v>
      </c>
      <c r="N235" s="5">
        <v>-3.4909</v>
      </c>
      <c r="O235" s="5">
        <v>-0.23957</v>
      </c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2" t="str">
        <f>IFERROR(__xludf.DUMMYFUNCTION("""COMPUTED_VALUE"""),"")</f>
        <v/>
      </c>
      <c r="H236" s="4"/>
      <c r="I236" s="5" t="s">
        <v>494</v>
      </c>
      <c r="J236" s="5" t="s">
        <v>22</v>
      </c>
      <c r="K236" s="5">
        <v>499.0</v>
      </c>
      <c r="L236" s="5">
        <v>-2.25393</v>
      </c>
      <c r="M236" s="5">
        <v>-1.25693</v>
      </c>
      <c r="N236" s="5">
        <v>-3.51086</v>
      </c>
      <c r="O236" s="5">
        <v>-0.23086</v>
      </c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6" t="str">
        <f>IFERROR(__xludf.DUMMYFUNCTION("""COMPUTED_VALUE"""),"")</f>
        <v/>
      </c>
      <c r="H237" s="4"/>
      <c r="I237" s="5" t="s">
        <v>496</v>
      </c>
      <c r="J237" s="5" t="s">
        <v>76</v>
      </c>
      <c r="K237" s="5">
        <v>195.8</v>
      </c>
      <c r="L237" s="5">
        <v>-3.51982</v>
      </c>
      <c r="M237" s="5">
        <v>-0.02289</v>
      </c>
      <c r="N237" s="5">
        <v>-3.54271</v>
      </c>
      <c r="O237" s="5">
        <v>-0.09334</v>
      </c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2" t="str">
        <f>IFERROR(__xludf.DUMMYFUNCTION("""COMPUTED_VALUE"""),"")</f>
        <v/>
      </c>
      <c r="H238" s="4"/>
      <c r="I238" s="5" t="s">
        <v>498</v>
      </c>
      <c r="J238" s="5" t="s">
        <v>60</v>
      </c>
      <c r="K238" s="5">
        <v>115.8</v>
      </c>
      <c r="L238" s="5">
        <v>-3.05416</v>
      </c>
      <c r="M238" s="5">
        <v>-0.49091</v>
      </c>
      <c r="N238" s="5">
        <v>-3.54507</v>
      </c>
      <c r="O238" s="5">
        <v>-0.05455</v>
      </c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6" t="str">
        <f>IFERROR(__xludf.DUMMYFUNCTION("""COMPUTED_VALUE"""),"")</f>
        <v/>
      </c>
      <c r="H239" s="4"/>
      <c r="I239" s="5" t="s">
        <v>500</v>
      </c>
      <c r="J239" s="5" t="s">
        <v>19</v>
      </c>
      <c r="K239" s="5">
        <v>392.9</v>
      </c>
      <c r="L239" s="5">
        <v>-2.64643</v>
      </c>
      <c r="M239" s="5">
        <v>-1.05385</v>
      </c>
      <c r="N239" s="5">
        <v>-3.70028</v>
      </c>
      <c r="O239" s="5">
        <v>-0.20145</v>
      </c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2" t="str">
        <f>IFERROR(__xludf.DUMMYFUNCTION("""COMPUTED_VALUE"""),"")</f>
        <v/>
      </c>
      <c r="H240" s="4"/>
      <c r="I240" s="5" t="s">
        <v>501</v>
      </c>
      <c r="J240" s="5" t="s">
        <v>137</v>
      </c>
      <c r="K240" s="5">
        <v>753.1</v>
      </c>
      <c r="L240" s="5">
        <v>-1.96351</v>
      </c>
      <c r="M240" s="5">
        <v>-1.79168</v>
      </c>
      <c r="N240" s="5">
        <v>-3.75519</v>
      </c>
      <c r="O240" s="5">
        <v>-0.403</v>
      </c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6" t="str">
        <f>IFERROR(__xludf.DUMMYFUNCTION("""COMPUTED_VALUE"""),"")</f>
        <v/>
      </c>
      <c r="H241" s="4"/>
      <c r="I241" s="5" t="s">
        <v>503</v>
      </c>
      <c r="J241" s="5" t="s">
        <v>137</v>
      </c>
      <c r="K241" s="5">
        <v>111.0</v>
      </c>
      <c r="L241" s="5">
        <v>-2.85117</v>
      </c>
      <c r="M241" s="5">
        <v>-0.97706</v>
      </c>
      <c r="N241" s="5">
        <v>-3.82824</v>
      </c>
      <c r="O241" s="5">
        <v>-0.06193</v>
      </c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2" t="str">
        <f>IFERROR(__xludf.DUMMYFUNCTION("""COMPUTED_VALUE"""),"")</f>
        <v/>
      </c>
      <c r="H242" s="4"/>
      <c r="I242" s="5" t="s">
        <v>454</v>
      </c>
      <c r="J242" s="5" t="s">
        <v>137</v>
      </c>
      <c r="K242" s="5">
        <v>234.0</v>
      </c>
      <c r="L242" s="5">
        <v>-2.03796</v>
      </c>
      <c r="M242" s="5">
        <v>-1.87685</v>
      </c>
      <c r="N242" s="5">
        <v>-3.91481</v>
      </c>
      <c r="O242" s="5">
        <v>-0.13661</v>
      </c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6" t="str">
        <f>IFERROR(__xludf.DUMMYFUNCTION("""COMPUTED_VALUE"""),"")</f>
        <v/>
      </c>
      <c r="H243" s="4"/>
      <c r="I243" s="5" t="s">
        <v>505</v>
      </c>
      <c r="J243" s="5" t="s">
        <v>24</v>
      </c>
      <c r="K243" s="5">
        <v>342.5</v>
      </c>
      <c r="L243" s="5">
        <v>-1.40535</v>
      </c>
      <c r="M243" s="5">
        <v>-2.58661</v>
      </c>
      <c r="N243" s="5">
        <v>-3.99196</v>
      </c>
      <c r="O243" s="5">
        <v>-0.20801</v>
      </c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2" t="str">
        <f>IFERROR(__xludf.DUMMYFUNCTION("""COMPUTED_VALUE"""),"")</f>
        <v/>
      </c>
      <c r="H244" s="4"/>
      <c r="I244" s="5" t="s">
        <v>506</v>
      </c>
      <c r="J244" s="5" t="s">
        <v>137</v>
      </c>
      <c r="K244" s="5">
        <v>331.6</v>
      </c>
      <c r="L244" s="5">
        <v>-3.94012</v>
      </c>
      <c r="M244" s="5">
        <v>-0.15734</v>
      </c>
      <c r="N244" s="5">
        <v>-4.09746</v>
      </c>
      <c r="O244" s="5">
        <v>-0.21205</v>
      </c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6" t="str">
        <f>IFERROR(__xludf.DUMMYFUNCTION("""COMPUTED_VALUE"""),"")</f>
        <v/>
      </c>
      <c r="H245" s="4"/>
      <c r="I245" s="5" t="s">
        <v>507</v>
      </c>
      <c r="J245" s="5" t="s">
        <v>60</v>
      </c>
      <c r="K245" s="5">
        <v>241.0</v>
      </c>
      <c r="L245" s="5">
        <v>-2.55103</v>
      </c>
      <c r="M245" s="5">
        <v>-1.58075</v>
      </c>
      <c r="N245" s="5">
        <v>-4.13178</v>
      </c>
      <c r="O245" s="5">
        <v>-0.1567</v>
      </c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2" t="str">
        <f>IFERROR(__xludf.DUMMYFUNCTION("""COMPUTED_VALUE"""),"")</f>
        <v/>
      </c>
      <c r="H246" s="4"/>
      <c r="I246" s="5" t="s">
        <v>508</v>
      </c>
      <c r="J246" s="5" t="s">
        <v>60</v>
      </c>
      <c r="K246" s="5">
        <v>556.1</v>
      </c>
      <c r="L246" s="5">
        <v>-0.42205</v>
      </c>
      <c r="M246" s="5">
        <v>-3.82808</v>
      </c>
      <c r="N246" s="5">
        <v>-4.25013</v>
      </c>
      <c r="O246" s="5">
        <v>-0.3815</v>
      </c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6" t="str">
        <f>IFERROR(__xludf.DUMMYFUNCTION("""COMPUTED_VALUE"""),"")</f>
        <v/>
      </c>
      <c r="H247" s="4"/>
      <c r="I247" s="5" t="s">
        <v>509</v>
      </c>
      <c r="J247" s="5" t="s">
        <v>19</v>
      </c>
      <c r="K247" s="5">
        <v>562.1</v>
      </c>
      <c r="L247" s="5">
        <v>-2.99805</v>
      </c>
      <c r="M247" s="5">
        <v>-1.31187</v>
      </c>
      <c r="N247" s="5">
        <v>-4.30992</v>
      </c>
      <c r="O247" s="5">
        <v>-0.39154</v>
      </c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2" t="str">
        <f>IFERROR(__xludf.DUMMYFUNCTION("""COMPUTED_VALUE"""),"")</f>
        <v/>
      </c>
      <c r="H248" s="4"/>
      <c r="I248" s="5" t="s">
        <v>511</v>
      </c>
      <c r="J248" s="5" t="s">
        <v>51</v>
      </c>
      <c r="K248" s="5">
        <v>154.7</v>
      </c>
      <c r="L248" s="5">
        <v>-3.17814</v>
      </c>
      <c r="M248" s="5">
        <v>-1.19749</v>
      </c>
      <c r="N248" s="5">
        <v>-4.37562</v>
      </c>
      <c r="O248" s="5">
        <v>-0.11206</v>
      </c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6" t="str">
        <f>IFERROR(__xludf.DUMMYFUNCTION("""COMPUTED_VALUE"""),"")</f>
        <v/>
      </c>
      <c r="H249" s="4"/>
      <c r="I249" s="5" t="s">
        <v>513</v>
      </c>
      <c r="J249" s="5" t="s">
        <v>118</v>
      </c>
      <c r="K249" s="5">
        <v>325.9</v>
      </c>
      <c r="L249" s="5">
        <v>-3.60183</v>
      </c>
      <c r="M249" s="5">
        <v>-0.94255</v>
      </c>
      <c r="N249" s="5">
        <v>-4.54438</v>
      </c>
      <c r="O249" s="5">
        <v>-0.24869</v>
      </c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2" t="str">
        <f>IFERROR(__xludf.DUMMYFUNCTION("""COMPUTED_VALUE"""),"")</f>
        <v/>
      </c>
      <c r="H250" s="4"/>
      <c r="I250" s="5" t="s">
        <v>32</v>
      </c>
      <c r="J250" s="5" t="s">
        <v>22</v>
      </c>
      <c r="K250" s="5">
        <v>331.4</v>
      </c>
      <c r="L250" s="5">
        <v>-4.19872</v>
      </c>
      <c r="M250" s="5">
        <v>-0.53914</v>
      </c>
      <c r="N250" s="5">
        <v>-4.73786</v>
      </c>
      <c r="O250" s="5">
        <v>-0.27784</v>
      </c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6" t="str">
        <f>IFERROR(__xludf.DUMMYFUNCTION("""COMPUTED_VALUE"""),"")</f>
        <v/>
      </c>
      <c r="H251" s="4"/>
      <c r="I251" s="5" t="s">
        <v>101</v>
      </c>
      <c r="J251" s="5" t="s">
        <v>22</v>
      </c>
      <c r="K251" s="5">
        <v>446.0</v>
      </c>
      <c r="L251" s="5">
        <v>-2.94834</v>
      </c>
      <c r="M251" s="5">
        <v>-2.00183</v>
      </c>
      <c r="N251" s="5">
        <v>-4.95017</v>
      </c>
      <c r="O251" s="5">
        <v>-0.40309</v>
      </c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2" t="str">
        <f>IFERROR(__xludf.DUMMYFUNCTION("""COMPUTED_VALUE"""),"")</f>
        <v/>
      </c>
      <c r="H252" s="4"/>
      <c r="I252" s="5" t="s">
        <v>515</v>
      </c>
      <c r="J252" s="5" t="s">
        <v>72</v>
      </c>
      <c r="K252" s="5">
        <v>357.5</v>
      </c>
      <c r="L252" s="5">
        <v>-2.73592</v>
      </c>
      <c r="M252" s="5">
        <v>-2.41015</v>
      </c>
      <c r="N252" s="5">
        <v>-5.14607</v>
      </c>
      <c r="O252" s="5">
        <v>-0.3486</v>
      </c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6" t="str">
        <f>IFERROR(__xludf.DUMMYFUNCTION("""COMPUTED_VALUE"""),"")</f>
        <v/>
      </c>
      <c r="H253" s="4"/>
      <c r="I253" s="5" t="s">
        <v>517</v>
      </c>
      <c r="J253" s="5" t="s">
        <v>60</v>
      </c>
      <c r="K253" s="5">
        <v>390.2</v>
      </c>
      <c r="L253" s="5">
        <v>-3.19031</v>
      </c>
      <c r="M253" s="5">
        <v>-2.15139</v>
      </c>
      <c r="N253" s="5">
        <v>-5.3417</v>
      </c>
      <c r="O253" s="5">
        <v>-0.39755</v>
      </c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2" t="str">
        <f>IFERROR(__xludf.DUMMYFUNCTION("""COMPUTED_VALUE"""),"")</f>
        <v/>
      </c>
      <c r="H254" s="4"/>
      <c r="I254" s="5" t="s">
        <v>313</v>
      </c>
      <c r="J254" s="5" t="s">
        <v>41</v>
      </c>
      <c r="K254" s="5">
        <v>480.7</v>
      </c>
      <c r="L254" s="5">
        <v>-2.24664</v>
      </c>
      <c r="M254" s="5">
        <v>-3.6006</v>
      </c>
      <c r="N254" s="5">
        <v>-5.84724</v>
      </c>
      <c r="O254" s="5">
        <v>-0.56394</v>
      </c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6" t="str">
        <f>IFERROR(__xludf.DUMMYFUNCTION("""COMPUTED_VALUE"""),"")</f>
        <v/>
      </c>
      <c r="H255" s="4"/>
      <c r="I255" s="5" t="s">
        <v>518</v>
      </c>
      <c r="J255" s="5" t="s">
        <v>51</v>
      </c>
      <c r="K255" s="5">
        <v>312.0</v>
      </c>
      <c r="L255" s="5">
        <v>-5.59546</v>
      </c>
      <c r="M255" s="5">
        <v>-0.33044</v>
      </c>
      <c r="N255" s="5">
        <v>-5.9259</v>
      </c>
      <c r="O255" s="5">
        <v>-0.37287</v>
      </c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2" t="str">
        <f>IFERROR(__xludf.DUMMYFUNCTION("""COMPUTED_VALUE"""),"")</f>
        <v/>
      </c>
      <c r="H256" s="4"/>
      <c r="I256" s="5" t="s">
        <v>520</v>
      </c>
      <c r="J256" s="5" t="s">
        <v>60</v>
      </c>
      <c r="K256" s="5">
        <v>272.8</v>
      </c>
      <c r="L256" s="5">
        <v>-5.72838</v>
      </c>
      <c r="M256" s="5">
        <v>-2.04969</v>
      </c>
      <c r="N256" s="5">
        <v>-7.77808</v>
      </c>
      <c r="O256" s="5">
        <v>-0.48057</v>
      </c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6" t="str">
        <f>IFERROR(__xludf.DUMMYFUNCTION("""COMPUTED_VALUE"""),"")</f>
        <v/>
      </c>
      <c r="H257" s="4"/>
      <c r="I257" s="5" t="s">
        <v>521</v>
      </c>
      <c r="J257" s="5" t="s">
        <v>72</v>
      </c>
      <c r="K257" s="5">
        <v>199.2</v>
      </c>
      <c r="L257" s="5">
        <v>-11.71613</v>
      </c>
      <c r="M257" s="5">
        <v>0.24145</v>
      </c>
      <c r="N257" s="5">
        <v>-11.47468</v>
      </c>
      <c r="O257" s="5">
        <v>-0.58498</v>
      </c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2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6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2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6" t="str">
        <f>IFERROR(__xludf.DUMMYFUNCTION("""COMPUTED_VALUE"""),"")</f>
        <v/>
      </c>
      <c r="H261" s="4"/>
      <c r="I261" s="5"/>
      <c r="J261" s="5"/>
      <c r="K261" s="5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2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6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2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6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2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6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2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6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2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6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2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6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2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6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2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6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2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6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2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6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2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6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2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6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2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6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2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6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2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6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2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6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2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6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2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6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2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6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2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6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2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6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2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6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2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6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2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6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2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6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2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6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2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6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2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6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2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6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2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6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2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6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2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6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2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6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2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6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2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6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2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6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2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6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2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6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2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6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2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6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2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6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2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6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2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6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2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6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2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6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2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6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2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6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2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6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2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6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2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6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2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6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2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6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2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6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2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6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2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6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2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6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2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6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2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6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2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6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2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6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2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6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2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6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2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6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2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6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2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6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2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6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2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6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2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6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2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6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2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6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2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6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2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6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2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6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2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6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2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6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2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6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2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6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2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6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2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6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2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6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2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6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2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6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2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6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2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6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2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6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2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6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2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6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2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6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2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6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2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6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2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6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2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6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2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6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2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6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2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6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2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6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2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6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2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6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2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6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2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6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2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6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2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6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2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6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2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6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2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6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2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6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2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6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2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6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2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6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2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6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2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6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2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6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2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6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2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6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2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6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2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6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2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6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2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6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2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6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2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6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2" t="str">
        <f>IFERROR(__xludf.DUMMYFUNCTION("""COMPUTED_VALUE"""),"")</f>
        <v/>
      </c>
      <c r="H502" s="4"/>
    </row>
    <row r="503">
      <c r="D503" s="25"/>
      <c r="E503" s="25"/>
      <c r="F503" s="25"/>
      <c r="G503" s="27"/>
      <c r="H503" s="4"/>
    </row>
    <row r="504">
      <c r="D504" s="25"/>
      <c r="E504" s="25"/>
      <c r="F504" s="25"/>
      <c r="G504" s="27"/>
      <c r="H504" s="4"/>
    </row>
    <row r="505">
      <c r="D505" s="25"/>
      <c r="E505" s="25"/>
      <c r="F505" s="25"/>
      <c r="G505" s="27"/>
      <c r="H505" s="4"/>
    </row>
    <row r="506">
      <c r="D506" s="25"/>
      <c r="E506" s="25"/>
      <c r="F506" s="25"/>
      <c r="G506" s="27"/>
      <c r="H506" s="4"/>
    </row>
    <row r="507">
      <c r="D507" s="25"/>
      <c r="E507" s="25"/>
      <c r="F507" s="25"/>
      <c r="G507" s="27"/>
      <c r="H507" s="4"/>
    </row>
    <row r="508">
      <c r="D508" s="25"/>
      <c r="E508" s="25"/>
      <c r="F508" s="25"/>
      <c r="G508" s="27"/>
      <c r="H508" s="4"/>
    </row>
    <row r="509">
      <c r="D509" s="25"/>
      <c r="E509" s="25"/>
      <c r="F509" s="25"/>
      <c r="G509" s="27"/>
      <c r="H509" s="4"/>
    </row>
    <row r="510">
      <c r="D510" s="25"/>
      <c r="E510" s="25"/>
      <c r="F510" s="25"/>
      <c r="G510" s="27"/>
      <c r="H510" s="4"/>
    </row>
    <row r="511">
      <c r="D511" s="25"/>
      <c r="E511" s="25"/>
      <c r="F511" s="25"/>
      <c r="G511" s="27"/>
      <c r="H511" s="4"/>
    </row>
    <row r="512">
      <c r="D512" s="25"/>
      <c r="E512" s="25"/>
      <c r="F512" s="25"/>
      <c r="G512" s="27"/>
      <c r="H512" s="4"/>
    </row>
    <row r="513">
      <c r="D513" s="25"/>
      <c r="E513" s="25"/>
      <c r="F513" s="25"/>
      <c r="G513" s="27"/>
      <c r="H513" s="4"/>
    </row>
    <row r="514">
      <c r="D514" s="25"/>
      <c r="E514" s="25"/>
      <c r="F514" s="25"/>
      <c r="G514" s="27"/>
      <c r="H514" s="4"/>
    </row>
    <row r="515">
      <c r="D515" s="25"/>
      <c r="E515" s="25"/>
      <c r="F515" s="25"/>
      <c r="G515" s="27"/>
      <c r="H515" s="4"/>
    </row>
    <row r="516">
      <c r="D516" s="25"/>
      <c r="E516" s="25"/>
      <c r="F516" s="25"/>
      <c r="G516" s="27"/>
      <c r="H516" s="4"/>
    </row>
    <row r="517">
      <c r="D517" s="25"/>
      <c r="E517" s="25"/>
      <c r="F517" s="25"/>
      <c r="G517" s="27"/>
      <c r="H517" s="4"/>
    </row>
    <row r="518">
      <c r="D518" s="25"/>
      <c r="E518" s="25"/>
      <c r="F518" s="25"/>
      <c r="G518" s="27"/>
      <c r="H518" s="4"/>
    </row>
    <row r="519">
      <c r="D519" s="25"/>
      <c r="E519" s="25"/>
      <c r="F519" s="25"/>
      <c r="G519" s="27"/>
      <c r="H519" s="4"/>
    </row>
    <row r="520">
      <c r="D520" s="25"/>
      <c r="E520" s="25"/>
      <c r="F520" s="25"/>
      <c r="G520" s="27"/>
      <c r="H520" s="4"/>
    </row>
    <row r="521">
      <c r="D521" s="25"/>
      <c r="E521" s="25"/>
      <c r="F521" s="25"/>
      <c r="G521" s="27"/>
      <c r="H521" s="4"/>
    </row>
    <row r="522">
      <c r="D522" s="25"/>
      <c r="E522" s="25"/>
      <c r="F522" s="25"/>
      <c r="G522" s="27"/>
      <c r="H522" s="4"/>
    </row>
    <row r="523">
      <c r="D523" s="25"/>
      <c r="E523" s="25"/>
      <c r="F523" s="25"/>
      <c r="G523" s="27"/>
      <c r="H523" s="4"/>
    </row>
    <row r="524">
      <c r="D524" s="25"/>
      <c r="E524" s="25"/>
      <c r="F524" s="25"/>
      <c r="G524" s="27"/>
      <c r="H524" s="4"/>
    </row>
    <row r="525">
      <c r="D525" s="25"/>
      <c r="E525" s="25"/>
      <c r="F525" s="25"/>
      <c r="G525" s="27"/>
      <c r="H525" s="4"/>
    </row>
    <row r="526">
      <c r="D526" s="25"/>
      <c r="E526" s="25"/>
      <c r="F526" s="25"/>
      <c r="G526" s="27"/>
      <c r="H526" s="4"/>
    </row>
    <row r="527">
      <c r="D527" s="25"/>
      <c r="E527" s="25"/>
      <c r="F527" s="25"/>
      <c r="G527" s="27"/>
      <c r="H527" s="4"/>
    </row>
    <row r="528">
      <c r="D528" s="25"/>
      <c r="E528" s="25"/>
      <c r="F528" s="25"/>
      <c r="G528" s="27"/>
      <c r="H528" s="4"/>
    </row>
    <row r="529">
      <c r="D529" s="25"/>
      <c r="E529" s="25"/>
      <c r="F529" s="25"/>
      <c r="G529" s="27"/>
      <c r="H529" s="4"/>
    </row>
    <row r="530">
      <c r="D530" s="25"/>
      <c r="E530" s="25"/>
      <c r="F530" s="25"/>
      <c r="G530" s="27"/>
      <c r="H530" s="4"/>
    </row>
    <row r="531">
      <c r="D531" s="25"/>
      <c r="E531" s="25"/>
      <c r="F531" s="25"/>
      <c r="G531" s="27"/>
      <c r="H531" s="4"/>
    </row>
    <row r="532">
      <c r="D532" s="25"/>
      <c r="E532" s="25"/>
      <c r="F532" s="25"/>
      <c r="G532" s="27"/>
      <c r="H532" s="4"/>
    </row>
    <row r="533">
      <c r="D533" s="25"/>
      <c r="E533" s="25"/>
      <c r="F533" s="25"/>
      <c r="G533" s="27"/>
      <c r="H533" s="4"/>
    </row>
    <row r="534">
      <c r="D534" s="25"/>
      <c r="E534" s="25"/>
      <c r="F534" s="25"/>
      <c r="G534" s="27"/>
      <c r="H534" s="4"/>
    </row>
    <row r="535">
      <c r="D535" s="25"/>
      <c r="E535" s="25"/>
      <c r="F535" s="25"/>
      <c r="G535" s="27"/>
      <c r="H535" s="4"/>
    </row>
    <row r="536">
      <c r="D536" s="25"/>
      <c r="E536" s="25"/>
      <c r="F536" s="25"/>
      <c r="G536" s="27"/>
      <c r="H536" s="4"/>
    </row>
    <row r="537">
      <c r="D537" s="25"/>
      <c r="E537" s="25"/>
      <c r="F537" s="25"/>
      <c r="G537" s="27"/>
      <c r="H537" s="4"/>
    </row>
    <row r="538">
      <c r="D538" s="25"/>
      <c r="E538" s="25"/>
      <c r="F538" s="25"/>
      <c r="G538" s="27"/>
      <c r="H538" s="4"/>
    </row>
    <row r="539">
      <c r="D539" s="25"/>
      <c r="E539" s="25"/>
      <c r="F539" s="25"/>
      <c r="G539" s="27"/>
      <c r="H539" s="4"/>
    </row>
    <row r="540">
      <c r="D540" s="25"/>
      <c r="E540" s="25"/>
      <c r="F540" s="25"/>
      <c r="G540" s="27"/>
      <c r="H540" s="4"/>
    </row>
    <row r="541">
      <c r="D541" s="25"/>
      <c r="E541" s="25"/>
      <c r="F541" s="25"/>
      <c r="G541" s="27"/>
      <c r="H541" s="4"/>
    </row>
    <row r="542">
      <c r="D542" s="25"/>
      <c r="E542" s="25"/>
      <c r="F542" s="25"/>
      <c r="G542" s="27"/>
      <c r="H542" s="4"/>
    </row>
    <row r="543">
      <c r="D543" s="25"/>
      <c r="E543" s="25"/>
      <c r="F543" s="25"/>
      <c r="G543" s="27"/>
      <c r="H543" s="4"/>
    </row>
    <row r="544">
      <c r="D544" s="25"/>
      <c r="E544" s="25"/>
      <c r="F544" s="25"/>
      <c r="G544" s="27"/>
      <c r="H544" s="4"/>
    </row>
    <row r="545">
      <c r="D545" s="25"/>
      <c r="E545" s="25"/>
      <c r="F545" s="25"/>
      <c r="G545" s="27"/>
      <c r="H545" s="4"/>
    </row>
    <row r="546">
      <c r="D546" s="25"/>
      <c r="E546" s="25"/>
      <c r="F546" s="25"/>
      <c r="G546" s="27"/>
      <c r="H546" s="4"/>
    </row>
    <row r="547">
      <c r="D547" s="25"/>
      <c r="E547" s="25"/>
      <c r="F547" s="25"/>
      <c r="G547" s="27"/>
      <c r="H547" s="4"/>
    </row>
    <row r="548">
      <c r="D548" s="25"/>
      <c r="E548" s="25"/>
      <c r="F548" s="25"/>
      <c r="G548" s="27"/>
      <c r="H548" s="4"/>
    </row>
    <row r="549">
      <c r="D549" s="25"/>
      <c r="E549" s="25"/>
      <c r="F549" s="25"/>
      <c r="G549" s="27"/>
      <c r="H549" s="4"/>
    </row>
    <row r="550">
      <c r="D550" s="25"/>
      <c r="E550" s="25"/>
      <c r="F550" s="25"/>
      <c r="G550" s="27"/>
      <c r="H550" s="4"/>
    </row>
    <row r="551">
      <c r="D551" s="25"/>
      <c r="E551" s="25"/>
      <c r="F551" s="25"/>
      <c r="G551" s="27"/>
      <c r="H551" s="4"/>
    </row>
    <row r="552">
      <c r="D552" s="25"/>
      <c r="E552" s="25"/>
      <c r="F552" s="25"/>
      <c r="G552" s="27"/>
      <c r="H552" s="4"/>
    </row>
    <row r="553">
      <c r="D553" s="25"/>
      <c r="E553" s="25"/>
      <c r="F553" s="25"/>
      <c r="G553" s="27"/>
      <c r="H553" s="4"/>
    </row>
    <row r="554">
      <c r="D554" s="25"/>
      <c r="E554" s="25"/>
      <c r="F554" s="25"/>
      <c r="G554" s="27"/>
      <c r="H554" s="4"/>
    </row>
    <row r="555">
      <c r="D555" s="25"/>
      <c r="E555" s="25"/>
      <c r="F555" s="25"/>
      <c r="G555" s="27"/>
      <c r="H555" s="4"/>
    </row>
    <row r="556">
      <c r="D556" s="25"/>
      <c r="E556" s="25"/>
      <c r="F556" s="25"/>
      <c r="G556" s="27"/>
      <c r="H556" s="4"/>
    </row>
    <row r="557">
      <c r="D557" s="25"/>
      <c r="E557" s="25"/>
      <c r="F557" s="25"/>
      <c r="G557" s="27"/>
      <c r="H557" s="4"/>
    </row>
    <row r="558">
      <c r="D558" s="25"/>
      <c r="E558" s="25"/>
      <c r="F558" s="25"/>
      <c r="G558" s="27"/>
      <c r="H558" s="4"/>
    </row>
    <row r="559">
      <c r="D559" s="25"/>
      <c r="E559" s="25"/>
      <c r="F559" s="25"/>
      <c r="G559" s="27"/>
      <c r="H559" s="4"/>
    </row>
    <row r="560">
      <c r="D560" s="25"/>
      <c r="E560" s="25"/>
      <c r="F560" s="25"/>
      <c r="G560" s="27"/>
      <c r="H560" s="4"/>
    </row>
    <row r="561">
      <c r="D561" s="25"/>
      <c r="E561" s="25"/>
      <c r="F561" s="25"/>
      <c r="G561" s="27"/>
      <c r="H561" s="4"/>
    </row>
    <row r="562">
      <c r="D562" s="25"/>
      <c r="E562" s="25"/>
      <c r="F562" s="25"/>
      <c r="G562" s="27"/>
      <c r="H562" s="4"/>
    </row>
    <row r="563">
      <c r="D563" s="25"/>
      <c r="E563" s="25"/>
      <c r="F563" s="25"/>
      <c r="G563" s="27"/>
      <c r="H563" s="4"/>
    </row>
    <row r="564">
      <c r="D564" s="25"/>
      <c r="E564" s="25"/>
      <c r="F564" s="25"/>
      <c r="G564" s="27"/>
      <c r="H564" s="4"/>
    </row>
    <row r="565">
      <c r="D565" s="25"/>
      <c r="E565" s="25"/>
      <c r="F565" s="25"/>
      <c r="G565" s="27"/>
      <c r="H565" s="4"/>
    </row>
    <row r="566">
      <c r="D566" s="25"/>
      <c r="E566" s="25"/>
      <c r="F566" s="25"/>
      <c r="G566" s="27"/>
      <c r="H566" s="4"/>
    </row>
    <row r="567">
      <c r="D567" s="25"/>
      <c r="E567" s="25"/>
      <c r="F567" s="25"/>
      <c r="G567" s="27"/>
      <c r="H567" s="4"/>
    </row>
    <row r="568">
      <c r="D568" s="25"/>
      <c r="E568" s="25"/>
      <c r="F568" s="25"/>
      <c r="G568" s="27"/>
      <c r="H568" s="4"/>
    </row>
    <row r="569">
      <c r="D569" s="25"/>
      <c r="E569" s="25"/>
      <c r="F569" s="25"/>
      <c r="G569" s="27"/>
      <c r="H569" s="4"/>
    </row>
    <row r="570">
      <c r="D570" s="25"/>
      <c r="E570" s="25"/>
      <c r="F570" s="25"/>
      <c r="G570" s="27"/>
      <c r="H570" s="4"/>
    </row>
    <row r="571">
      <c r="D571" s="25"/>
      <c r="E571" s="25"/>
      <c r="F571" s="25"/>
      <c r="G571" s="27"/>
      <c r="H571" s="4"/>
    </row>
    <row r="572">
      <c r="D572" s="25"/>
      <c r="E572" s="25"/>
      <c r="F572" s="25"/>
      <c r="G572" s="27"/>
      <c r="H572" s="4"/>
    </row>
    <row r="573">
      <c r="D573" s="25"/>
      <c r="E573" s="25"/>
      <c r="F573" s="25"/>
      <c r="G573" s="27"/>
      <c r="H573" s="4"/>
    </row>
    <row r="574">
      <c r="D574" s="25"/>
      <c r="E574" s="25"/>
      <c r="F574" s="25"/>
      <c r="G574" s="27"/>
      <c r="H574" s="4"/>
    </row>
    <row r="575">
      <c r="D575" s="25"/>
      <c r="E575" s="25"/>
      <c r="F575" s="25"/>
      <c r="G575" s="27"/>
      <c r="H575" s="4"/>
    </row>
    <row r="576">
      <c r="D576" s="25"/>
      <c r="E576" s="25"/>
      <c r="F576" s="25"/>
      <c r="G576" s="27"/>
      <c r="H576" s="4"/>
    </row>
    <row r="577">
      <c r="D577" s="25"/>
      <c r="E577" s="25"/>
      <c r="F577" s="25"/>
      <c r="G577" s="27"/>
      <c r="H577" s="4"/>
    </row>
    <row r="578">
      <c r="D578" s="25"/>
      <c r="E578" s="25"/>
      <c r="F578" s="25"/>
      <c r="G578" s="27"/>
      <c r="H578" s="4"/>
    </row>
    <row r="579">
      <c r="D579" s="25"/>
      <c r="E579" s="25"/>
      <c r="F579" s="25"/>
      <c r="G579" s="27"/>
      <c r="H579" s="4"/>
    </row>
    <row r="580">
      <c r="D580" s="25"/>
      <c r="E580" s="25"/>
      <c r="F580" s="25"/>
      <c r="G580" s="27"/>
      <c r="H580" s="4"/>
    </row>
    <row r="581">
      <c r="D581" s="25"/>
      <c r="E581" s="25"/>
      <c r="F581" s="25"/>
      <c r="G581" s="27"/>
      <c r="H581" s="4"/>
    </row>
    <row r="582">
      <c r="D582" s="25"/>
      <c r="E582" s="25"/>
      <c r="F582" s="25"/>
      <c r="G582" s="27"/>
      <c r="H582" s="4"/>
    </row>
    <row r="583">
      <c r="D583" s="25"/>
      <c r="E583" s="25"/>
      <c r="F583" s="25"/>
      <c r="G583" s="27"/>
      <c r="H583" s="4"/>
    </row>
    <row r="584">
      <c r="D584" s="25"/>
      <c r="E584" s="25"/>
      <c r="F584" s="25"/>
      <c r="G584" s="27"/>
      <c r="H584" s="4"/>
    </row>
    <row r="585">
      <c r="D585" s="25"/>
      <c r="E585" s="25"/>
      <c r="F585" s="25"/>
      <c r="G585" s="27"/>
      <c r="H585" s="4"/>
    </row>
    <row r="586">
      <c r="D586" s="25"/>
      <c r="E586" s="25"/>
      <c r="F586" s="25"/>
      <c r="G586" s="27"/>
      <c r="H586" s="4"/>
    </row>
    <row r="587">
      <c r="D587" s="25"/>
      <c r="E587" s="25"/>
      <c r="F587" s="25"/>
      <c r="G587" s="27"/>
      <c r="H587" s="4"/>
    </row>
    <row r="588">
      <c r="D588" s="25"/>
      <c r="E588" s="25"/>
      <c r="F588" s="25"/>
      <c r="G588" s="27"/>
      <c r="H588" s="4"/>
    </row>
    <row r="589">
      <c r="D589" s="25"/>
      <c r="E589" s="25"/>
      <c r="F589" s="25"/>
      <c r="G589" s="27"/>
      <c r="H589" s="4"/>
    </row>
    <row r="590">
      <c r="D590" s="25"/>
      <c r="E590" s="25"/>
      <c r="F590" s="25"/>
      <c r="G590" s="27"/>
      <c r="H590" s="4"/>
    </row>
    <row r="591">
      <c r="D591" s="25"/>
      <c r="E591" s="25"/>
      <c r="F591" s="25"/>
      <c r="G591" s="27"/>
      <c r="H591" s="4"/>
    </row>
    <row r="592">
      <c r="D592" s="25"/>
      <c r="E592" s="25"/>
      <c r="F592" s="25"/>
      <c r="G592" s="27"/>
      <c r="H592" s="4"/>
    </row>
    <row r="593">
      <c r="D593" s="25"/>
      <c r="E593" s="25"/>
      <c r="F593" s="25"/>
      <c r="G593" s="27"/>
      <c r="H593" s="4"/>
    </row>
    <row r="594">
      <c r="D594" s="25"/>
      <c r="E594" s="25"/>
      <c r="F594" s="25"/>
      <c r="G594" s="27"/>
      <c r="H594" s="4"/>
    </row>
    <row r="595">
      <c r="D595" s="25"/>
      <c r="E595" s="25"/>
      <c r="F595" s="25"/>
      <c r="G595" s="27"/>
      <c r="H595" s="4"/>
    </row>
    <row r="596">
      <c r="D596" s="25"/>
      <c r="E596" s="25"/>
      <c r="F596" s="25"/>
      <c r="G596" s="27"/>
      <c r="H596" s="4"/>
    </row>
    <row r="597">
      <c r="D597" s="25"/>
      <c r="E597" s="25"/>
      <c r="F597" s="25"/>
      <c r="G597" s="27"/>
      <c r="H597" s="4"/>
    </row>
    <row r="598">
      <c r="D598" s="25"/>
      <c r="E598" s="25"/>
      <c r="F598" s="25"/>
      <c r="G598" s="27"/>
      <c r="H598" s="4"/>
    </row>
    <row r="599">
      <c r="D599" s="25"/>
      <c r="E599" s="25"/>
      <c r="F599" s="25"/>
      <c r="G599" s="27"/>
      <c r="H599" s="4"/>
    </row>
    <row r="600">
      <c r="D600" s="25"/>
      <c r="E600" s="25"/>
      <c r="F600" s="25"/>
      <c r="G600" s="27"/>
      <c r="H600" s="4"/>
    </row>
    <row r="601">
      <c r="D601" s="25"/>
      <c r="E601" s="25"/>
      <c r="F601" s="25"/>
      <c r="G601" s="27"/>
      <c r="H601" s="4"/>
    </row>
    <row r="602">
      <c r="D602" s="25"/>
      <c r="E602" s="25"/>
      <c r="F602" s="25"/>
      <c r="G602" s="27"/>
      <c r="H602" s="4"/>
    </row>
    <row r="603">
      <c r="D603" s="25"/>
      <c r="E603" s="25"/>
      <c r="F603" s="25"/>
      <c r="G603" s="27"/>
      <c r="H603" s="4"/>
    </row>
    <row r="604">
      <c r="D604" s="25"/>
      <c r="E604" s="25"/>
      <c r="F604" s="25"/>
      <c r="G604" s="27"/>
      <c r="H604" s="4"/>
    </row>
    <row r="605">
      <c r="D605" s="25"/>
      <c r="E605" s="25"/>
      <c r="F605" s="25"/>
      <c r="G605" s="27"/>
      <c r="H605" s="4"/>
    </row>
    <row r="606">
      <c r="D606" s="25"/>
      <c r="E606" s="25"/>
      <c r="F606" s="25"/>
      <c r="G606" s="27"/>
      <c r="H606" s="4"/>
    </row>
    <row r="607">
      <c r="D607" s="25"/>
      <c r="E607" s="25"/>
      <c r="F607" s="25"/>
      <c r="G607" s="27"/>
      <c r="H607" s="4"/>
    </row>
    <row r="608">
      <c r="D608" s="25"/>
      <c r="E608" s="25"/>
      <c r="F608" s="25"/>
      <c r="G608" s="27"/>
      <c r="H608" s="4"/>
    </row>
    <row r="609">
      <c r="D609" s="25"/>
      <c r="E609" s="25"/>
      <c r="F609" s="25"/>
      <c r="G609" s="27"/>
      <c r="H609" s="4"/>
    </row>
    <row r="610">
      <c r="D610" s="25"/>
      <c r="E610" s="25"/>
      <c r="F610" s="25"/>
      <c r="G610" s="27"/>
      <c r="H610" s="4"/>
    </row>
    <row r="611">
      <c r="D611" s="25"/>
      <c r="E611" s="25"/>
      <c r="F611" s="25"/>
      <c r="G611" s="27"/>
      <c r="H611" s="4"/>
    </row>
    <row r="612">
      <c r="D612" s="25"/>
      <c r="E612" s="25"/>
      <c r="F612" s="25"/>
      <c r="G612" s="27"/>
      <c r="H612" s="4"/>
    </row>
    <row r="613">
      <c r="D613" s="25"/>
      <c r="E613" s="25"/>
      <c r="F613" s="25"/>
      <c r="G613" s="27"/>
      <c r="H613" s="4"/>
    </row>
    <row r="614">
      <c r="D614" s="25"/>
      <c r="E614" s="25"/>
      <c r="F614" s="25"/>
      <c r="G614" s="27"/>
      <c r="H614" s="4"/>
    </row>
    <row r="615">
      <c r="D615" s="25"/>
      <c r="E615" s="25"/>
      <c r="F615" s="25"/>
      <c r="G615" s="27"/>
      <c r="H615" s="4"/>
    </row>
    <row r="616">
      <c r="D616" s="25"/>
      <c r="E616" s="25"/>
      <c r="F616" s="25"/>
      <c r="G616" s="27"/>
      <c r="H616" s="4"/>
    </row>
    <row r="617">
      <c r="D617" s="25"/>
      <c r="E617" s="25"/>
      <c r="F617" s="25"/>
      <c r="G617" s="27"/>
      <c r="H617" s="4"/>
    </row>
    <row r="618">
      <c r="D618" s="25"/>
      <c r="E618" s="25"/>
      <c r="F618" s="25"/>
      <c r="G618" s="27"/>
      <c r="H618" s="4"/>
    </row>
    <row r="619">
      <c r="D619" s="25"/>
      <c r="E619" s="25"/>
      <c r="F619" s="25"/>
      <c r="G619" s="27"/>
      <c r="H619" s="4"/>
    </row>
    <row r="620">
      <c r="D620" s="25"/>
      <c r="E620" s="25"/>
      <c r="F620" s="25"/>
      <c r="G620" s="27"/>
      <c r="H620" s="4"/>
    </row>
    <row r="621">
      <c r="D621" s="25"/>
      <c r="E621" s="25"/>
      <c r="F621" s="25"/>
      <c r="G621" s="27"/>
      <c r="H621" s="4"/>
    </row>
    <row r="622">
      <c r="D622" s="25"/>
      <c r="E622" s="25"/>
      <c r="F622" s="25"/>
      <c r="G622" s="27"/>
      <c r="H622" s="4"/>
    </row>
    <row r="623">
      <c r="D623" s="25"/>
      <c r="E623" s="25"/>
      <c r="F623" s="25"/>
      <c r="G623" s="27"/>
      <c r="H623" s="4"/>
    </row>
    <row r="624">
      <c r="D624" s="25"/>
      <c r="E624" s="25"/>
      <c r="F624" s="25"/>
      <c r="G624" s="27"/>
      <c r="H624" s="4"/>
    </row>
    <row r="625">
      <c r="D625" s="25"/>
      <c r="E625" s="25"/>
      <c r="F625" s="25"/>
      <c r="G625" s="27"/>
      <c r="H625" s="4"/>
    </row>
    <row r="626">
      <c r="D626" s="25"/>
      <c r="E626" s="25"/>
      <c r="F626" s="25"/>
      <c r="G626" s="27"/>
      <c r="H626" s="4"/>
    </row>
    <row r="627">
      <c r="D627" s="25"/>
      <c r="E627" s="25"/>
      <c r="F627" s="25"/>
      <c r="G627" s="27"/>
      <c r="H627" s="4"/>
    </row>
    <row r="628">
      <c r="D628" s="25"/>
      <c r="E628" s="25"/>
      <c r="F628" s="25"/>
      <c r="G628" s="27"/>
      <c r="H628" s="4"/>
    </row>
    <row r="629">
      <c r="D629" s="25"/>
      <c r="E629" s="25"/>
      <c r="F629" s="25"/>
      <c r="G629" s="27"/>
      <c r="H629" s="4"/>
    </row>
    <row r="630">
      <c r="D630" s="25"/>
      <c r="E630" s="25"/>
      <c r="F630" s="25"/>
      <c r="G630" s="27"/>
      <c r="H630" s="4"/>
    </row>
    <row r="631">
      <c r="D631" s="25"/>
      <c r="E631" s="25"/>
      <c r="F631" s="25"/>
      <c r="G631" s="27"/>
      <c r="H631" s="4"/>
    </row>
    <row r="632">
      <c r="D632" s="25"/>
      <c r="E632" s="25"/>
      <c r="F632" s="25"/>
      <c r="G632" s="27"/>
      <c r="H632" s="4"/>
    </row>
    <row r="633">
      <c r="D633" s="25"/>
      <c r="E633" s="25"/>
      <c r="F633" s="25"/>
      <c r="G633" s="27"/>
      <c r="H633" s="4"/>
    </row>
    <row r="634">
      <c r="D634" s="25"/>
      <c r="E634" s="25"/>
      <c r="F634" s="25"/>
      <c r="G634" s="27"/>
      <c r="H634" s="4"/>
    </row>
    <row r="635">
      <c r="D635" s="25"/>
      <c r="E635" s="25"/>
      <c r="F635" s="25"/>
      <c r="G635" s="27"/>
      <c r="H635" s="4"/>
    </row>
    <row r="636">
      <c r="D636" s="25"/>
      <c r="E636" s="25"/>
      <c r="F636" s="25"/>
      <c r="G636" s="27"/>
      <c r="H636" s="4"/>
    </row>
    <row r="637">
      <c r="D637" s="25"/>
      <c r="E637" s="25"/>
      <c r="F637" s="25"/>
      <c r="G637" s="27"/>
      <c r="H637" s="4"/>
    </row>
    <row r="638">
      <c r="D638" s="25"/>
      <c r="E638" s="25"/>
      <c r="F638" s="25"/>
      <c r="G638" s="27"/>
      <c r="H638" s="4"/>
    </row>
    <row r="639">
      <c r="D639" s="25"/>
      <c r="E639" s="25"/>
      <c r="F639" s="25"/>
      <c r="G639" s="27"/>
      <c r="H639" s="4"/>
    </row>
    <row r="640">
      <c r="D640" s="25"/>
      <c r="E640" s="25"/>
      <c r="F640" s="25"/>
      <c r="G640" s="27"/>
      <c r="H640" s="4"/>
    </row>
    <row r="641">
      <c r="D641" s="25"/>
      <c r="E641" s="25"/>
      <c r="F641" s="25"/>
      <c r="G641" s="27"/>
      <c r="H641" s="4"/>
    </row>
    <row r="642">
      <c r="D642" s="25"/>
      <c r="E642" s="25"/>
      <c r="F642" s="25"/>
      <c r="G642" s="27"/>
      <c r="H642" s="4"/>
    </row>
    <row r="643">
      <c r="D643" s="25"/>
      <c r="E643" s="25"/>
      <c r="F643" s="25"/>
      <c r="G643" s="27"/>
      <c r="H643" s="4"/>
    </row>
    <row r="644">
      <c r="D644" s="25"/>
      <c r="E644" s="25"/>
      <c r="F644" s="25"/>
      <c r="G644" s="27"/>
      <c r="H644" s="4"/>
    </row>
    <row r="645">
      <c r="D645" s="25"/>
      <c r="E645" s="25"/>
      <c r="F645" s="25"/>
      <c r="G645" s="27"/>
      <c r="H645" s="4"/>
    </row>
    <row r="646">
      <c r="D646" s="25"/>
      <c r="E646" s="25"/>
      <c r="F646" s="25"/>
      <c r="G646" s="27"/>
      <c r="H646" s="4"/>
    </row>
    <row r="647">
      <c r="D647" s="25"/>
      <c r="E647" s="25"/>
      <c r="F647" s="25"/>
      <c r="G647" s="27"/>
      <c r="H647" s="4"/>
    </row>
    <row r="648">
      <c r="D648" s="25"/>
      <c r="E648" s="25"/>
      <c r="F648" s="25"/>
      <c r="G648" s="27"/>
      <c r="H648" s="4"/>
    </row>
    <row r="649">
      <c r="D649" s="25"/>
      <c r="E649" s="25"/>
      <c r="F649" s="25"/>
      <c r="G649" s="27"/>
      <c r="H649" s="4"/>
    </row>
    <row r="650">
      <c r="D650" s="25"/>
      <c r="E650" s="25"/>
      <c r="F650" s="25"/>
      <c r="G650" s="27"/>
      <c r="H650" s="4"/>
    </row>
    <row r="651">
      <c r="D651" s="25"/>
      <c r="E651" s="25"/>
      <c r="F651" s="25"/>
      <c r="G651" s="27"/>
      <c r="H651" s="4"/>
    </row>
    <row r="652">
      <c r="D652" s="25"/>
      <c r="E652" s="25"/>
      <c r="F652" s="25"/>
      <c r="G652" s="27"/>
      <c r="H652" s="4"/>
    </row>
    <row r="653">
      <c r="D653" s="25"/>
      <c r="E653" s="25"/>
      <c r="F653" s="25"/>
      <c r="G653" s="27"/>
      <c r="H653" s="4"/>
    </row>
    <row r="654">
      <c r="D654" s="25"/>
      <c r="E654" s="25"/>
      <c r="F654" s="25"/>
      <c r="G654" s="27"/>
      <c r="H654" s="4"/>
    </row>
    <row r="655">
      <c r="D655" s="25"/>
      <c r="E655" s="25"/>
      <c r="F655" s="25"/>
      <c r="G655" s="27"/>
      <c r="H655" s="4"/>
    </row>
    <row r="656">
      <c r="D656" s="25"/>
      <c r="E656" s="25"/>
      <c r="F656" s="25"/>
      <c r="G656" s="27"/>
      <c r="H656" s="4"/>
    </row>
    <row r="657">
      <c r="D657" s="25"/>
      <c r="E657" s="25"/>
      <c r="F657" s="25"/>
      <c r="G657" s="27"/>
      <c r="H657" s="4"/>
    </row>
    <row r="658">
      <c r="D658" s="25"/>
      <c r="E658" s="25"/>
      <c r="F658" s="25"/>
      <c r="G658" s="27"/>
      <c r="H658" s="4"/>
    </row>
    <row r="659">
      <c r="D659" s="25"/>
      <c r="E659" s="25"/>
      <c r="F659" s="25"/>
      <c r="G659" s="27"/>
      <c r="H659" s="4"/>
    </row>
    <row r="660">
      <c r="D660" s="25"/>
      <c r="E660" s="25"/>
      <c r="F660" s="25"/>
      <c r="G660" s="27"/>
      <c r="H660" s="4"/>
    </row>
    <row r="661">
      <c r="D661" s="25"/>
      <c r="E661" s="25"/>
      <c r="F661" s="25"/>
      <c r="G661" s="27"/>
      <c r="H661" s="4"/>
    </row>
    <row r="662">
      <c r="D662" s="25"/>
      <c r="E662" s="25"/>
      <c r="F662" s="25"/>
      <c r="G662" s="27"/>
      <c r="H662" s="4"/>
    </row>
    <row r="663">
      <c r="D663" s="25"/>
      <c r="E663" s="25"/>
      <c r="F663" s="25"/>
      <c r="G663" s="27"/>
      <c r="H663" s="4"/>
    </row>
    <row r="664">
      <c r="D664" s="25"/>
      <c r="E664" s="25"/>
      <c r="F664" s="25"/>
      <c r="G664" s="27"/>
      <c r="H664" s="4"/>
    </row>
    <row r="665">
      <c r="D665" s="25"/>
      <c r="E665" s="25"/>
      <c r="F665" s="25"/>
      <c r="G665" s="27"/>
      <c r="H665" s="4"/>
    </row>
    <row r="666">
      <c r="D666" s="25"/>
      <c r="E666" s="25"/>
      <c r="F666" s="25"/>
      <c r="G666" s="27"/>
      <c r="H666" s="4"/>
    </row>
    <row r="667">
      <c r="D667" s="25"/>
      <c r="E667" s="25"/>
      <c r="F667" s="25"/>
      <c r="G667" s="27"/>
      <c r="H667" s="4"/>
    </row>
    <row r="668">
      <c r="D668" s="25"/>
      <c r="E668" s="25"/>
      <c r="F668" s="25"/>
      <c r="G668" s="27"/>
      <c r="H668" s="4"/>
    </row>
    <row r="669">
      <c r="D669" s="25"/>
      <c r="E669" s="25"/>
      <c r="F669" s="25"/>
      <c r="G669" s="27"/>
      <c r="H669" s="4"/>
    </row>
    <row r="670">
      <c r="D670" s="25"/>
      <c r="E670" s="25"/>
      <c r="F670" s="25"/>
      <c r="G670" s="27"/>
      <c r="H670" s="4"/>
    </row>
    <row r="671">
      <c r="D671" s="25"/>
      <c r="E671" s="25"/>
      <c r="F671" s="25"/>
      <c r="G671" s="27"/>
      <c r="H671" s="4"/>
    </row>
    <row r="672">
      <c r="D672" s="25"/>
      <c r="E672" s="25"/>
      <c r="F672" s="25"/>
      <c r="G672" s="27"/>
      <c r="H672" s="4"/>
    </row>
    <row r="673">
      <c r="D673" s="25"/>
      <c r="E673" s="25"/>
      <c r="F673" s="25"/>
      <c r="G673" s="27"/>
      <c r="H673" s="4"/>
    </row>
    <row r="674">
      <c r="D674" s="25"/>
      <c r="E674" s="25"/>
      <c r="F674" s="25"/>
      <c r="G674" s="27"/>
      <c r="H674" s="4"/>
    </row>
    <row r="675">
      <c r="D675" s="25"/>
      <c r="E675" s="25"/>
      <c r="F675" s="25"/>
      <c r="G675" s="27"/>
      <c r="H675" s="4"/>
    </row>
    <row r="676">
      <c r="D676" s="25"/>
      <c r="E676" s="25"/>
      <c r="F676" s="25"/>
      <c r="G676" s="27"/>
      <c r="H676" s="4"/>
    </row>
    <row r="677">
      <c r="D677" s="25"/>
      <c r="E677" s="25"/>
      <c r="F677" s="25"/>
      <c r="G677" s="27"/>
      <c r="H677" s="4"/>
    </row>
    <row r="678">
      <c r="D678" s="25"/>
      <c r="E678" s="25"/>
      <c r="F678" s="25"/>
      <c r="G678" s="27"/>
      <c r="H678" s="4"/>
    </row>
    <row r="679">
      <c r="D679" s="25"/>
      <c r="E679" s="25"/>
      <c r="F679" s="25"/>
      <c r="G679" s="27"/>
      <c r="H679" s="4"/>
    </row>
    <row r="680">
      <c r="D680" s="25"/>
      <c r="E680" s="25"/>
      <c r="F680" s="25"/>
      <c r="G680" s="27"/>
      <c r="H680" s="4"/>
    </row>
    <row r="681">
      <c r="D681" s="25"/>
      <c r="E681" s="25"/>
      <c r="F681" s="25"/>
      <c r="G681" s="27"/>
      <c r="H681" s="4"/>
    </row>
    <row r="682">
      <c r="D682" s="25"/>
      <c r="E682" s="25"/>
      <c r="F682" s="25"/>
      <c r="G682" s="27"/>
      <c r="H682" s="4"/>
    </row>
    <row r="683">
      <c r="D683" s="25"/>
      <c r="E683" s="25"/>
      <c r="F683" s="25"/>
      <c r="G683" s="27"/>
      <c r="H683" s="4"/>
    </row>
    <row r="684">
      <c r="D684" s="25"/>
      <c r="E684" s="25"/>
      <c r="F684" s="25"/>
      <c r="G684" s="27"/>
      <c r="H684" s="4"/>
    </row>
    <row r="685">
      <c r="D685" s="25"/>
      <c r="E685" s="25"/>
      <c r="F685" s="25"/>
      <c r="G685" s="27"/>
      <c r="H685" s="4"/>
    </row>
    <row r="686">
      <c r="D686" s="25"/>
      <c r="E686" s="25"/>
      <c r="F686" s="25"/>
      <c r="G686" s="27"/>
      <c r="H686" s="4"/>
    </row>
    <row r="687">
      <c r="D687" s="25"/>
      <c r="E687" s="25"/>
      <c r="F687" s="25"/>
      <c r="G687" s="27"/>
      <c r="H687" s="4"/>
    </row>
    <row r="688">
      <c r="D688" s="25"/>
      <c r="E688" s="25"/>
      <c r="F688" s="25"/>
      <c r="G688" s="27"/>
      <c r="H688" s="4"/>
    </row>
    <row r="689">
      <c r="D689" s="25"/>
      <c r="E689" s="25"/>
      <c r="F689" s="25"/>
      <c r="G689" s="27"/>
      <c r="H689" s="4"/>
    </row>
    <row r="690">
      <c r="D690" s="25"/>
      <c r="E690" s="25"/>
      <c r="F690" s="25"/>
      <c r="G690" s="27"/>
      <c r="H690" s="4"/>
    </row>
    <row r="691">
      <c r="D691" s="25"/>
      <c r="E691" s="25"/>
      <c r="F691" s="25"/>
      <c r="G691" s="27"/>
      <c r="H691" s="4"/>
    </row>
    <row r="692">
      <c r="D692" s="25"/>
      <c r="E692" s="25"/>
      <c r="F692" s="25"/>
      <c r="G692" s="27"/>
      <c r="H692" s="4"/>
    </row>
    <row r="693">
      <c r="D693" s="25"/>
      <c r="E693" s="25"/>
      <c r="F693" s="25"/>
      <c r="G693" s="27"/>
      <c r="H693" s="4"/>
    </row>
    <row r="694">
      <c r="D694" s="25"/>
      <c r="E694" s="25"/>
      <c r="F694" s="25"/>
      <c r="G694" s="27"/>
      <c r="H694" s="4"/>
    </row>
    <row r="695">
      <c r="D695" s="25"/>
      <c r="E695" s="25"/>
      <c r="F695" s="25"/>
      <c r="G695" s="27"/>
      <c r="H695" s="4"/>
    </row>
    <row r="696">
      <c r="D696" s="25"/>
      <c r="E696" s="25"/>
      <c r="F696" s="25"/>
      <c r="G696" s="27"/>
      <c r="H696" s="4"/>
    </row>
    <row r="697">
      <c r="D697" s="25"/>
      <c r="E697" s="25"/>
      <c r="F697" s="25"/>
      <c r="G697" s="27"/>
      <c r="H697" s="4"/>
    </row>
    <row r="698">
      <c r="D698" s="25"/>
      <c r="E698" s="25"/>
      <c r="F698" s="25"/>
      <c r="G698" s="27"/>
      <c r="H698" s="4"/>
    </row>
    <row r="699">
      <c r="D699" s="25"/>
      <c r="E699" s="25"/>
      <c r="F699" s="25"/>
      <c r="G699" s="27"/>
      <c r="H699" s="4"/>
    </row>
    <row r="700">
      <c r="D700" s="25"/>
      <c r="E700" s="25"/>
      <c r="F700" s="25"/>
      <c r="G700" s="27"/>
      <c r="H700" s="4"/>
    </row>
    <row r="701">
      <c r="D701" s="25"/>
      <c r="E701" s="25"/>
      <c r="F701" s="25"/>
      <c r="G701" s="27"/>
      <c r="H701" s="4"/>
    </row>
    <row r="702">
      <c r="D702" s="25"/>
      <c r="E702" s="25"/>
      <c r="F702" s="25"/>
      <c r="G702" s="27"/>
      <c r="H702" s="4"/>
    </row>
    <row r="703">
      <c r="D703" s="25"/>
      <c r="E703" s="25"/>
      <c r="F703" s="25"/>
      <c r="G703" s="27"/>
      <c r="H703" s="4"/>
    </row>
    <row r="704">
      <c r="D704" s="25"/>
      <c r="E704" s="25"/>
      <c r="F704" s="25"/>
      <c r="G704" s="27"/>
      <c r="H704" s="4"/>
    </row>
    <row r="705">
      <c r="D705" s="25"/>
      <c r="E705" s="25"/>
      <c r="F705" s="25"/>
      <c r="G705" s="27"/>
      <c r="H705" s="4"/>
    </row>
    <row r="706">
      <c r="D706" s="25"/>
      <c r="E706" s="25"/>
      <c r="F706" s="25"/>
      <c r="G706" s="27"/>
      <c r="H706" s="4"/>
    </row>
    <row r="707">
      <c r="D707" s="25"/>
      <c r="E707" s="25"/>
      <c r="F707" s="25"/>
      <c r="G707" s="27"/>
      <c r="H707" s="4"/>
    </row>
    <row r="708">
      <c r="D708" s="25"/>
      <c r="E708" s="25"/>
      <c r="F708" s="25"/>
      <c r="G708" s="27"/>
      <c r="H708" s="4"/>
    </row>
    <row r="709">
      <c r="D709" s="25"/>
      <c r="E709" s="25"/>
      <c r="F709" s="25"/>
      <c r="G709" s="27"/>
      <c r="H709" s="4"/>
    </row>
    <row r="710">
      <c r="D710" s="25"/>
      <c r="E710" s="25"/>
      <c r="F710" s="25"/>
      <c r="G710" s="27"/>
      <c r="H710" s="4"/>
    </row>
    <row r="711">
      <c r="D711" s="25"/>
      <c r="E711" s="25"/>
      <c r="F711" s="25"/>
      <c r="G711" s="27"/>
      <c r="H711" s="4"/>
    </row>
    <row r="712">
      <c r="D712" s="25"/>
      <c r="E712" s="25"/>
      <c r="F712" s="25"/>
      <c r="G712" s="27"/>
      <c r="H712" s="4"/>
    </row>
    <row r="713">
      <c r="D713" s="25"/>
      <c r="E713" s="25"/>
      <c r="F713" s="25"/>
      <c r="G713" s="27"/>
      <c r="H713" s="4"/>
    </row>
    <row r="714">
      <c r="D714" s="25"/>
      <c r="E714" s="25"/>
      <c r="F714" s="25"/>
      <c r="G714" s="27"/>
      <c r="H714" s="4"/>
    </row>
    <row r="715">
      <c r="D715" s="25"/>
      <c r="E715" s="25"/>
      <c r="F715" s="25"/>
      <c r="G715" s="27"/>
      <c r="H715" s="4"/>
    </row>
    <row r="716">
      <c r="D716" s="25"/>
      <c r="E716" s="25"/>
      <c r="F716" s="25"/>
      <c r="G716" s="27"/>
      <c r="H716" s="4"/>
    </row>
    <row r="717">
      <c r="D717" s="25"/>
      <c r="E717" s="25"/>
      <c r="F717" s="25"/>
      <c r="G717" s="27"/>
      <c r="H717" s="4"/>
    </row>
    <row r="718">
      <c r="D718" s="25"/>
      <c r="E718" s="25"/>
      <c r="F718" s="25"/>
      <c r="G718" s="27"/>
      <c r="H718" s="4"/>
    </row>
    <row r="719">
      <c r="D719" s="25"/>
      <c r="E719" s="25"/>
      <c r="F719" s="25"/>
      <c r="G719" s="27"/>
      <c r="H719" s="4"/>
    </row>
    <row r="720">
      <c r="D720" s="25"/>
      <c r="E720" s="25"/>
      <c r="F720" s="25"/>
      <c r="G720" s="27"/>
      <c r="H720" s="4"/>
    </row>
    <row r="721">
      <c r="D721" s="25"/>
      <c r="E721" s="25"/>
      <c r="F721" s="25"/>
      <c r="G721" s="27"/>
      <c r="H721" s="4"/>
    </row>
    <row r="722">
      <c r="D722" s="25"/>
      <c r="E722" s="25"/>
      <c r="F722" s="25"/>
      <c r="G722" s="27"/>
      <c r="H722" s="4"/>
    </row>
    <row r="723">
      <c r="D723" s="25"/>
      <c r="E723" s="25"/>
      <c r="F723" s="25"/>
      <c r="G723" s="27"/>
      <c r="H723" s="4"/>
    </row>
    <row r="724">
      <c r="D724" s="25"/>
      <c r="E724" s="25"/>
      <c r="F724" s="25"/>
      <c r="G724" s="27"/>
      <c r="H724" s="4"/>
    </row>
    <row r="725">
      <c r="D725" s="25"/>
      <c r="E725" s="25"/>
      <c r="F725" s="25"/>
      <c r="G725" s="27"/>
      <c r="H725" s="4"/>
    </row>
    <row r="726">
      <c r="D726" s="25"/>
      <c r="E726" s="25"/>
      <c r="F726" s="25"/>
      <c r="G726" s="27"/>
      <c r="H726" s="4"/>
    </row>
    <row r="727">
      <c r="D727" s="25"/>
      <c r="E727" s="25"/>
      <c r="F727" s="25"/>
      <c r="G727" s="27"/>
      <c r="H727" s="4"/>
    </row>
    <row r="728">
      <c r="D728" s="25"/>
      <c r="E728" s="25"/>
      <c r="F728" s="25"/>
      <c r="G728" s="27"/>
      <c r="H728" s="4"/>
    </row>
    <row r="729">
      <c r="D729" s="25"/>
      <c r="E729" s="25"/>
      <c r="F729" s="25"/>
      <c r="G729" s="27"/>
      <c r="H729" s="4"/>
    </row>
    <row r="730">
      <c r="D730" s="25"/>
      <c r="E730" s="25"/>
      <c r="F730" s="25"/>
      <c r="G730" s="27"/>
      <c r="H730" s="4"/>
    </row>
    <row r="731">
      <c r="D731" s="25"/>
      <c r="E731" s="25"/>
      <c r="F731" s="25"/>
      <c r="G731" s="27"/>
      <c r="H731" s="4"/>
    </row>
    <row r="732">
      <c r="D732" s="25"/>
      <c r="E732" s="25"/>
      <c r="F732" s="25"/>
      <c r="G732" s="27"/>
      <c r="H732" s="4"/>
    </row>
    <row r="733">
      <c r="D733" s="25"/>
      <c r="E733" s="25"/>
      <c r="F733" s="25"/>
      <c r="G733" s="27"/>
      <c r="H733" s="4"/>
    </row>
    <row r="734">
      <c r="D734" s="25"/>
      <c r="E734" s="25"/>
      <c r="F734" s="25"/>
      <c r="G734" s="27"/>
      <c r="H734" s="4"/>
    </row>
    <row r="735">
      <c r="D735" s="25"/>
      <c r="E735" s="25"/>
      <c r="F735" s="25"/>
      <c r="G735" s="27"/>
      <c r="H735" s="4"/>
    </row>
    <row r="736">
      <c r="D736" s="25"/>
      <c r="E736" s="25"/>
      <c r="F736" s="25"/>
      <c r="G736" s="27"/>
      <c r="H736" s="4"/>
    </row>
    <row r="737">
      <c r="D737" s="25"/>
      <c r="E737" s="25"/>
      <c r="F737" s="25"/>
      <c r="G737" s="27"/>
      <c r="H737" s="4"/>
    </row>
    <row r="738">
      <c r="D738" s="25"/>
      <c r="E738" s="25"/>
      <c r="F738" s="25"/>
      <c r="G738" s="27"/>
      <c r="H738" s="4"/>
    </row>
    <row r="739">
      <c r="D739" s="25"/>
      <c r="E739" s="25"/>
      <c r="F739" s="25"/>
      <c r="G739" s="27"/>
      <c r="H739" s="4"/>
    </row>
    <row r="740">
      <c r="D740" s="25"/>
      <c r="E740" s="25"/>
      <c r="F740" s="25"/>
      <c r="G740" s="27"/>
      <c r="H740" s="4"/>
    </row>
    <row r="741">
      <c r="D741" s="25"/>
      <c r="E741" s="25"/>
      <c r="F741" s="25"/>
      <c r="G741" s="27"/>
      <c r="H741" s="4"/>
    </row>
    <row r="742">
      <c r="D742" s="25"/>
      <c r="E742" s="25"/>
      <c r="F742" s="25"/>
      <c r="G742" s="27"/>
      <c r="H742" s="4"/>
    </row>
    <row r="743">
      <c r="D743" s="25"/>
      <c r="E743" s="25"/>
      <c r="F743" s="25"/>
      <c r="G743" s="27"/>
      <c r="H743" s="4"/>
    </row>
    <row r="744">
      <c r="D744" s="25"/>
      <c r="E744" s="25"/>
      <c r="F744" s="25"/>
      <c r="G744" s="27"/>
      <c r="H744" s="4"/>
    </row>
    <row r="745">
      <c r="D745" s="25"/>
      <c r="E745" s="25"/>
      <c r="F745" s="25"/>
      <c r="G745" s="27"/>
      <c r="H745" s="4"/>
    </row>
    <row r="746">
      <c r="D746" s="25"/>
      <c r="E746" s="25"/>
      <c r="F746" s="25"/>
      <c r="G746" s="27"/>
      <c r="H746" s="4"/>
    </row>
    <row r="747">
      <c r="D747" s="25"/>
      <c r="E747" s="25"/>
      <c r="F747" s="25"/>
      <c r="G747" s="27"/>
      <c r="H747" s="4"/>
    </row>
    <row r="748">
      <c r="D748" s="25"/>
      <c r="E748" s="25"/>
      <c r="F748" s="25"/>
      <c r="G748" s="27"/>
      <c r="H748" s="4"/>
    </row>
    <row r="749">
      <c r="D749" s="25"/>
      <c r="E749" s="25"/>
      <c r="F749" s="25"/>
      <c r="G749" s="27"/>
      <c r="H749" s="4"/>
    </row>
    <row r="750">
      <c r="D750" s="25"/>
      <c r="E750" s="25"/>
      <c r="F750" s="25"/>
      <c r="G750" s="27"/>
      <c r="H750" s="4"/>
    </row>
    <row r="751">
      <c r="D751" s="25"/>
      <c r="E751" s="25"/>
      <c r="F751" s="25"/>
      <c r="G751" s="27"/>
      <c r="H751" s="4"/>
    </row>
    <row r="752">
      <c r="D752" s="25"/>
      <c r="E752" s="25"/>
      <c r="F752" s="25"/>
      <c r="G752" s="27"/>
      <c r="H752" s="4"/>
    </row>
    <row r="753">
      <c r="D753" s="25"/>
      <c r="E753" s="25"/>
      <c r="F753" s="25"/>
      <c r="G753" s="27"/>
      <c r="H753" s="4"/>
    </row>
    <row r="754">
      <c r="D754" s="25"/>
      <c r="E754" s="25"/>
      <c r="F754" s="25"/>
      <c r="G754" s="27"/>
      <c r="H754" s="4"/>
    </row>
    <row r="755">
      <c r="D755" s="25"/>
      <c r="E755" s="25"/>
      <c r="F755" s="25"/>
      <c r="G755" s="27"/>
      <c r="H755" s="4"/>
    </row>
    <row r="756">
      <c r="D756" s="25"/>
      <c r="E756" s="25"/>
      <c r="F756" s="25"/>
      <c r="G756" s="27"/>
      <c r="H756" s="4"/>
    </row>
    <row r="757">
      <c r="D757" s="25"/>
      <c r="E757" s="25"/>
      <c r="F757" s="25"/>
      <c r="G757" s="27"/>
      <c r="H757" s="4"/>
    </row>
    <row r="758">
      <c r="D758" s="25"/>
      <c r="E758" s="25"/>
      <c r="F758" s="25"/>
      <c r="G758" s="27"/>
      <c r="H758" s="4"/>
    </row>
    <row r="759">
      <c r="D759" s="25"/>
      <c r="E759" s="25"/>
      <c r="F759" s="25"/>
      <c r="G759" s="27"/>
      <c r="H759" s="4"/>
    </row>
    <row r="760">
      <c r="D760" s="25"/>
      <c r="E760" s="25"/>
      <c r="F760" s="25"/>
      <c r="G760" s="27"/>
      <c r="H760" s="4"/>
    </row>
    <row r="761">
      <c r="D761" s="25"/>
      <c r="E761" s="25"/>
      <c r="F761" s="25"/>
      <c r="G761" s="27"/>
      <c r="H761" s="4"/>
    </row>
    <row r="762">
      <c r="D762" s="25"/>
      <c r="E762" s="25"/>
      <c r="F762" s="25"/>
      <c r="G762" s="27"/>
      <c r="H762" s="4"/>
    </row>
    <row r="763">
      <c r="D763" s="25"/>
      <c r="E763" s="25"/>
      <c r="F763" s="25"/>
      <c r="G763" s="27"/>
      <c r="H763" s="4"/>
    </row>
    <row r="764">
      <c r="D764" s="25"/>
      <c r="E764" s="25"/>
      <c r="F764" s="25"/>
      <c r="G764" s="27"/>
      <c r="H764" s="4"/>
    </row>
    <row r="765">
      <c r="D765" s="25"/>
      <c r="E765" s="25"/>
      <c r="F765" s="25"/>
      <c r="G765" s="27"/>
      <c r="H765" s="4"/>
    </row>
    <row r="766">
      <c r="D766" s="25"/>
      <c r="E766" s="25"/>
      <c r="F766" s="25"/>
      <c r="G766" s="27"/>
      <c r="H766" s="4"/>
    </row>
    <row r="767">
      <c r="D767" s="25"/>
      <c r="E767" s="25"/>
      <c r="F767" s="25"/>
      <c r="G767" s="27"/>
      <c r="H767" s="4"/>
    </row>
    <row r="768">
      <c r="D768" s="25"/>
      <c r="E768" s="25"/>
      <c r="F768" s="25"/>
      <c r="G768" s="27"/>
      <c r="H768" s="4"/>
    </row>
    <row r="769">
      <c r="D769" s="25"/>
      <c r="E769" s="25"/>
      <c r="F769" s="25"/>
      <c r="G769" s="27"/>
      <c r="H769" s="4"/>
    </row>
    <row r="770">
      <c r="D770" s="25"/>
      <c r="E770" s="25"/>
      <c r="F770" s="25"/>
      <c r="G770" s="27"/>
      <c r="H770" s="4"/>
    </row>
    <row r="771">
      <c r="D771" s="25"/>
      <c r="E771" s="25"/>
      <c r="F771" s="25"/>
      <c r="G771" s="27"/>
      <c r="H771" s="4"/>
    </row>
    <row r="772">
      <c r="D772" s="25"/>
      <c r="E772" s="25"/>
      <c r="F772" s="25"/>
      <c r="G772" s="27"/>
      <c r="H772" s="4"/>
    </row>
    <row r="773">
      <c r="D773" s="25"/>
      <c r="E773" s="25"/>
      <c r="F773" s="25"/>
      <c r="G773" s="27"/>
      <c r="H773" s="4"/>
    </row>
    <row r="774">
      <c r="D774" s="25"/>
      <c r="E774" s="25"/>
      <c r="F774" s="25"/>
      <c r="G774" s="27"/>
      <c r="H774" s="4"/>
    </row>
    <row r="775">
      <c r="D775" s="25"/>
      <c r="E775" s="25"/>
      <c r="F775" s="25"/>
      <c r="G775" s="27"/>
      <c r="H775" s="4"/>
    </row>
    <row r="776">
      <c r="D776" s="25"/>
      <c r="E776" s="25"/>
      <c r="F776" s="25"/>
      <c r="G776" s="27"/>
      <c r="H776" s="4"/>
    </row>
    <row r="777">
      <c r="D777" s="25"/>
      <c r="E777" s="25"/>
      <c r="F777" s="25"/>
      <c r="G777" s="27"/>
      <c r="H777" s="4"/>
    </row>
    <row r="778">
      <c r="D778" s="25"/>
      <c r="E778" s="25"/>
      <c r="F778" s="25"/>
      <c r="G778" s="27"/>
      <c r="H778" s="4"/>
    </row>
    <row r="779">
      <c r="D779" s="25"/>
      <c r="E779" s="25"/>
      <c r="F779" s="25"/>
      <c r="G779" s="27"/>
      <c r="H779" s="4"/>
    </row>
    <row r="780">
      <c r="D780" s="25"/>
      <c r="E780" s="25"/>
      <c r="F780" s="25"/>
      <c r="G780" s="27"/>
      <c r="H780" s="4"/>
    </row>
    <row r="781">
      <c r="D781" s="25"/>
      <c r="E781" s="25"/>
      <c r="F781" s="25"/>
      <c r="G781" s="27"/>
      <c r="H781" s="4"/>
    </row>
    <row r="782">
      <c r="D782" s="25"/>
      <c r="E782" s="25"/>
      <c r="F782" s="25"/>
      <c r="G782" s="27"/>
      <c r="H782" s="4"/>
    </row>
    <row r="783">
      <c r="D783" s="25"/>
      <c r="E783" s="25"/>
      <c r="F783" s="25"/>
      <c r="G783" s="27"/>
      <c r="H783" s="4"/>
    </row>
    <row r="784">
      <c r="D784" s="25"/>
      <c r="E784" s="25"/>
      <c r="F784" s="25"/>
      <c r="G784" s="27"/>
      <c r="H784" s="4"/>
    </row>
    <row r="785">
      <c r="D785" s="25"/>
      <c r="E785" s="25"/>
      <c r="F785" s="25"/>
      <c r="G785" s="27"/>
      <c r="H785" s="4"/>
    </row>
    <row r="786">
      <c r="D786" s="25"/>
      <c r="E786" s="25"/>
      <c r="F786" s="25"/>
      <c r="G786" s="27"/>
      <c r="H786" s="4"/>
    </row>
    <row r="787">
      <c r="D787" s="25"/>
      <c r="E787" s="25"/>
      <c r="F787" s="25"/>
      <c r="G787" s="27"/>
      <c r="H787" s="4"/>
    </row>
    <row r="788">
      <c r="D788" s="25"/>
      <c r="E788" s="25"/>
      <c r="F788" s="25"/>
      <c r="G788" s="27"/>
      <c r="H788" s="4"/>
    </row>
    <row r="789">
      <c r="D789" s="25"/>
      <c r="E789" s="25"/>
      <c r="F789" s="25"/>
      <c r="G789" s="27"/>
      <c r="H789" s="4"/>
    </row>
    <row r="790">
      <c r="D790" s="25"/>
      <c r="E790" s="25"/>
      <c r="F790" s="25"/>
      <c r="G790" s="27"/>
      <c r="H790" s="4"/>
    </row>
    <row r="791">
      <c r="D791" s="25"/>
      <c r="E791" s="25"/>
      <c r="F791" s="25"/>
      <c r="G791" s="27"/>
      <c r="H791" s="4"/>
    </row>
    <row r="792">
      <c r="D792" s="25"/>
      <c r="E792" s="25"/>
      <c r="F792" s="25"/>
      <c r="G792" s="27"/>
      <c r="H792" s="4"/>
    </row>
    <row r="793">
      <c r="D793" s="25"/>
      <c r="E793" s="25"/>
      <c r="F793" s="25"/>
      <c r="G793" s="27"/>
      <c r="H793" s="4"/>
    </row>
    <row r="794">
      <c r="D794" s="25"/>
      <c r="E794" s="25"/>
      <c r="F794" s="25"/>
      <c r="G794" s="27"/>
      <c r="H794" s="4"/>
    </row>
    <row r="795">
      <c r="D795" s="25"/>
      <c r="E795" s="25"/>
      <c r="F795" s="25"/>
      <c r="G795" s="27"/>
      <c r="H795" s="4"/>
    </row>
    <row r="796">
      <c r="D796" s="25"/>
      <c r="E796" s="25"/>
      <c r="F796" s="25"/>
      <c r="G796" s="27"/>
      <c r="H796" s="4"/>
    </row>
    <row r="797">
      <c r="D797" s="25"/>
      <c r="E797" s="25"/>
      <c r="F797" s="25"/>
      <c r="G797" s="27"/>
      <c r="H797" s="4"/>
    </row>
    <row r="798">
      <c r="D798" s="25"/>
      <c r="E798" s="25"/>
      <c r="F798" s="25"/>
      <c r="G798" s="27"/>
      <c r="H798" s="4"/>
    </row>
    <row r="799">
      <c r="D799" s="25"/>
      <c r="E799" s="25"/>
      <c r="F799" s="25"/>
      <c r="G799" s="27"/>
      <c r="H799" s="4"/>
    </row>
    <row r="800">
      <c r="D800" s="25"/>
      <c r="E800" s="25"/>
      <c r="F800" s="25"/>
      <c r="G800" s="27"/>
      <c r="H800" s="4"/>
    </row>
    <row r="801">
      <c r="D801" s="25"/>
      <c r="E801" s="25"/>
      <c r="F801" s="25"/>
      <c r="G801" s="27"/>
      <c r="H801" s="4"/>
    </row>
    <row r="802">
      <c r="D802" s="25"/>
      <c r="E802" s="25"/>
      <c r="F802" s="25"/>
      <c r="G802" s="27"/>
      <c r="H802" s="4"/>
    </row>
    <row r="803">
      <c r="D803" s="25"/>
      <c r="E803" s="25"/>
      <c r="F803" s="25"/>
      <c r="G803" s="27"/>
      <c r="H803" s="4"/>
    </row>
    <row r="804">
      <c r="D804" s="25"/>
      <c r="E804" s="25"/>
      <c r="F804" s="25"/>
      <c r="G804" s="27"/>
      <c r="H804" s="4"/>
    </row>
    <row r="805">
      <c r="D805" s="25"/>
      <c r="E805" s="25"/>
      <c r="F805" s="25"/>
      <c r="G805" s="27"/>
      <c r="H805" s="4"/>
    </row>
    <row r="806">
      <c r="D806" s="25"/>
      <c r="E806" s="25"/>
      <c r="F806" s="25"/>
      <c r="G806" s="27"/>
      <c r="H806" s="4"/>
    </row>
    <row r="807">
      <c r="D807" s="25"/>
      <c r="E807" s="25"/>
      <c r="F807" s="25"/>
      <c r="G807" s="27"/>
      <c r="H807" s="4"/>
    </row>
    <row r="808">
      <c r="D808" s="25"/>
      <c r="E808" s="25"/>
      <c r="F808" s="25"/>
      <c r="G808" s="27"/>
      <c r="H808" s="4"/>
    </row>
    <row r="809">
      <c r="D809" s="25"/>
      <c r="E809" s="25"/>
      <c r="F809" s="25"/>
      <c r="G809" s="27"/>
      <c r="H809" s="4"/>
    </row>
    <row r="810">
      <c r="D810" s="25"/>
      <c r="E810" s="25"/>
      <c r="F810" s="25"/>
      <c r="G810" s="27"/>
      <c r="H810" s="4"/>
    </row>
    <row r="811">
      <c r="D811" s="25"/>
      <c r="E811" s="25"/>
      <c r="F811" s="25"/>
      <c r="G811" s="27"/>
      <c r="H811" s="4"/>
    </row>
    <row r="812">
      <c r="D812" s="25"/>
      <c r="E812" s="25"/>
      <c r="F812" s="25"/>
      <c r="G812" s="27"/>
      <c r="H812" s="4"/>
    </row>
    <row r="813">
      <c r="D813" s="25"/>
      <c r="E813" s="25"/>
      <c r="F813" s="25"/>
      <c r="G813" s="27"/>
      <c r="H813" s="4"/>
    </row>
    <row r="814">
      <c r="D814" s="25"/>
      <c r="E814" s="25"/>
      <c r="F814" s="25"/>
      <c r="G814" s="27"/>
      <c r="H814" s="4"/>
    </row>
    <row r="815">
      <c r="D815" s="25"/>
      <c r="E815" s="25"/>
      <c r="F815" s="25"/>
      <c r="G815" s="27"/>
      <c r="H815" s="4"/>
    </row>
    <row r="816">
      <c r="D816" s="25"/>
      <c r="E816" s="25"/>
      <c r="F816" s="25"/>
      <c r="G816" s="27"/>
      <c r="H816" s="4"/>
    </row>
    <row r="817">
      <c r="D817" s="25"/>
      <c r="E817" s="25"/>
      <c r="F817" s="25"/>
      <c r="G817" s="27"/>
      <c r="H817" s="4"/>
    </row>
    <row r="818">
      <c r="D818" s="25"/>
      <c r="E818" s="25"/>
      <c r="F818" s="25"/>
      <c r="G818" s="27"/>
      <c r="H818" s="4"/>
    </row>
    <row r="819">
      <c r="D819" s="25"/>
      <c r="E819" s="25"/>
      <c r="F819" s="25"/>
      <c r="G819" s="27"/>
      <c r="H819" s="4"/>
    </row>
    <row r="820">
      <c r="D820" s="25"/>
      <c r="E820" s="25"/>
      <c r="F820" s="25"/>
      <c r="G820" s="27"/>
      <c r="H820" s="4"/>
    </row>
    <row r="821">
      <c r="D821" s="25"/>
      <c r="E821" s="25"/>
      <c r="F821" s="25"/>
      <c r="G821" s="27"/>
      <c r="H821" s="4"/>
    </row>
    <row r="822">
      <c r="D822" s="25"/>
      <c r="E822" s="25"/>
      <c r="F822" s="25"/>
      <c r="G822" s="27"/>
      <c r="H822" s="4"/>
    </row>
    <row r="823">
      <c r="D823" s="25"/>
      <c r="E823" s="25"/>
      <c r="F823" s="25"/>
      <c r="G823" s="27"/>
      <c r="H823" s="4"/>
    </row>
    <row r="824">
      <c r="D824" s="25"/>
      <c r="E824" s="25"/>
      <c r="F824" s="25"/>
      <c r="G824" s="27"/>
      <c r="H824" s="4"/>
    </row>
    <row r="825">
      <c r="D825" s="25"/>
      <c r="E825" s="25"/>
      <c r="F825" s="25"/>
      <c r="G825" s="27"/>
      <c r="H825" s="4"/>
    </row>
    <row r="826">
      <c r="D826" s="25"/>
      <c r="E826" s="25"/>
      <c r="F826" s="25"/>
      <c r="G826" s="27"/>
      <c r="H826" s="4"/>
    </row>
    <row r="827">
      <c r="D827" s="25"/>
      <c r="E827" s="25"/>
      <c r="F827" s="25"/>
      <c r="G827" s="27"/>
      <c r="H827" s="4"/>
    </row>
    <row r="828">
      <c r="D828" s="25"/>
      <c r="E828" s="25"/>
      <c r="F828" s="25"/>
      <c r="G828" s="27"/>
      <c r="H828" s="4"/>
    </row>
    <row r="829">
      <c r="D829" s="25"/>
      <c r="E829" s="25"/>
      <c r="F829" s="25"/>
      <c r="G829" s="27"/>
      <c r="H829" s="4"/>
    </row>
    <row r="830">
      <c r="D830" s="25"/>
      <c r="E830" s="25"/>
      <c r="F830" s="25"/>
      <c r="G830" s="27"/>
      <c r="H830" s="4"/>
    </row>
    <row r="831">
      <c r="D831" s="25"/>
      <c r="E831" s="25"/>
      <c r="F831" s="25"/>
      <c r="G831" s="27"/>
      <c r="H831" s="4"/>
    </row>
    <row r="832">
      <c r="D832" s="25"/>
      <c r="E832" s="25"/>
      <c r="F832" s="25"/>
      <c r="G832" s="27"/>
      <c r="H832" s="4"/>
    </row>
    <row r="833">
      <c r="D833" s="25"/>
      <c r="E833" s="25"/>
      <c r="F833" s="25"/>
      <c r="G833" s="27"/>
      <c r="H833" s="4"/>
    </row>
    <row r="834">
      <c r="D834" s="25"/>
      <c r="E834" s="25"/>
      <c r="F834" s="25"/>
      <c r="G834" s="27"/>
      <c r="H834" s="4"/>
    </row>
    <row r="835">
      <c r="D835" s="25"/>
      <c r="E835" s="25"/>
      <c r="F835" s="25"/>
      <c r="G835" s="27"/>
      <c r="H835" s="4"/>
    </row>
    <row r="836">
      <c r="D836" s="25"/>
      <c r="E836" s="25"/>
      <c r="F836" s="25"/>
      <c r="G836" s="27"/>
      <c r="H836" s="4"/>
    </row>
    <row r="837">
      <c r="D837" s="25"/>
      <c r="E837" s="25"/>
      <c r="F837" s="25"/>
      <c r="G837" s="27"/>
      <c r="H837" s="4"/>
    </row>
    <row r="838">
      <c r="D838" s="25"/>
      <c r="E838" s="25"/>
      <c r="F838" s="25"/>
      <c r="G838" s="27"/>
      <c r="H838" s="4"/>
    </row>
    <row r="839">
      <c r="D839" s="25"/>
      <c r="E839" s="25"/>
      <c r="F839" s="25"/>
      <c r="G839" s="27"/>
      <c r="H839" s="4"/>
    </row>
    <row r="840">
      <c r="D840" s="25"/>
      <c r="E840" s="25"/>
      <c r="F840" s="25"/>
      <c r="G840" s="27"/>
      <c r="H840" s="4"/>
    </row>
    <row r="841">
      <c r="D841" s="25"/>
      <c r="E841" s="25"/>
      <c r="F841" s="25"/>
      <c r="G841" s="27"/>
      <c r="H841" s="4"/>
    </row>
    <row r="842">
      <c r="D842" s="25"/>
      <c r="E842" s="25"/>
      <c r="F842" s="25"/>
      <c r="G842" s="27"/>
      <c r="H842" s="4"/>
    </row>
    <row r="843">
      <c r="D843" s="25"/>
      <c r="E843" s="25"/>
      <c r="F843" s="25"/>
      <c r="G843" s="27"/>
      <c r="H843" s="4"/>
    </row>
    <row r="844">
      <c r="D844" s="25"/>
      <c r="E844" s="25"/>
      <c r="F844" s="25"/>
      <c r="G844" s="27"/>
      <c r="H844" s="4"/>
    </row>
    <row r="845">
      <c r="D845" s="25"/>
      <c r="E845" s="25"/>
      <c r="F845" s="25"/>
      <c r="G845" s="27"/>
      <c r="H845" s="4"/>
    </row>
    <row r="846">
      <c r="D846" s="25"/>
      <c r="E846" s="25"/>
      <c r="F846" s="25"/>
      <c r="G846" s="27"/>
      <c r="H846" s="4"/>
    </row>
    <row r="847">
      <c r="D847" s="25"/>
      <c r="E847" s="25"/>
      <c r="F847" s="25"/>
      <c r="G847" s="27"/>
      <c r="H847" s="4"/>
    </row>
    <row r="848">
      <c r="D848" s="25"/>
      <c r="E848" s="25"/>
      <c r="F848" s="25"/>
      <c r="G848" s="27"/>
      <c r="H848" s="4"/>
    </row>
    <row r="849">
      <c r="D849" s="25"/>
      <c r="E849" s="25"/>
      <c r="F849" s="25"/>
      <c r="G849" s="27"/>
      <c r="H849" s="4"/>
    </row>
    <row r="850">
      <c r="D850" s="25"/>
      <c r="E850" s="25"/>
      <c r="F850" s="25"/>
      <c r="G850" s="27"/>
      <c r="H850" s="4"/>
    </row>
    <row r="851">
      <c r="D851" s="25"/>
      <c r="E851" s="25"/>
      <c r="F851" s="25"/>
      <c r="G851" s="27"/>
      <c r="H851" s="4"/>
    </row>
    <row r="852">
      <c r="D852" s="25"/>
      <c r="E852" s="25"/>
      <c r="F852" s="25"/>
      <c r="G852" s="27"/>
      <c r="H852" s="4"/>
    </row>
    <row r="853">
      <c r="D853" s="25"/>
      <c r="E853" s="25"/>
      <c r="F853" s="25"/>
      <c r="G853" s="27"/>
      <c r="H853" s="4"/>
    </row>
    <row r="854">
      <c r="D854" s="25"/>
      <c r="E854" s="25"/>
      <c r="F854" s="25"/>
      <c r="G854" s="27"/>
      <c r="H854" s="4"/>
    </row>
    <row r="855">
      <c r="D855" s="25"/>
      <c r="E855" s="25"/>
      <c r="F855" s="25"/>
      <c r="G855" s="27"/>
      <c r="H855" s="4"/>
    </row>
    <row r="856">
      <c r="D856" s="25"/>
      <c r="E856" s="25"/>
      <c r="F856" s="25"/>
      <c r="G856" s="27"/>
      <c r="H856" s="4"/>
    </row>
    <row r="857">
      <c r="D857" s="25"/>
      <c r="E857" s="25"/>
      <c r="F857" s="25"/>
      <c r="G857" s="27"/>
      <c r="H857" s="4"/>
    </row>
    <row r="858">
      <c r="D858" s="25"/>
      <c r="E858" s="25"/>
      <c r="F858" s="25"/>
      <c r="G858" s="27"/>
      <c r="H858" s="4"/>
    </row>
    <row r="859">
      <c r="D859" s="25"/>
      <c r="E859" s="25"/>
      <c r="F859" s="25"/>
      <c r="G859" s="27"/>
      <c r="H859" s="4"/>
    </row>
    <row r="860">
      <c r="D860" s="25"/>
      <c r="E860" s="25"/>
      <c r="F860" s="25"/>
      <c r="G860" s="27"/>
      <c r="H860" s="4"/>
    </row>
    <row r="861">
      <c r="D861" s="25"/>
      <c r="E861" s="25"/>
      <c r="F861" s="25"/>
      <c r="G861" s="27"/>
      <c r="H861" s="4"/>
    </row>
    <row r="862">
      <c r="D862" s="25"/>
      <c r="E862" s="25"/>
      <c r="F862" s="25"/>
      <c r="G862" s="27"/>
      <c r="H862" s="4"/>
    </row>
    <row r="863">
      <c r="D863" s="25"/>
      <c r="E863" s="25"/>
      <c r="F863" s="25"/>
      <c r="G863" s="27"/>
      <c r="H863" s="4"/>
    </row>
    <row r="864">
      <c r="D864" s="25"/>
      <c r="E864" s="25"/>
      <c r="F864" s="25"/>
      <c r="G864" s="27"/>
      <c r="H864" s="4"/>
    </row>
    <row r="865">
      <c r="D865" s="25"/>
      <c r="E865" s="25"/>
      <c r="F865" s="25"/>
      <c r="G865" s="27"/>
      <c r="H865" s="4"/>
    </row>
    <row r="866">
      <c r="D866" s="25"/>
      <c r="E866" s="25"/>
      <c r="F866" s="25"/>
      <c r="G866" s="27"/>
      <c r="H866" s="4"/>
    </row>
    <row r="867">
      <c r="D867" s="25"/>
      <c r="E867" s="25"/>
      <c r="F867" s="25"/>
      <c r="G867" s="27"/>
      <c r="H867" s="4"/>
    </row>
    <row r="868">
      <c r="D868" s="25"/>
      <c r="E868" s="25"/>
      <c r="F868" s="25"/>
      <c r="G868" s="27"/>
      <c r="H868" s="4"/>
    </row>
    <row r="869">
      <c r="D869" s="25"/>
      <c r="E869" s="25"/>
      <c r="F869" s="25"/>
      <c r="G869" s="27"/>
      <c r="H869" s="4"/>
    </row>
    <row r="870">
      <c r="D870" s="25"/>
      <c r="E870" s="25"/>
      <c r="F870" s="25"/>
      <c r="G870" s="27"/>
      <c r="H870" s="4"/>
    </row>
    <row r="871">
      <c r="D871" s="25"/>
      <c r="E871" s="25"/>
      <c r="F871" s="25"/>
      <c r="G871" s="27"/>
      <c r="H871" s="4"/>
    </row>
    <row r="872">
      <c r="D872" s="25"/>
      <c r="E872" s="25"/>
      <c r="F872" s="25"/>
      <c r="G872" s="27"/>
      <c r="H872" s="4"/>
    </row>
    <row r="873">
      <c r="D873" s="25"/>
      <c r="E873" s="25"/>
      <c r="F873" s="25"/>
      <c r="G873" s="27"/>
      <c r="H873" s="4"/>
    </row>
    <row r="874">
      <c r="D874" s="25"/>
      <c r="E874" s="25"/>
      <c r="F874" s="25"/>
      <c r="G874" s="27"/>
      <c r="H874" s="4"/>
    </row>
    <row r="875">
      <c r="D875" s="25"/>
      <c r="E875" s="25"/>
      <c r="F875" s="25"/>
      <c r="G875" s="27"/>
      <c r="H875" s="4"/>
    </row>
    <row r="876">
      <c r="D876" s="25"/>
      <c r="E876" s="25"/>
      <c r="F876" s="25"/>
      <c r="G876" s="27"/>
      <c r="H876" s="4"/>
    </row>
    <row r="877">
      <c r="D877" s="25"/>
      <c r="E877" s="25"/>
      <c r="F877" s="25"/>
      <c r="G877" s="27"/>
      <c r="H877" s="4"/>
    </row>
    <row r="878">
      <c r="D878" s="25"/>
      <c r="E878" s="25"/>
      <c r="F878" s="25"/>
      <c r="G878" s="27"/>
      <c r="H878" s="4"/>
    </row>
    <row r="879">
      <c r="D879" s="25"/>
      <c r="E879" s="25"/>
      <c r="F879" s="25"/>
      <c r="G879" s="27"/>
      <c r="H879" s="4"/>
    </row>
    <row r="880">
      <c r="D880" s="25"/>
      <c r="E880" s="25"/>
      <c r="F880" s="25"/>
      <c r="G880" s="27"/>
      <c r="H880" s="4"/>
    </row>
    <row r="881">
      <c r="D881" s="25"/>
      <c r="E881" s="25"/>
      <c r="F881" s="25"/>
      <c r="G881" s="27"/>
      <c r="H881" s="4"/>
    </row>
    <row r="882">
      <c r="D882" s="25"/>
      <c r="E882" s="25"/>
      <c r="F882" s="25"/>
      <c r="G882" s="27"/>
      <c r="H882" s="4"/>
    </row>
    <row r="883">
      <c r="D883" s="25"/>
      <c r="E883" s="25"/>
      <c r="F883" s="25"/>
      <c r="G883" s="27"/>
      <c r="H883" s="4"/>
    </row>
    <row r="884">
      <c r="D884" s="25"/>
      <c r="E884" s="25"/>
      <c r="F884" s="25"/>
      <c r="G884" s="27"/>
      <c r="H884" s="4"/>
    </row>
    <row r="885">
      <c r="D885" s="25"/>
      <c r="E885" s="25"/>
      <c r="F885" s="25"/>
      <c r="G885" s="27"/>
      <c r="H885" s="4"/>
    </row>
    <row r="886">
      <c r="D886" s="25"/>
      <c r="E886" s="25"/>
      <c r="F886" s="25"/>
      <c r="G886" s="27"/>
      <c r="H886" s="4"/>
    </row>
    <row r="887">
      <c r="D887" s="25"/>
      <c r="E887" s="25"/>
      <c r="F887" s="25"/>
      <c r="G887" s="27"/>
      <c r="H887" s="4"/>
    </row>
    <row r="888">
      <c r="D888" s="25"/>
      <c r="E888" s="25"/>
      <c r="F888" s="25"/>
      <c r="G888" s="27"/>
      <c r="H888" s="4"/>
    </row>
    <row r="889">
      <c r="D889" s="25"/>
      <c r="E889" s="25"/>
      <c r="F889" s="25"/>
      <c r="G889" s="27"/>
      <c r="H889" s="4"/>
    </row>
    <row r="890">
      <c r="D890" s="25"/>
      <c r="E890" s="25"/>
      <c r="F890" s="25"/>
      <c r="G890" s="27"/>
      <c r="H890" s="4"/>
    </row>
    <row r="891">
      <c r="D891" s="25"/>
      <c r="E891" s="25"/>
      <c r="F891" s="25"/>
      <c r="G891" s="27"/>
      <c r="H891" s="4"/>
    </row>
    <row r="892">
      <c r="D892" s="25"/>
      <c r="E892" s="25"/>
      <c r="F892" s="25"/>
      <c r="G892" s="27"/>
      <c r="H892" s="4"/>
    </row>
    <row r="893">
      <c r="D893" s="25"/>
      <c r="E893" s="25"/>
      <c r="F893" s="25"/>
      <c r="G893" s="27"/>
      <c r="H893" s="4"/>
    </row>
    <row r="894">
      <c r="D894" s="25"/>
      <c r="E894" s="25"/>
      <c r="F894" s="25"/>
      <c r="G894" s="27"/>
      <c r="H894" s="4"/>
    </row>
    <row r="895">
      <c r="D895" s="25"/>
      <c r="E895" s="25"/>
      <c r="F895" s="25"/>
      <c r="G895" s="27"/>
      <c r="H895" s="4"/>
    </row>
    <row r="896">
      <c r="D896" s="25"/>
      <c r="E896" s="25"/>
      <c r="F896" s="25"/>
      <c r="G896" s="27"/>
      <c r="H896" s="4"/>
    </row>
    <row r="897">
      <c r="D897" s="25"/>
      <c r="E897" s="25"/>
      <c r="F897" s="25"/>
      <c r="G897" s="27"/>
      <c r="H897" s="4"/>
    </row>
    <row r="898">
      <c r="D898" s="25"/>
      <c r="E898" s="25"/>
      <c r="F898" s="25"/>
      <c r="G898" s="27"/>
      <c r="H898" s="4"/>
    </row>
    <row r="899">
      <c r="D899" s="25"/>
      <c r="E899" s="25"/>
      <c r="F899" s="25"/>
      <c r="G899" s="27"/>
      <c r="H899" s="4"/>
    </row>
    <row r="900">
      <c r="D900" s="25"/>
      <c r="E900" s="25"/>
      <c r="F900" s="25"/>
      <c r="G900" s="27"/>
      <c r="H900" s="4"/>
    </row>
    <row r="901">
      <c r="D901" s="25"/>
      <c r="E901" s="25"/>
      <c r="F901" s="25"/>
      <c r="G901" s="27"/>
      <c r="H901" s="4"/>
    </row>
    <row r="902">
      <c r="D902" s="25"/>
      <c r="E902" s="25"/>
      <c r="F902" s="25"/>
      <c r="G902" s="27"/>
      <c r="H902" s="4"/>
    </row>
    <row r="903">
      <c r="D903" s="25"/>
      <c r="E903" s="25"/>
      <c r="F903" s="25"/>
      <c r="G903" s="27"/>
      <c r="H903" s="4"/>
    </row>
    <row r="904">
      <c r="D904" s="25"/>
      <c r="E904" s="25"/>
      <c r="F904" s="25"/>
      <c r="G904" s="27"/>
      <c r="H904" s="4"/>
    </row>
    <row r="905">
      <c r="D905" s="25"/>
      <c r="E905" s="25"/>
      <c r="F905" s="25"/>
      <c r="G905" s="27"/>
      <c r="H905" s="4"/>
    </row>
    <row r="906">
      <c r="D906" s="25"/>
      <c r="E906" s="25"/>
      <c r="F906" s="25"/>
      <c r="G906" s="27"/>
      <c r="H906" s="4"/>
    </row>
    <row r="907">
      <c r="D907" s="25"/>
      <c r="E907" s="25"/>
      <c r="F907" s="25"/>
      <c r="G907" s="27"/>
      <c r="H907" s="4"/>
    </row>
    <row r="908">
      <c r="D908" s="25"/>
      <c r="E908" s="25"/>
      <c r="F908" s="25"/>
      <c r="G908" s="27"/>
      <c r="H908" s="4"/>
    </row>
    <row r="909">
      <c r="D909" s="25"/>
      <c r="E909" s="25"/>
      <c r="F909" s="25"/>
      <c r="G909" s="27"/>
      <c r="H909" s="4"/>
    </row>
    <row r="910">
      <c r="D910" s="25"/>
      <c r="E910" s="25"/>
      <c r="F910" s="25"/>
      <c r="G910" s="27"/>
      <c r="H910" s="4"/>
    </row>
    <row r="911">
      <c r="D911" s="25"/>
      <c r="E911" s="25"/>
      <c r="F911" s="25"/>
      <c r="G911" s="27"/>
      <c r="H911" s="4"/>
    </row>
    <row r="912">
      <c r="D912" s="25"/>
      <c r="E912" s="25"/>
      <c r="F912" s="25"/>
      <c r="G912" s="27"/>
      <c r="H912" s="4"/>
    </row>
    <row r="913">
      <c r="D913" s="25"/>
      <c r="E913" s="25"/>
      <c r="F913" s="25"/>
      <c r="G913" s="27"/>
      <c r="H913" s="4"/>
    </row>
    <row r="914">
      <c r="D914" s="25"/>
      <c r="E914" s="25"/>
      <c r="F914" s="25"/>
      <c r="G914" s="27"/>
      <c r="H914" s="4"/>
    </row>
    <row r="915">
      <c r="D915" s="25"/>
      <c r="E915" s="25"/>
      <c r="F915" s="25"/>
      <c r="G915" s="27"/>
      <c r="H915" s="4"/>
    </row>
    <row r="916">
      <c r="D916" s="25"/>
      <c r="E916" s="25"/>
      <c r="F916" s="25"/>
      <c r="G916" s="27"/>
      <c r="H916" s="4"/>
    </row>
    <row r="917">
      <c r="D917" s="25"/>
      <c r="E917" s="25"/>
      <c r="F917" s="25"/>
      <c r="G917" s="27"/>
      <c r="H917" s="4"/>
    </row>
    <row r="918">
      <c r="D918" s="25"/>
      <c r="E918" s="25"/>
      <c r="F918" s="25"/>
      <c r="G918" s="27"/>
      <c r="H918" s="4"/>
    </row>
    <row r="919">
      <c r="D919" s="25"/>
      <c r="E919" s="25"/>
      <c r="F919" s="25"/>
      <c r="G919" s="27"/>
      <c r="H919" s="4"/>
    </row>
    <row r="920">
      <c r="D920" s="25"/>
      <c r="E920" s="25"/>
      <c r="F920" s="25"/>
      <c r="G920" s="27"/>
      <c r="H920" s="4"/>
    </row>
    <row r="921">
      <c r="D921" s="25"/>
      <c r="E921" s="25"/>
      <c r="F921" s="25"/>
      <c r="G921" s="27"/>
      <c r="H921" s="4"/>
    </row>
    <row r="922">
      <c r="D922" s="25"/>
      <c r="E922" s="25"/>
      <c r="F922" s="25"/>
      <c r="G922" s="27"/>
      <c r="H922" s="4"/>
    </row>
    <row r="923">
      <c r="D923" s="25"/>
      <c r="E923" s="25"/>
      <c r="F923" s="25"/>
      <c r="G923" s="27"/>
      <c r="H923" s="4"/>
    </row>
    <row r="924">
      <c r="D924" s="25"/>
      <c r="E924" s="25"/>
      <c r="F924" s="25"/>
      <c r="G924" s="27"/>
      <c r="H924" s="4"/>
    </row>
    <row r="925">
      <c r="D925" s="25"/>
      <c r="E925" s="25"/>
      <c r="F925" s="25"/>
      <c r="G925" s="27"/>
      <c r="H925" s="4"/>
    </row>
    <row r="926">
      <c r="D926" s="25"/>
      <c r="E926" s="25"/>
      <c r="F926" s="25"/>
      <c r="G926" s="27"/>
      <c r="H926" s="4"/>
    </row>
    <row r="927">
      <c r="D927" s="25"/>
      <c r="E927" s="25"/>
      <c r="F927" s="25"/>
      <c r="G927" s="27"/>
      <c r="H927" s="4"/>
    </row>
    <row r="928">
      <c r="D928" s="25"/>
      <c r="E928" s="25"/>
      <c r="F928" s="25"/>
      <c r="G928" s="27"/>
      <c r="H928" s="4"/>
    </row>
    <row r="929">
      <c r="D929" s="25"/>
      <c r="E929" s="25"/>
      <c r="F929" s="25"/>
      <c r="G929" s="27"/>
      <c r="H929" s="4"/>
    </row>
    <row r="930">
      <c r="D930" s="25"/>
      <c r="E930" s="25"/>
      <c r="F930" s="25"/>
      <c r="G930" s="27"/>
      <c r="H930" s="4"/>
    </row>
    <row r="931">
      <c r="D931" s="25"/>
      <c r="E931" s="25"/>
      <c r="F931" s="25"/>
      <c r="G931" s="27"/>
      <c r="H931" s="4"/>
    </row>
    <row r="932">
      <c r="D932" s="25"/>
      <c r="E932" s="25"/>
      <c r="F932" s="25"/>
      <c r="G932" s="27"/>
      <c r="H932" s="4"/>
    </row>
    <row r="933">
      <c r="D933" s="25"/>
      <c r="E933" s="25"/>
      <c r="F933" s="25"/>
      <c r="G933" s="27"/>
      <c r="H933" s="4"/>
    </row>
    <row r="934">
      <c r="D934" s="25"/>
      <c r="E934" s="25"/>
      <c r="F934" s="25"/>
      <c r="G934" s="27"/>
      <c r="H934" s="4"/>
    </row>
    <row r="935">
      <c r="D935" s="25"/>
      <c r="E935" s="25"/>
      <c r="F935" s="25"/>
      <c r="G935" s="27"/>
      <c r="H935" s="4"/>
    </row>
    <row r="936">
      <c r="D936" s="25"/>
      <c r="E936" s="25"/>
      <c r="F936" s="25"/>
      <c r="G936" s="27"/>
      <c r="H936" s="4"/>
    </row>
    <row r="937">
      <c r="D937" s="25"/>
      <c r="E937" s="25"/>
      <c r="F937" s="25"/>
      <c r="G937" s="27"/>
      <c r="H937" s="4"/>
    </row>
    <row r="938">
      <c r="D938" s="25"/>
      <c r="E938" s="25"/>
      <c r="F938" s="25"/>
      <c r="G938" s="27"/>
      <c r="H938" s="4"/>
    </row>
    <row r="939">
      <c r="D939" s="25"/>
      <c r="E939" s="25"/>
      <c r="F939" s="25"/>
      <c r="G939" s="27"/>
      <c r="H939" s="4"/>
    </row>
    <row r="940">
      <c r="D940" s="25"/>
      <c r="E940" s="25"/>
      <c r="F940" s="25"/>
      <c r="G940" s="27"/>
      <c r="H940" s="4"/>
    </row>
    <row r="941">
      <c r="D941" s="25"/>
      <c r="E941" s="25"/>
      <c r="F941" s="25"/>
      <c r="G941" s="27"/>
      <c r="H941" s="4"/>
    </row>
    <row r="942">
      <c r="D942" s="25"/>
      <c r="E942" s="25"/>
      <c r="F942" s="25"/>
      <c r="G942" s="27"/>
      <c r="H942" s="4"/>
    </row>
    <row r="943">
      <c r="D943" s="25"/>
      <c r="E943" s="25"/>
      <c r="F943" s="25"/>
      <c r="G943" s="27"/>
      <c r="H943" s="4"/>
    </row>
    <row r="944">
      <c r="D944" s="25"/>
      <c r="E944" s="25"/>
      <c r="F944" s="25"/>
      <c r="G944" s="27"/>
      <c r="H944" s="4"/>
    </row>
    <row r="945">
      <c r="D945" s="25"/>
      <c r="E945" s="25"/>
      <c r="F945" s="25"/>
      <c r="G945" s="27"/>
      <c r="H945" s="4"/>
    </row>
    <row r="946">
      <c r="D946" s="25"/>
      <c r="E946" s="25"/>
      <c r="F946" s="25"/>
      <c r="G946" s="27"/>
      <c r="H946" s="4"/>
    </row>
    <row r="947">
      <c r="D947" s="25"/>
      <c r="E947" s="25"/>
      <c r="F947" s="25"/>
      <c r="G947" s="27"/>
      <c r="H947" s="4"/>
    </row>
    <row r="948">
      <c r="D948" s="25"/>
      <c r="E948" s="25"/>
      <c r="F948" s="25"/>
      <c r="G948" s="27"/>
      <c r="H948" s="4"/>
    </row>
    <row r="949">
      <c r="D949" s="25"/>
      <c r="E949" s="25"/>
      <c r="F949" s="25"/>
      <c r="G949" s="27"/>
      <c r="H949" s="4"/>
    </row>
    <row r="950">
      <c r="D950" s="25"/>
      <c r="E950" s="25"/>
      <c r="F950" s="25"/>
      <c r="G950" s="27"/>
      <c r="H950" s="4"/>
    </row>
    <row r="951">
      <c r="D951" s="25"/>
      <c r="E951" s="25"/>
      <c r="F951" s="25"/>
      <c r="G951" s="27"/>
      <c r="H951" s="4"/>
    </row>
    <row r="952">
      <c r="D952" s="25"/>
      <c r="E952" s="25"/>
      <c r="F952" s="25"/>
      <c r="G952" s="27"/>
      <c r="H952" s="4"/>
    </row>
    <row r="953">
      <c r="D953" s="25"/>
      <c r="E953" s="25"/>
      <c r="F953" s="25"/>
      <c r="G953" s="27"/>
      <c r="H953" s="4"/>
    </row>
    <row r="954">
      <c r="D954" s="25"/>
      <c r="E954" s="25"/>
      <c r="F954" s="25"/>
      <c r="G954" s="27"/>
      <c r="H954" s="4"/>
    </row>
    <row r="955">
      <c r="D955" s="25"/>
      <c r="E955" s="25"/>
      <c r="F955" s="25"/>
      <c r="G955" s="27"/>
      <c r="H955" s="4"/>
    </row>
    <row r="956">
      <c r="D956" s="25"/>
      <c r="E956" s="25"/>
      <c r="F956" s="25"/>
      <c r="G956" s="27"/>
      <c r="H956" s="4"/>
    </row>
    <row r="957">
      <c r="D957" s="25"/>
      <c r="E957" s="25"/>
      <c r="F957" s="25"/>
      <c r="G957" s="27"/>
      <c r="H957" s="4"/>
    </row>
    <row r="958">
      <c r="D958" s="25"/>
      <c r="E958" s="25"/>
      <c r="F958" s="25"/>
      <c r="G958" s="27"/>
      <c r="H958" s="4"/>
    </row>
    <row r="959">
      <c r="D959" s="25"/>
      <c r="E959" s="25"/>
      <c r="F959" s="25"/>
      <c r="G959" s="27"/>
      <c r="H959" s="4"/>
    </row>
    <row r="960">
      <c r="D960" s="25"/>
      <c r="E960" s="25"/>
      <c r="F960" s="25"/>
      <c r="G960" s="27"/>
      <c r="H960" s="4"/>
    </row>
    <row r="961">
      <c r="D961" s="25"/>
      <c r="E961" s="25"/>
      <c r="F961" s="25"/>
      <c r="G961" s="27"/>
      <c r="H961" s="4"/>
    </row>
    <row r="962">
      <c r="D962" s="25"/>
      <c r="E962" s="25"/>
      <c r="F962" s="25"/>
      <c r="G962" s="27"/>
      <c r="H962" s="4"/>
    </row>
    <row r="963">
      <c r="D963" s="25"/>
      <c r="E963" s="25"/>
      <c r="F963" s="25"/>
      <c r="G963" s="27"/>
      <c r="H963" s="4"/>
    </row>
    <row r="964">
      <c r="D964" s="25"/>
      <c r="E964" s="25"/>
      <c r="F964" s="25"/>
      <c r="G964" s="27"/>
      <c r="H964" s="4"/>
    </row>
    <row r="965">
      <c r="D965" s="25"/>
      <c r="E965" s="25"/>
      <c r="F965" s="25"/>
      <c r="G965" s="27"/>
      <c r="H965" s="4"/>
    </row>
    <row r="966">
      <c r="D966" s="25"/>
      <c r="E966" s="25"/>
      <c r="F966" s="25"/>
      <c r="G966" s="27"/>
      <c r="H966" s="4"/>
    </row>
    <row r="967">
      <c r="D967" s="25"/>
      <c r="E967" s="25"/>
      <c r="F967" s="25"/>
      <c r="G967" s="27"/>
      <c r="H967" s="4"/>
    </row>
    <row r="968">
      <c r="D968" s="25"/>
      <c r="E968" s="25"/>
      <c r="F968" s="25"/>
      <c r="G968" s="27"/>
      <c r="H968" s="4"/>
    </row>
    <row r="969">
      <c r="D969" s="25"/>
      <c r="E969" s="25"/>
      <c r="F969" s="25"/>
      <c r="G969" s="27"/>
      <c r="H969" s="4"/>
    </row>
    <row r="970">
      <c r="D970" s="25"/>
      <c r="E970" s="25"/>
      <c r="F970" s="25"/>
      <c r="G970" s="27"/>
      <c r="H970" s="4"/>
    </row>
    <row r="971">
      <c r="D971" s="25"/>
      <c r="E971" s="25"/>
      <c r="F971" s="25"/>
      <c r="G971" s="27"/>
      <c r="H971" s="4"/>
    </row>
    <row r="972">
      <c r="D972" s="25"/>
      <c r="E972" s="25"/>
      <c r="F972" s="25"/>
      <c r="G972" s="27"/>
      <c r="H972" s="4"/>
    </row>
    <row r="973">
      <c r="D973" s="25"/>
      <c r="E973" s="25"/>
      <c r="F973" s="25"/>
      <c r="G973" s="27"/>
      <c r="H973" s="4"/>
    </row>
    <row r="974">
      <c r="D974" s="25"/>
      <c r="E974" s="25"/>
      <c r="F974" s="25"/>
      <c r="G974" s="27"/>
      <c r="H974" s="4"/>
    </row>
    <row r="975">
      <c r="D975" s="25"/>
      <c r="E975" s="25"/>
      <c r="F975" s="25"/>
      <c r="G975" s="27"/>
      <c r="H975" s="4"/>
    </row>
    <row r="976">
      <c r="D976" s="25"/>
      <c r="E976" s="25"/>
      <c r="F976" s="25"/>
      <c r="G976" s="27"/>
      <c r="H976" s="4"/>
    </row>
    <row r="977">
      <c r="D977" s="25"/>
      <c r="E977" s="25"/>
      <c r="F977" s="25"/>
      <c r="G977" s="27"/>
      <c r="H977" s="4"/>
    </row>
    <row r="978">
      <c r="D978" s="25"/>
      <c r="E978" s="25"/>
      <c r="F978" s="25"/>
      <c r="G978" s="27"/>
      <c r="H978" s="4"/>
    </row>
    <row r="979">
      <c r="D979" s="25"/>
      <c r="E979" s="25"/>
      <c r="F979" s="25"/>
      <c r="G979" s="27"/>
      <c r="H979" s="4"/>
    </row>
    <row r="980">
      <c r="D980" s="25"/>
      <c r="E980" s="25"/>
      <c r="F980" s="25"/>
      <c r="G980" s="27"/>
      <c r="H980" s="4"/>
    </row>
    <row r="981">
      <c r="D981" s="25"/>
      <c r="E981" s="25"/>
      <c r="F981" s="25"/>
      <c r="G981" s="27"/>
      <c r="H981" s="4"/>
    </row>
    <row r="982">
      <c r="D982" s="25"/>
      <c r="E982" s="25"/>
      <c r="F982" s="25"/>
      <c r="G982" s="27"/>
      <c r="H982" s="4"/>
    </row>
    <row r="983">
      <c r="D983" s="25"/>
      <c r="E983" s="25"/>
      <c r="F983" s="25"/>
      <c r="G983" s="27"/>
      <c r="H983" s="4"/>
    </row>
    <row r="984">
      <c r="D984" s="25"/>
      <c r="E984" s="25"/>
      <c r="F984" s="25"/>
      <c r="G984" s="27"/>
      <c r="H984" s="4"/>
    </row>
    <row r="985">
      <c r="D985" s="25"/>
      <c r="E985" s="25"/>
      <c r="F985" s="25"/>
      <c r="G985" s="27"/>
      <c r="H985" s="4"/>
    </row>
    <row r="986">
      <c r="D986" s="25"/>
      <c r="E986" s="25"/>
      <c r="F986" s="25"/>
      <c r="G986" s="27"/>
      <c r="H986" s="4"/>
    </row>
    <row r="987">
      <c r="D987" s="25"/>
      <c r="E987" s="25"/>
      <c r="F987" s="25"/>
      <c r="G987" s="27"/>
      <c r="H987" s="4"/>
    </row>
    <row r="988">
      <c r="D988" s="25"/>
      <c r="E988" s="25"/>
      <c r="F988" s="25"/>
      <c r="G988" s="27"/>
      <c r="H988" s="4"/>
    </row>
    <row r="989">
      <c r="D989" s="25"/>
      <c r="E989" s="25"/>
      <c r="F989" s="25"/>
      <c r="G989" s="27"/>
      <c r="H989" s="4"/>
    </row>
    <row r="990">
      <c r="D990" s="25"/>
      <c r="E990" s="25"/>
      <c r="F990" s="25"/>
      <c r="G990" s="27"/>
      <c r="H990" s="4"/>
    </row>
    <row r="991">
      <c r="D991" s="25"/>
      <c r="E991" s="25"/>
      <c r="F991" s="25"/>
      <c r="G991" s="27"/>
      <c r="H991" s="4"/>
    </row>
    <row r="992">
      <c r="D992" s="25"/>
      <c r="E992" s="25"/>
      <c r="F992" s="25"/>
      <c r="G992" s="27"/>
      <c r="H992" s="4"/>
    </row>
    <row r="993">
      <c r="D993" s="25"/>
      <c r="E993" s="25"/>
      <c r="F993" s="25"/>
      <c r="G993" s="27"/>
      <c r="H993" s="4"/>
    </row>
    <row r="994">
      <c r="D994" s="25"/>
      <c r="E994" s="25"/>
      <c r="F994" s="25"/>
      <c r="G994" s="27"/>
      <c r="H994" s="4"/>
    </row>
    <row r="995">
      <c r="D995" s="25"/>
      <c r="E995" s="25"/>
      <c r="F995" s="25"/>
      <c r="G995" s="27"/>
      <c r="H995" s="4"/>
    </row>
    <row r="996">
      <c r="D996" s="25"/>
      <c r="E996" s="25"/>
      <c r="F996" s="25"/>
      <c r="G996" s="27"/>
      <c r="H996" s="4"/>
    </row>
    <row r="997">
      <c r="D997" s="25"/>
      <c r="E997" s="25"/>
      <c r="F997" s="25"/>
      <c r="G997" s="27"/>
      <c r="H997" s="4"/>
    </row>
    <row r="998">
      <c r="D998" s="25"/>
      <c r="E998" s="25"/>
      <c r="F998" s="25"/>
      <c r="G998" s="27"/>
      <c r="H998" s="4"/>
    </row>
    <row r="999">
      <c r="D999" s="25"/>
      <c r="E999" s="25"/>
      <c r="F999" s="25"/>
      <c r="G999" s="27"/>
      <c r="H999" s="4"/>
    </row>
    <row r="1000">
      <c r="D1000" s="25"/>
      <c r="E1000" s="25"/>
      <c r="F1000" s="25"/>
      <c r="G1000" s="27"/>
      <c r="H1000" s="4"/>
    </row>
  </sheetData>
  <mergeCells count="1">
    <mergeCell ref="A1:G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C00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1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IFERROR(__xludf.DUMMYFUNCTION("IMPORTRANGE(""https://docs.google.com/spreadsheets/d/1A-QMzpLZCZqC4f1dc1t9jN8qCTryqYpynxf3pgpGis4/edit#gid=1120027332"",""Leaders!A3:G502"")"),"Rudy Fernandez")</f>
        <v>Rudy Fernandez</v>
      </c>
      <c r="B3" s="13" t="str">
        <f>IFERROR(__xludf.DUMMYFUNCTION("""COMPUTED_VALUE"""),"RMB")</f>
        <v>RMB</v>
      </c>
      <c r="C3" s="14">
        <f>IFERROR(__xludf.DUMMYFUNCTION("""COMPUTED_VALUE"""),587.7)</f>
        <v>587.7</v>
      </c>
      <c r="D3" s="15">
        <f>IFERROR(__xludf.DUMMYFUNCTION("""COMPUTED_VALUE"""),6.889320294893159)</f>
        <v>6.889320295</v>
      </c>
      <c r="E3" s="15">
        <f>IFERROR(__xludf.DUMMYFUNCTION("""COMPUTED_VALUE"""),1.3523862805334597)</f>
        <v>1.352386281</v>
      </c>
      <c r="F3" s="15">
        <f>IFERROR(__xludf.DUMMYFUNCTION("""COMPUTED_VALUE"""),8.241706575426619)</f>
        <v>8.241706575</v>
      </c>
      <c r="G3" s="17">
        <f>IFERROR(__xludf.DUMMYFUNCTION("""COMPUTED_VALUE"""),1.829778662957023)</f>
        <v>1.829778663</v>
      </c>
      <c r="H3" s="4"/>
      <c r="I3" s="5" t="s">
        <v>13</v>
      </c>
      <c r="J3" s="5" t="s">
        <v>14</v>
      </c>
      <c r="K3" s="5">
        <v>671.0</v>
      </c>
      <c r="L3" s="5">
        <v>4.70447</v>
      </c>
      <c r="M3" s="5">
        <v>4.20302</v>
      </c>
      <c r="N3" s="5">
        <v>8.90749</v>
      </c>
      <c r="O3" s="5">
        <v>2.22226</v>
      </c>
    </row>
    <row r="4">
      <c r="A4" s="18" t="str">
        <f>IFERROR(__xludf.DUMMYFUNCTION("""COMPUTED_VALUE"""),"Luka Doncic")</f>
        <v>Luka Doncic</v>
      </c>
      <c r="B4" s="19" t="str">
        <f>IFERROR(__xludf.DUMMYFUNCTION("""COMPUTED_VALUE"""),"RMB")</f>
        <v>RMB</v>
      </c>
      <c r="C4" s="20">
        <f>IFERROR(__xludf.DUMMYFUNCTION("""COMPUTED_VALUE"""),899.9)</f>
        <v>899.9</v>
      </c>
      <c r="D4" s="21">
        <f>IFERROR(__xludf.DUMMYFUNCTION("""COMPUTED_VALUE"""),4.0387061588099975)</f>
        <v>4.038706159</v>
      </c>
      <c r="E4" s="21">
        <f>IFERROR(__xludf.DUMMYFUNCTION("""COMPUTED_VALUE"""),3.6462293792499336)</f>
        <v>3.646229379</v>
      </c>
      <c r="F4" s="21">
        <f>IFERROR(__xludf.DUMMYFUNCTION("""COMPUTED_VALUE"""),7.684935538059931)</f>
        <v>7.684935538</v>
      </c>
      <c r="G4" s="23">
        <f>IFERROR(__xludf.DUMMYFUNCTION("""COMPUTED_VALUE"""),2.6494853676642545)</f>
        <v>2.649485368</v>
      </c>
      <c r="H4" s="4"/>
      <c r="I4" s="5" t="s">
        <v>17</v>
      </c>
      <c r="J4" s="5" t="s">
        <v>14</v>
      </c>
      <c r="K4" s="5">
        <v>378.0</v>
      </c>
      <c r="L4" s="5">
        <v>7.09707</v>
      </c>
      <c r="M4" s="5">
        <v>1.59746</v>
      </c>
      <c r="N4" s="5">
        <v>8.69453</v>
      </c>
      <c r="O4" s="5">
        <v>1.22878</v>
      </c>
    </row>
    <row r="5">
      <c r="A5" s="12" t="str">
        <f>IFERROR(__xludf.DUMMYFUNCTION("""COMPUTED_VALUE"""),"Ante Tomic")</f>
        <v>Ante Tomic</v>
      </c>
      <c r="B5" s="13" t="str">
        <f>IFERROR(__xludf.DUMMYFUNCTION("""COMPUTED_VALUE"""),"FCB")</f>
        <v>FCB</v>
      </c>
      <c r="C5" s="14">
        <f>IFERROR(__xludf.DUMMYFUNCTION("""COMPUTED_VALUE"""),750.2)</f>
        <v>750.2</v>
      </c>
      <c r="D5" s="15">
        <f>IFERROR(__xludf.DUMMYFUNCTION("""COMPUTED_VALUE"""),4.8236314197370875)</f>
        <v>4.82363142</v>
      </c>
      <c r="E5" s="15">
        <f>IFERROR(__xludf.DUMMYFUNCTION("""COMPUTED_VALUE"""),1.8136424056337823)</f>
        <v>1.813642406</v>
      </c>
      <c r="F5" s="15">
        <f>IFERROR(__xludf.DUMMYFUNCTION("""COMPUTED_VALUE"""),6.63727382537087)</f>
        <v>6.637273825</v>
      </c>
      <c r="G5" s="17">
        <f>IFERROR(__xludf.DUMMYFUNCTION("""COMPUTED_VALUE"""),1.9575844472553885)</f>
        <v>1.957584447</v>
      </c>
      <c r="H5" s="4"/>
      <c r="I5" s="5" t="s">
        <v>23</v>
      </c>
      <c r="J5" s="5" t="s">
        <v>24</v>
      </c>
      <c r="K5" s="5">
        <v>561.0</v>
      </c>
      <c r="L5" s="5">
        <v>3.03508</v>
      </c>
      <c r="M5" s="5">
        <v>3.66807</v>
      </c>
      <c r="N5" s="5">
        <v>6.70315</v>
      </c>
      <c r="O5" s="5">
        <v>1.47607</v>
      </c>
    </row>
    <row r="6">
      <c r="A6" s="18" t="str">
        <f>IFERROR(__xludf.DUMMYFUNCTION("""COMPUTED_VALUE"""),"Edy Tavares")</f>
        <v>Edy Tavares</v>
      </c>
      <c r="B6" s="19" t="str">
        <f>IFERROR(__xludf.DUMMYFUNCTION("""COMPUTED_VALUE"""),"RMB")</f>
        <v>RMB</v>
      </c>
      <c r="C6" s="20">
        <f>IFERROR(__xludf.DUMMYFUNCTION("""COMPUTED_VALUE"""),742.8)</f>
        <v>742.8</v>
      </c>
      <c r="D6" s="21">
        <f>IFERROR(__xludf.DUMMYFUNCTION("""COMPUTED_VALUE"""),-0.14797450201096485)</f>
        <v>-0.147974502</v>
      </c>
      <c r="E6" s="21">
        <f>IFERROR(__xludf.DUMMYFUNCTION("""COMPUTED_VALUE"""),6.280933121309398)</f>
        <v>6.280933121</v>
      </c>
      <c r="F6" s="21">
        <f>IFERROR(__xludf.DUMMYFUNCTION("""COMPUTED_VALUE"""),6.132958619298433)</f>
        <v>6.132958619</v>
      </c>
      <c r="G6" s="23">
        <f>IFERROR(__xludf.DUMMYFUNCTION("""COMPUTED_VALUE"""),1.8365002710801293)</f>
        <v>1.836500271</v>
      </c>
      <c r="H6" s="4"/>
      <c r="I6" s="5" t="s">
        <v>32</v>
      </c>
      <c r="J6" s="5" t="s">
        <v>22</v>
      </c>
      <c r="K6" s="5">
        <v>390.0</v>
      </c>
      <c r="L6" s="5">
        <v>4.4914</v>
      </c>
      <c r="M6" s="5">
        <v>2.12741</v>
      </c>
      <c r="N6" s="5">
        <v>6.6188</v>
      </c>
      <c r="O6" s="5">
        <v>1.01984</v>
      </c>
    </row>
    <row r="7">
      <c r="A7" s="12" t="str">
        <f>IFERROR(__xludf.DUMMYFUNCTION("""COMPUTED_VALUE"""),"Giorgi Shermadini")</f>
        <v>Giorgi Shermadini</v>
      </c>
      <c r="B7" s="13" t="str">
        <f>IFERROR(__xludf.DUMMYFUNCTION("""COMPUTED_VALUE"""),"UNI")</f>
        <v>UNI</v>
      </c>
      <c r="C7" s="14">
        <f>IFERROR(__xludf.DUMMYFUNCTION("""COMPUTED_VALUE"""),436.7)</f>
        <v>436.7</v>
      </c>
      <c r="D7" s="15">
        <f>IFERROR(__xludf.DUMMYFUNCTION("""COMPUTED_VALUE"""),6.152937417927469)</f>
        <v>6.152937418</v>
      </c>
      <c r="E7" s="15">
        <f>IFERROR(__xludf.DUMMYFUNCTION("""COMPUTED_VALUE"""),-0.14873163422740543)</f>
        <v>-0.1487316342</v>
      </c>
      <c r="F7" s="15">
        <f>IFERROR(__xludf.DUMMYFUNCTION("""COMPUTED_VALUE"""),6.004205783700064)</f>
        <v>6.004205784</v>
      </c>
      <c r="G7" s="17">
        <f>IFERROR(__xludf.DUMMYFUNCTION("""COMPUTED_VALUE"""),1.0619503348051162)</f>
        <v>1.061950335</v>
      </c>
      <c r="H7" s="4"/>
      <c r="I7" s="5" t="s">
        <v>25</v>
      </c>
      <c r="J7" s="5" t="s">
        <v>14</v>
      </c>
      <c r="K7" s="5">
        <v>547.0</v>
      </c>
      <c r="L7" s="5">
        <v>0.32248</v>
      </c>
      <c r="M7" s="5">
        <v>6.15303</v>
      </c>
      <c r="N7" s="5">
        <v>6.47551</v>
      </c>
      <c r="O7" s="5">
        <v>1.40783</v>
      </c>
    </row>
    <row r="8">
      <c r="A8" s="18" t="str">
        <f>IFERROR(__xludf.DUMMYFUNCTION("""COMPUTED_VALUE"""),"Tim Abromaitis")</f>
        <v>Tim Abromaitis</v>
      </c>
      <c r="B8" s="19" t="str">
        <f>IFERROR(__xludf.DUMMYFUNCTION("""COMPUTED_VALUE"""),"CAN")</f>
        <v>CAN</v>
      </c>
      <c r="C8" s="20">
        <f>IFERROR(__xludf.DUMMYFUNCTION("""COMPUTED_VALUE"""),927.6)</f>
        <v>927.6</v>
      </c>
      <c r="D8" s="21">
        <f>IFERROR(__xludf.DUMMYFUNCTION("""COMPUTED_VALUE"""),4.255174644139949)</f>
        <v>4.255174644</v>
      </c>
      <c r="E8" s="21">
        <f>IFERROR(__xludf.DUMMYFUNCTION("""COMPUTED_VALUE"""),1.087555439522192)</f>
        <v>1.08755544</v>
      </c>
      <c r="F8" s="21">
        <f>IFERROR(__xludf.DUMMYFUNCTION("""COMPUTED_VALUE"""),5.342730083662141)</f>
        <v>5.342730084</v>
      </c>
      <c r="G8" s="23">
        <f>IFERROR(__xludf.DUMMYFUNCTION("""COMPUTED_VALUE"""),2.066514330083942)</f>
        <v>2.06651433</v>
      </c>
      <c r="H8" s="4"/>
      <c r="I8" s="5" t="s">
        <v>42</v>
      </c>
      <c r="J8" s="5" t="s">
        <v>24</v>
      </c>
      <c r="K8" s="5">
        <v>764.0</v>
      </c>
      <c r="L8" s="5">
        <v>5.45009</v>
      </c>
      <c r="M8" s="5">
        <v>0.17947</v>
      </c>
      <c r="N8" s="5">
        <v>5.62956</v>
      </c>
      <c r="O8" s="5">
        <v>1.76356</v>
      </c>
    </row>
    <row r="9">
      <c r="A9" s="12" t="str">
        <f>IFERROR(__xludf.DUMMYFUNCTION("""COMPUTED_VALUE"""),"Henk Norel")</f>
        <v>Henk Norel</v>
      </c>
      <c r="B9" s="13" t="str">
        <f>IFERROR(__xludf.DUMMYFUNCTION("""COMPUTED_VALUE"""),"GBC")</f>
        <v>GBC</v>
      </c>
      <c r="C9" s="14">
        <f>IFERROR(__xludf.DUMMYFUNCTION("""COMPUTED_VALUE"""),619.8)</f>
        <v>619.8</v>
      </c>
      <c r="D9" s="15">
        <f>IFERROR(__xludf.DUMMYFUNCTION("""COMPUTED_VALUE"""),4.364152854052031)</f>
        <v>4.364152854</v>
      </c>
      <c r="E9" s="15">
        <f>IFERROR(__xludf.DUMMYFUNCTION("""COMPUTED_VALUE"""),0.42520595813618023)</f>
        <v>0.4252059581</v>
      </c>
      <c r="F9" s="15">
        <f>IFERROR(__xludf.DUMMYFUNCTION("""COMPUTED_VALUE"""),4.789358812188211)</f>
        <v>4.789358812</v>
      </c>
      <c r="G9" s="17">
        <f>IFERROR(__xludf.DUMMYFUNCTION("""COMPUTED_VALUE"""),1.2782222803222092)</f>
        <v>1.27822228</v>
      </c>
      <c r="H9" s="4"/>
      <c r="I9" s="5" t="s">
        <v>49</v>
      </c>
      <c r="J9" s="5" t="s">
        <v>14</v>
      </c>
      <c r="K9" s="5">
        <v>583.0</v>
      </c>
      <c r="L9" s="5">
        <v>3.32938</v>
      </c>
      <c r="M9" s="5">
        <v>2.13969</v>
      </c>
      <c r="N9" s="5">
        <v>5.46907</v>
      </c>
      <c r="O9" s="5">
        <v>1.32278</v>
      </c>
    </row>
    <row r="10">
      <c r="A10" s="18" t="str">
        <f>IFERROR(__xludf.DUMMYFUNCTION("""COMPUTED_VALUE"""),"Gustavo Ayon")</f>
        <v>Gustavo Ayon</v>
      </c>
      <c r="B10" s="19" t="str">
        <f>IFERROR(__xludf.DUMMYFUNCTION("""COMPUTED_VALUE"""),"RMB")</f>
        <v>RMB</v>
      </c>
      <c r="C10" s="20">
        <f>IFERROR(__xludf.DUMMYFUNCTION("""COMPUTED_VALUE"""),492.2)</f>
        <v>492.2</v>
      </c>
      <c r="D10" s="21">
        <f>IFERROR(__xludf.DUMMYFUNCTION("""COMPUTED_VALUE"""),-0.15621400716559908)</f>
        <v>-0.1562140072</v>
      </c>
      <c r="E10" s="21">
        <f>IFERROR(__xludf.DUMMYFUNCTION("""COMPUTED_VALUE"""),4.785243931827642)</f>
        <v>4.785243932</v>
      </c>
      <c r="F10" s="21">
        <f>IFERROR(__xludf.DUMMYFUNCTION("""COMPUTED_VALUE"""),4.629029924662043)</f>
        <v>4.629029925</v>
      </c>
      <c r="G10" s="23">
        <f>IFERROR(__xludf.DUMMYFUNCTION("""COMPUTED_VALUE"""),0.9918868394338561)</f>
        <v>0.9918868394</v>
      </c>
      <c r="H10" s="4"/>
      <c r="I10" s="5" t="s">
        <v>53</v>
      </c>
      <c r="J10" s="5" t="s">
        <v>54</v>
      </c>
      <c r="K10" s="5">
        <v>843.0</v>
      </c>
      <c r="L10" s="5">
        <v>3.38604</v>
      </c>
      <c r="M10" s="5">
        <v>1.67778</v>
      </c>
      <c r="N10" s="5">
        <v>5.06382</v>
      </c>
      <c r="O10" s="5">
        <v>1.80543</v>
      </c>
    </row>
    <row r="11">
      <c r="A11" s="12" t="str">
        <f>IFERROR(__xludf.DUMMYFUNCTION("""COMPUTED_VALUE"""),"Tornike Shengelia")</f>
        <v>Tornike Shengelia</v>
      </c>
      <c r="B11" s="13" t="str">
        <f>IFERROR(__xludf.DUMMYFUNCTION("""COMPUTED_VALUE"""),"CAJ")</f>
        <v>CAJ</v>
      </c>
      <c r="C11" s="14">
        <f>IFERROR(__xludf.DUMMYFUNCTION("""COMPUTED_VALUE"""),981.0)</f>
        <v>981</v>
      </c>
      <c r="D11" s="15">
        <f>IFERROR(__xludf.DUMMYFUNCTION("""COMPUTED_VALUE"""),0.9219134962681605)</f>
        <v>0.9219134963</v>
      </c>
      <c r="E11" s="15">
        <f>IFERROR(__xludf.DUMMYFUNCTION("""COMPUTED_VALUE"""),3.589425077907162)</f>
        <v>3.589425078</v>
      </c>
      <c r="F11" s="15">
        <f>IFERROR(__xludf.DUMMYFUNCTION("""COMPUTED_VALUE"""),4.511338574175323)</f>
        <v>4.511338574</v>
      </c>
      <c r="G11" s="17">
        <f>IFERROR(__xludf.DUMMYFUNCTION("""COMPUTED_VALUE"""),1.9419292352359818)</f>
        <v>1.941929235</v>
      </c>
      <c r="H11" s="4"/>
      <c r="I11" s="5" t="s">
        <v>57</v>
      </c>
      <c r="J11" s="5" t="s">
        <v>59</v>
      </c>
      <c r="K11" s="5">
        <v>552.0</v>
      </c>
      <c r="L11" s="5">
        <v>6.30315</v>
      </c>
      <c r="M11" s="5">
        <v>-1.24387</v>
      </c>
      <c r="N11" s="5">
        <v>5.05928</v>
      </c>
      <c r="O11" s="5">
        <v>1.20524</v>
      </c>
    </row>
    <row r="12">
      <c r="A12" s="18" t="str">
        <f>IFERROR(__xludf.DUMMYFUNCTION("""COMPUTED_VALUE"""),"Aleksandar Vezenkov")</f>
        <v>Aleksandar Vezenkov</v>
      </c>
      <c r="B12" s="19" t="str">
        <f>IFERROR(__xludf.DUMMYFUNCTION("""COMPUTED_VALUE"""),"FCB")</f>
        <v>FCB</v>
      </c>
      <c r="C12" s="20">
        <f>IFERROR(__xludf.DUMMYFUNCTION("""COMPUTED_VALUE"""),322.8)</f>
        <v>322.8</v>
      </c>
      <c r="D12" s="21">
        <f>IFERROR(__xludf.DUMMYFUNCTION("""COMPUTED_VALUE"""),4.2128734517043)</f>
        <v>4.212873452</v>
      </c>
      <c r="E12" s="21">
        <f>IFERROR(__xludf.DUMMYFUNCTION("""COMPUTED_VALUE"""),0.17102625359049828)</f>
        <v>0.1710262536</v>
      </c>
      <c r="F12" s="21">
        <f>IFERROR(__xludf.DUMMYFUNCTION("""COMPUTED_VALUE"""),4.383899705294798)</f>
        <v>4.383899705</v>
      </c>
      <c r="G12" s="23">
        <f>IFERROR(__xludf.DUMMYFUNCTION("""COMPUTED_VALUE"""),0.6225673480891956)</f>
        <v>0.6225673481</v>
      </c>
      <c r="H12" s="4"/>
      <c r="I12" s="5" t="s">
        <v>40</v>
      </c>
      <c r="J12" s="5" t="s">
        <v>41</v>
      </c>
      <c r="K12" s="5">
        <v>730.0</v>
      </c>
      <c r="L12" s="5">
        <v>3.12082</v>
      </c>
      <c r="M12" s="5">
        <v>1.92142</v>
      </c>
      <c r="N12" s="5">
        <v>5.04225</v>
      </c>
      <c r="O12" s="5">
        <v>1.56795</v>
      </c>
    </row>
    <row r="13">
      <c r="A13" s="12" t="str">
        <f>IFERROR(__xludf.DUMMYFUNCTION("""COMPUTED_VALUE"""),"Carlos Suarez")</f>
        <v>Carlos Suarez</v>
      </c>
      <c r="B13" s="13" t="str">
        <f>IFERROR(__xludf.DUMMYFUNCTION("""COMPUTED_VALUE"""),"UNI")</f>
        <v>UNI</v>
      </c>
      <c r="C13" s="14">
        <f>IFERROR(__xludf.DUMMYFUNCTION("""COMPUTED_VALUE"""),776.6)</f>
        <v>776.6</v>
      </c>
      <c r="D13" s="15">
        <f>IFERROR(__xludf.DUMMYFUNCTION("""COMPUTED_VALUE"""),4.3430787041863645)</f>
        <v>4.343078704</v>
      </c>
      <c r="E13" s="15">
        <f>IFERROR(__xludf.DUMMYFUNCTION("""COMPUTED_VALUE"""),0.03147075043798253)</f>
        <v>0.03147075044</v>
      </c>
      <c r="F13" s="15">
        <f>IFERROR(__xludf.DUMMYFUNCTION("""COMPUTED_VALUE"""),4.374549454624347)</f>
        <v>4.374549455</v>
      </c>
      <c r="G13" s="17">
        <f>IFERROR(__xludf.DUMMYFUNCTION("""COMPUTED_VALUE"""),1.5040062800380445)</f>
        <v>1.50400628</v>
      </c>
      <c r="H13" s="4"/>
      <c r="I13" s="5" t="s">
        <v>66</v>
      </c>
      <c r="J13" s="5" t="s">
        <v>22</v>
      </c>
      <c r="K13" s="5">
        <v>713.0</v>
      </c>
      <c r="L13" s="5">
        <v>2.60494</v>
      </c>
      <c r="M13" s="5">
        <v>2.42967</v>
      </c>
      <c r="N13" s="5">
        <v>5.03461</v>
      </c>
      <c r="O13" s="5">
        <v>1.52226</v>
      </c>
    </row>
    <row r="14">
      <c r="A14" s="18" t="str">
        <f>IFERROR(__xludf.DUMMYFUNCTION("""COMPUTED_VALUE"""),"Vladimir Jankovic")</f>
        <v>Vladimir Jankovic</v>
      </c>
      <c r="B14" s="19" t="str">
        <f>IFERROR(__xludf.DUMMYFUNCTION("""COMPUTED_VALUE"""),"AND")</f>
        <v>AND</v>
      </c>
      <c r="C14" s="20">
        <f>IFERROR(__xludf.DUMMYFUNCTION("""COMPUTED_VALUE"""),603.5)</f>
        <v>603.5</v>
      </c>
      <c r="D14" s="21">
        <f>IFERROR(__xludf.DUMMYFUNCTION("""COMPUTED_VALUE"""),1.200727523756938)</f>
        <v>1.200727524</v>
      </c>
      <c r="E14" s="21">
        <f>IFERROR(__xludf.DUMMYFUNCTION("""COMPUTED_VALUE"""),3.1064242833889306)</f>
        <v>3.106424283</v>
      </c>
      <c r="F14" s="21">
        <f>IFERROR(__xludf.DUMMYFUNCTION("""COMPUTED_VALUE"""),4.3071518071458685)</f>
        <v>4.307151807</v>
      </c>
      <c r="G14" s="23">
        <f>IFERROR(__xludf.DUMMYFUNCTION("""COMPUTED_VALUE"""),1.2416189505542823)</f>
        <v>1.241618951</v>
      </c>
      <c r="H14" s="4"/>
      <c r="I14" s="5" t="s">
        <v>62</v>
      </c>
      <c r="J14" s="5" t="s">
        <v>41</v>
      </c>
      <c r="K14" s="5">
        <v>639.0</v>
      </c>
      <c r="L14" s="5">
        <v>2.26483</v>
      </c>
      <c r="M14" s="5">
        <v>2.69538</v>
      </c>
      <c r="N14" s="5">
        <v>4.96021</v>
      </c>
      <c r="O14" s="5">
        <v>1.35573</v>
      </c>
    </row>
    <row r="15">
      <c r="A15" s="12" t="str">
        <f>IFERROR(__xludf.DUMMYFUNCTION("""COMPUTED_VALUE"""),"Facundo Campazzo")</f>
        <v>Facundo Campazzo</v>
      </c>
      <c r="B15" s="13" t="str">
        <f>IFERROR(__xludf.DUMMYFUNCTION("""COMPUTED_VALUE"""),"RMB")</f>
        <v>RMB</v>
      </c>
      <c r="C15" s="14">
        <f>IFERROR(__xludf.DUMMYFUNCTION("""COMPUTED_VALUE"""),721.8)</f>
        <v>721.8</v>
      </c>
      <c r="D15" s="15">
        <f>IFERROR(__xludf.DUMMYFUNCTION("""COMPUTED_VALUE"""),2.7303212892909405)</f>
        <v>2.730321289</v>
      </c>
      <c r="E15" s="15">
        <f>IFERROR(__xludf.DUMMYFUNCTION("""COMPUTED_VALUE"""),1.499792976438168)</f>
        <v>1.499792976</v>
      </c>
      <c r="F15" s="15">
        <f>IFERROR(__xludf.DUMMYFUNCTION("""COMPUTED_VALUE"""),4.230114265729108)</f>
        <v>4.230114266</v>
      </c>
      <c r="G15" s="17">
        <f>IFERROR(__xludf.DUMMYFUNCTION("""COMPUTED_VALUE"""),1.367046945691987)</f>
        <v>1.367046946</v>
      </c>
      <c r="H15" s="4"/>
      <c r="I15" s="5" t="s">
        <v>73</v>
      </c>
      <c r="J15" s="5" t="s">
        <v>74</v>
      </c>
      <c r="K15" s="5">
        <v>620.0</v>
      </c>
      <c r="L15" s="5">
        <v>4.34974</v>
      </c>
      <c r="M15" s="5">
        <v>0.50001</v>
      </c>
      <c r="N15" s="5">
        <v>4.84975</v>
      </c>
      <c r="O15" s="5">
        <v>1.30992</v>
      </c>
    </row>
    <row r="16">
      <c r="A16" s="18" t="str">
        <f>IFERROR(__xludf.DUMMYFUNCTION("""COMPUTED_VALUE"""),"Sam Van Rossom")</f>
        <v>Sam Van Rossom</v>
      </c>
      <c r="B16" s="19" t="str">
        <f>IFERROR(__xludf.DUMMYFUNCTION("""COMPUTED_VALUE"""),"VAL")</f>
        <v>VAL</v>
      </c>
      <c r="C16" s="20">
        <f>IFERROR(__xludf.DUMMYFUNCTION("""COMPUTED_VALUE"""),693.2)</f>
        <v>693.2</v>
      </c>
      <c r="D16" s="21">
        <f>IFERROR(__xludf.DUMMYFUNCTION("""COMPUTED_VALUE"""),6.834943779904114)</f>
        <v>6.83494378</v>
      </c>
      <c r="E16" s="21">
        <f>IFERROR(__xludf.DUMMYFUNCTION("""COMPUTED_VALUE"""),-2.6186105723190733)</f>
        <v>-2.618610572</v>
      </c>
      <c r="F16" s="21">
        <f>IFERROR(__xludf.DUMMYFUNCTION("""COMPUTED_VALUE"""),4.21633320758504)</f>
        <v>4.216333208</v>
      </c>
      <c r="G16" s="23">
        <f>IFERROR(__xludf.DUMMYFUNCTION("""COMPUTED_VALUE"""),1.3268944536514806)</f>
        <v>1.326894454</v>
      </c>
      <c r="H16" s="4"/>
      <c r="I16" s="5" t="s">
        <v>79</v>
      </c>
      <c r="J16" s="5" t="s">
        <v>24</v>
      </c>
      <c r="K16" s="5">
        <v>323.0</v>
      </c>
      <c r="L16" s="5">
        <v>2.69788</v>
      </c>
      <c r="M16" s="5">
        <v>2.13855</v>
      </c>
      <c r="N16" s="5">
        <v>4.83643</v>
      </c>
      <c r="O16" s="5">
        <v>0.66776</v>
      </c>
    </row>
    <row r="17">
      <c r="A17" s="12" t="str">
        <f>IFERROR(__xludf.DUMMYFUNCTION("""COMPUTED_VALUE"""),"Clevin Hannah")</f>
        <v>Clevin Hannah</v>
      </c>
      <c r="B17" s="13" t="str">
        <f>IFERROR(__xludf.DUMMYFUNCTION("""COMPUTED_VALUE"""),"MUR")</f>
        <v>MUR</v>
      </c>
      <c r="C17" s="14">
        <f>IFERROR(__xludf.DUMMYFUNCTION("""COMPUTED_VALUE"""),821.9)</f>
        <v>821.9</v>
      </c>
      <c r="D17" s="15">
        <f>IFERROR(__xludf.DUMMYFUNCTION("""COMPUTED_VALUE"""),6.339249784159199)</f>
        <v>6.339249784</v>
      </c>
      <c r="E17" s="15">
        <f>IFERROR(__xludf.DUMMYFUNCTION("""COMPUTED_VALUE"""),-2.179055244584892)</f>
        <v>-2.179055245</v>
      </c>
      <c r="F17" s="15">
        <f>IFERROR(__xludf.DUMMYFUNCTION("""COMPUTED_VALUE"""),4.160194539574307)</f>
        <v>4.16019454</v>
      </c>
      <c r="G17" s="17">
        <f>IFERROR(__xludf.DUMMYFUNCTION("""COMPUTED_VALUE"""),1.532327392857966)</f>
        <v>1.532327393</v>
      </c>
      <c r="H17" s="4"/>
      <c r="I17" s="5" t="s">
        <v>82</v>
      </c>
      <c r="J17" s="5" t="s">
        <v>59</v>
      </c>
      <c r="K17" s="5">
        <v>712.0</v>
      </c>
      <c r="L17" s="5">
        <v>2.74389</v>
      </c>
      <c r="M17" s="5">
        <v>1.88722</v>
      </c>
      <c r="N17" s="5">
        <v>4.63111</v>
      </c>
      <c r="O17" s="5">
        <v>1.46038</v>
      </c>
    </row>
    <row r="18">
      <c r="A18" s="18" t="str">
        <f>IFERROR(__xludf.DUMMYFUNCTION("""COMPUTED_VALUE"""),"Vincent Poirier")</f>
        <v>Vincent Poirier</v>
      </c>
      <c r="B18" s="19" t="str">
        <f>IFERROR(__xludf.DUMMYFUNCTION("""COMPUTED_VALUE"""),"CAJ")</f>
        <v>CAJ</v>
      </c>
      <c r="C18" s="20">
        <f>IFERROR(__xludf.DUMMYFUNCTION("""COMPUTED_VALUE"""),813.0)</f>
        <v>813</v>
      </c>
      <c r="D18" s="21">
        <f>IFERROR(__xludf.DUMMYFUNCTION("""COMPUTED_VALUE"""),-1.4556263364093276)</f>
        <v>-1.455626336</v>
      </c>
      <c r="E18" s="21">
        <f>IFERROR(__xludf.DUMMYFUNCTION("""COMPUTED_VALUE"""),5.471119246168483)</f>
        <v>5.471119246</v>
      </c>
      <c r="F18" s="21">
        <f>IFERROR(__xludf.DUMMYFUNCTION("""COMPUTED_VALUE"""),4.015492909759155)</f>
        <v>4.01549291</v>
      </c>
      <c r="G18" s="23">
        <f>IFERROR(__xludf.DUMMYFUNCTION("""COMPUTED_VALUE"""),1.4868113892621053)</f>
        <v>1.486811389</v>
      </c>
      <c r="H18" s="4"/>
      <c r="I18" s="5" t="s">
        <v>84</v>
      </c>
      <c r="J18" s="5" t="s">
        <v>85</v>
      </c>
      <c r="K18" s="5">
        <v>789.0</v>
      </c>
      <c r="L18" s="5">
        <v>4.83532</v>
      </c>
      <c r="M18" s="5">
        <v>-0.2188</v>
      </c>
      <c r="N18" s="5">
        <v>4.61652</v>
      </c>
      <c r="O18" s="5">
        <v>1.57963</v>
      </c>
    </row>
    <row r="19">
      <c r="A19" s="12" t="str">
        <f>IFERROR(__xludf.DUMMYFUNCTION("""COMPUTED_VALUE"""),"Thomas Heurtel")</f>
        <v>Thomas Heurtel</v>
      </c>
      <c r="B19" s="13" t="str">
        <f>IFERROR(__xludf.DUMMYFUNCTION("""COMPUTED_VALUE"""),"FCB")</f>
        <v>FCB</v>
      </c>
      <c r="C19" s="14">
        <f>IFERROR(__xludf.DUMMYFUNCTION("""COMPUTED_VALUE"""),964.9)</f>
        <v>964.9</v>
      </c>
      <c r="D19" s="15">
        <f>IFERROR(__xludf.DUMMYFUNCTION("""COMPUTED_VALUE"""),6.113253907504699)</f>
        <v>6.113253908</v>
      </c>
      <c r="E19" s="15">
        <f>IFERROR(__xludf.DUMMYFUNCTION("""COMPUTED_VALUE"""),-2.1245378412471667)</f>
        <v>-2.124537841</v>
      </c>
      <c r="F19" s="15">
        <f>IFERROR(__xludf.DUMMYFUNCTION("""COMPUTED_VALUE"""),3.9887160662575325)</f>
        <v>3.988716066</v>
      </c>
      <c r="G19" s="17">
        <f>IFERROR(__xludf.DUMMYFUNCTION("""COMPUTED_VALUE"""),1.7457529613937877)</f>
        <v>1.745752961</v>
      </c>
      <c r="H19" s="4"/>
      <c r="I19" s="5" t="s">
        <v>88</v>
      </c>
      <c r="J19" s="5" t="s">
        <v>89</v>
      </c>
      <c r="K19" s="5">
        <v>517.0</v>
      </c>
      <c r="L19" s="5">
        <v>2.17728</v>
      </c>
      <c r="M19" s="5">
        <v>2.17189</v>
      </c>
      <c r="N19" s="5">
        <v>4.34917</v>
      </c>
      <c r="O19" s="5">
        <v>1.07332</v>
      </c>
    </row>
    <row r="20">
      <c r="A20" s="18" t="str">
        <f>IFERROR(__xludf.DUMMYFUNCTION("""COMPUTED_VALUE"""),"Mateusz Ponitka")</f>
        <v>Mateusz Ponitka</v>
      </c>
      <c r="B20" s="19" t="str">
        <f>IFERROR(__xludf.DUMMYFUNCTION("""COMPUTED_VALUE"""),"CAN")</f>
        <v>CAN</v>
      </c>
      <c r="C20" s="20">
        <f>IFERROR(__xludf.DUMMYFUNCTION("""COMPUTED_VALUE"""),832.1)</f>
        <v>832.1</v>
      </c>
      <c r="D20" s="21">
        <f>IFERROR(__xludf.DUMMYFUNCTION("""COMPUTED_VALUE"""),3.843592199234628)</f>
        <v>3.843592199</v>
      </c>
      <c r="E20" s="21">
        <f>IFERROR(__xludf.DUMMYFUNCTION("""COMPUTED_VALUE"""),-0.01721625142534622)</f>
        <v>-0.01721625143</v>
      </c>
      <c r="F20" s="21">
        <f>IFERROR(__xludf.DUMMYFUNCTION("""COMPUTED_VALUE"""),3.826375947809282)</f>
        <v>3.826375948</v>
      </c>
      <c r="G20" s="23">
        <f>IFERROR(__xludf.DUMMYFUNCTION("""COMPUTED_VALUE"""),1.4709372405666536)</f>
        <v>1.470937241</v>
      </c>
      <c r="H20" s="4"/>
      <c r="I20" s="5" t="s">
        <v>92</v>
      </c>
      <c r="J20" s="5" t="s">
        <v>24</v>
      </c>
      <c r="K20" s="5">
        <v>620.0</v>
      </c>
      <c r="L20" s="5">
        <v>0.75198</v>
      </c>
      <c r="M20" s="5">
        <v>3.543</v>
      </c>
      <c r="N20" s="5">
        <v>4.29498</v>
      </c>
      <c r="O20" s="5">
        <v>1.18174</v>
      </c>
    </row>
    <row r="21">
      <c r="A21" s="12" t="str">
        <f>IFERROR(__xludf.DUMMYFUNCTION("""COMPUTED_VALUE"""),"Rafa Martinez")</f>
        <v>Rafa Martinez</v>
      </c>
      <c r="B21" s="13" t="str">
        <f>IFERROR(__xludf.DUMMYFUNCTION("""COMPUTED_VALUE"""),"VAL")</f>
        <v>VAL</v>
      </c>
      <c r="C21" s="14">
        <f>IFERROR(__xludf.DUMMYFUNCTION("""COMPUTED_VALUE"""),615.5)</f>
        <v>615.5</v>
      </c>
      <c r="D21" s="15">
        <f>IFERROR(__xludf.DUMMYFUNCTION("""COMPUTED_VALUE"""),8.287405257413205)</f>
        <v>8.287405257</v>
      </c>
      <c r="E21" s="15">
        <f>IFERROR(__xludf.DUMMYFUNCTION("""COMPUTED_VALUE"""),-4.4629420594584905)</f>
        <v>-4.462942059</v>
      </c>
      <c r="F21" s="15">
        <f>IFERROR(__xludf.DUMMYFUNCTION("""COMPUTED_VALUE"""),3.8244631979547146)</f>
        <v>3.824463198</v>
      </c>
      <c r="G21" s="17">
        <f>IFERROR(__xludf.DUMMYFUNCTION("""COMPUTED_VALUE"""),1.103894328461213)</f>
        <v>1.103894328</v>
      </c>
      <c r="H21" s="4"/>
      <c r="I21" s="5" t="s">
        <v>96</v>
      </c>
      <c r="J21" s="5" t="s">
        <v>97</v>
      </c>
      <c r="K21" s="5">
        <v>274.0</v>
      </c>
      <c r="L21" s="5">
        <v>3.12324</v>
      </c>
      <c r="M21" s="5">
        <v>1.12083</v>
      </c>
      <c r="N21" s="5">
        <v>4.24407</v>
      </c>
      <c r="O21" s="5">
        <v>0.51956</v>
      </c>
    </row>
    <row r="22">
      <c r="A22" s="18" t="str">
        <f>IFERROR(__xludf.DUMMYFUNCTION("""COMPUTED_VALUE"""),"James Augustine")</f>
        <v>James Augustine</v>
      </c>
      <c r="B22" s="19" t="str">
        <f>IFERROR(__xludf.DUMMYFUNCTION("""COMPUTED_VALUE"""),"UNI")</f>
        <v>UNI</v>
      </c>
      <c r="C22" s="20">
        <f>IFERROR(__xludf.DUMMYFUNCTION("""COMPUTED_VALUE"""),757.0)</f>
        <v>757</v>
      </c>
      <c r="D22" s="21">
        <f>IFERROR(__xludf.DUMMYFUNCTION("""COMPUTED_VALUE"""),2.2426829418537184)</f>
        <v>2.242682942</v>
      </c>
      <c r="E22" s="21">
        <f>IFERROR(__xludf.DUMMYFUNCTION("""COMPUTED_VALUE"""),1.5336167987221656)</f>
        <v>1.533616799</v>
      </c>
      <c r="F22" s="21">
        <f>IFERROR(__xludf.DUMMYFUNCTION("""COMPUTED_VALUE"""),3.776299740575884)</f>
        <v>3.776299741</v>
      </c>
      <c r="G22" s="23">
        <f>IFERROR(__xludf.DUMMYFUNCTION("""COMPUTED_VALUE"""),1.328459654896379)</f>
        <v>1.328459655</v>
      </c>
      <c r="H22" s="4"/>
      <c r="I22" s="5" t="s">
        <v>21</v>
      </c>
      <c r="J22" s="5" t="s">
        <v>22</v>
      </c>
      <c r="K22" s="5">
        <v>702.0</v>
      </c>
      <c r="L22" s="5">
        <v>0.39928</v>
      </c>
      <c r="M22" s="5">
        <v>3.8396</v>
      </c>
      <c r="N22" s="5">
        <v>4.23888</v>
      </c>
      <c r="O22" s="5">
        <v>1.32979</v>
      </c>
    </row>
    <row r="23">
      <c r="A23" s="12" t="str">
        <f>IFERROR(__xludf.DUMMYFUNCTION("""COMPUTED_VALUE"""),"Will Thomas")</f>
        <v>Will Thomas</v>
      </c>
      <c r="B23" s="13" t="str">
        <f>IFERROR(__xludf.DUMMYFUNCTION("""COMPUTED_VALUE"""),"VAL")</f>
        <v>VAL</v>
      </c>
      <c r="C23" s="14">
        <f>IFERROR(__xludf.DUMMYFUNCTION("""COMPUTED_VALUE"""),948.5)</f>
        <v>948.5</v>
      </c>
      <c r="D23" s="15">
        <f>IFERROR(__xludf.DUMMYFUNCTION("""COMPUTED_VALUE"""),5.09098533627364)</f>
        <v>5.090985336</v>
      </c>
      <c r="E23" s="15">
        <f>IFERROR(__xludf.DUMMYFUNCTION("""COMPUTED_VALUE"""),-1.3278897193808246)</f>
        <v>-1.327889719</v>
      </c>
      <c r="F23" s="15">
        <f>IFERROR(__xludf.DUMMYFUNCTION("""COMPUTED_VALUE"""),3.7630956168928154)</f>
        <v>3.763095617</v>
      </c>
      <c r="G23" s="17">
        <f>IFERROR(__xludf.DUMMYFUNCTION("""COMPUTED_VALUE"""),1.6832037871576462)</f>
        <v>1.683203787</v>
      </c>
      <c r="H23" s="4"/>
      <c r="I23" s="5" t="s">
        <v>101</v>
      </c>
      <c r="J23" s="5" t="s">
        <v>22</v>
      </c>
      <c r="K23" s="5">
        <v>580.0</v>
      </c>
      <c r="L23" s="5">
        <v>4.61749</v>
      </c>
      <c r="M23" s="5">
        <v>-0.4112</v>
      </c>
      <c r="N23" s="5">
        <v>4.20629</v>
      </c>
      <c r="O23" s="5">
        <v>1.09345</v>
      </c>
    </row>
    <row r="24">
      <c r="A24" s="18" t="str">
        <f>IFERROR(__xludf.DUMMYFUNCTION("""COMPUTED_VALUE"""),"Luca Vildoza")</f>
        <v>Luca Vildoza</v>
      </c>
      <c r="B24" s="19" t="str">
        <f>IFERROR(__xludf.DUMMYFUNCTION("""COMPUTED_VALUE"""),"CAJ")</f>
        <v>CAJ</v>
      </c>
      <c r="C24" s="20">
        <f>IFERROR(__xludf.DUMMYFUNCTION("""COMPUTED_VALUE"""),481.7)</f>
        <v>481.7</v>
      </c>
      <c r="D24" s="21">
        <f>IFERROR(__xludf.DUMMYFUNCTION("""COMPUTED_VALUE"""),1.2401839801766181)</f>
        <v>1.24018398</v>
      </c>
      <c r="E24" s="21">
        <f>IFERROR(__xludf.DUMMYFUNCTION("""COMPUTED_VALUE"""),2.4701630643475028)</f>
        <v>2.470163064</v>
      </c>
      <c r="F24" s="21">
        <f>IFERROR(__xludf.DUMMYFUNCTION("""COMPUTED_VALUE"""),3.710347044524121)</f>
        <v>3.710347045</v>
      </c>
      <c r="G24" s="23">
        <f>IFERROR(__xludf.DUMMYFUNCTION("""COMPUTED_VALUE"""),0.8362444796467896)</f>
        <v>0.8362444796</v>
      </c>
      <c r="H24" s="4"/>
      <c r="I24" s="5" t="s">
        <v>103</v>
      </c>
      <c r="J24" s="5" t="s">
        <v>59</v>
      </c>
      <c r="K24" s="5">
        <v>848.0</v>
      </c>
      <c r="L24" s="5">
        <v>2.22371</v>
      </c>
      <c r="M24" s="5">
        <v>1.93969</v>
      </c>
      <c r="N24" s="5">
        <v>4.16339</v>
      </c>
      <c r="O24" s="5">
        <v>1.61596</v>
      </c>
    </row>
    <row r="25">
      <c r="A25" s="12" t="str">
        <f>IFERROR(__xludf.DUMMYFUNCTION("""COMPUTED_VALUE"""),"Aaron Doornekamp")</f>
        <v>Aaron Doornekamp</v>
      </c>
      <c r="B25" s="13" t="str">
        <f>IFERROR(__xludf.DUMMYFUNCTION("""COMPUTED_VALUE"""),"VAL")</f>
        <v>VAL</v>
      </c>
      <c r="C25" s="14">
        <f>IFERROR(__xludf.DUMMYFUNCTION("""COMPUTED_VALUE"""),786.0)</f>
        <v>786</v>
      </c>
      <c r="D25" s="15">
        <f>IFERROR(__xludf.DUMMYFUNCTION("""COMPUTED_VALUE"""),5.135065367540433)</f>
        <v>5.135065368</v>
      </c>
      <c r="E25" s="15">
        <f>IFERROR(__xludf.DUMMYFUNCTION("""COMPUTED_VALUE"""),-1.4572399775327902)</f>
        <v>-1.457239978</v>
      </c>
      <c r="F25" s="15">
        <f>IFERROR(__xludf.DUMMYFUNCTION("""COMPUTED_VALUE"""),3.6778253900076425)</f>
        <v>3.67782539</v>
      </c>
      <c r="G25" s="17">
        <f>IFERROR(__xludf.DUMMYFUNCTION("""COMPUTED_VALUE"""),1.3741942210837916)</f>
        <v>1.374194221</v>
      </c>
      <c r="H25" s="4"/>
      <c r="I25" s="5" t="s">
        <v>67</v>
      </c>
      <c r="J25" s="5" t="s">
        <v>41</v>
      </c>
      <c r="K25" s="5">
        <v>588.0</v>
      </c>
      <c r="L25" s="5">
        <v>0.32674</v>
      </c>
      <c r="M25" s="5">
        <v>3.8319</v>
      </c>
      <c r="N25" s="5">
        <v>4.15864</v>
      </c>
      <c r="O25" s="5">
        <v>1.10403</v>
      </c>
    </row>
    <row r="26">
      <c r="A26" s="18" t="str">
        <f>IFERROR(__xludf.DUMMYFUNCTION("""COMPUTED_VALUE"""),"Jaycee Carroll")</f>
        <v>Jaycee Carroll</v>
      </c>
      <c r="B26" s="19" t="str">
        <f>IFERROR(__xludf.DUMMYFUNCTION("""COMPUTED_VALUE"""),"RMB")</f>
        <v>RMB</v>
      </c>
      <c r="C26" s="20">
        <f>IFERROR(__xludf.DUMMYFUNCTION("""COMPUTED_VALUE"""),749.2)</f>
        <v>749.2</v>
      </c>
      <c r="D26" s="21">
        <f>IFERROR(__xludf.DUMMYFUNCTION("""COMPUTED_VALUE"""),5.788791212512184)</f>
        <v>5.788791213</v>
      </c>
      <c r="E26" s="21">
        <f>IFERROR(__xludf.DUMMYFUNCTION("""COMPUTED_VALUE"""),-2.135150037216551)</f>
        <v>-2.135150037</v>
      </c>
      <c r="F26" s="21">
        <f>IFERROR(__xludf.DUMMYFUNCTION("""COMPUTED_VALUE"""),3.6536411752956326)</f>
        <v>3.653641175</v>
      </c>
      <c r="G26" s="23">
        <f>IFERROR(__xludf.DUMMYFUNCTION("""COMPUTED_VALUE"""),1.2876461957342875)</f>
        <v>1.287646196</v>
      </c>
      <c r="H26" s="4"/>
      <c r="I26" s="5" t="s">
        <v>108</v>
      </c>
      <c r="J26" s="5" t="s">
        <v>41</v>
      </c>
      <c r="K26" s="5">
        <v>635.0</v>
      </c>
      <c r="L26" s="5">
        <v>2.53645</v>
      </c>
      <c r="M26" s="5">
        <v>1.54855</v>
      </c>
      <c r="N26" s="5">
        <v>4.085</v>
      </c>
      <c r="O26" s="5">
        <v>1.17821</v>
      </c>
    </row>
    <row r="27">
      <c r="A27" s="12" t="str">
        <f>IFERROR(__xludf.DUMMYFUNCTION("""COMPUTED_VALUE"""),"Victor Claver")</f>
        <v>Victor Claver</v>
      </c>
      <c r="B27" s="13" t="str">
        <f>IFERROR(__xludf.DUMMYFUNCTION("""COMPUTED_VALUE"""),"FCB")</f>
        <v>FCB</v>
      </c>
      <c r="C27" s="14">
        <f>IFERROR(__xludf.DUMMYFUNCTION("""COMPUTED_VALUE"""),724.4)</f>
        <v>724.4</v>
      </c>
      <c r="D27" s="15">
        <f>IFERROR(__xludf.DUMMYFUNCTION("""COMPUTED_VALUE"""),1.787247317590671)</f>
        <v>1.787247318</v>
      </c>
      <c r="E27" s="15">
        <f>IFERROR(__xludf.DUMMYFUNCTION("""COMPUTED_VALUE"""),1.702558600392777)</f>
        <v>1.7025586</v>
      </c>
      <c r="F27" s="15">
        <f>IFERROR(__xludf.DUMMYFUNCTION("""COMPUTED_VALUE"""),3.489805917983448)</f>
        <v>3.489805918</v>
      </c>
      <c r="G27" s="17">
        <f>IFERROR(__xludf.DUMMYFUNCTION("""COMPUTED_VALUE"""),1.2014402868204643)</f>
        <v>1.201440287</v>
      </c>
      <c r="H27" s="4"/>
      <c r="I27" s="5" t="s">
        <v>112</v>
      </c>
      <c r="J27" s="5" t="s">
        <v>113</v>
      </c>
      <c r="K27" s="5">
        <v>474.0</v>
      </c>
      <c r="L27" s="5">
        <v>0.81136</v>
      </c>
      <c r="M27" s="5">
        <v>3.26709</v>
      </c>
      <c r="N27" s="5">
        <v>4.07845</v>
      </c>
      <c r="O27" s="5">
        <v>0.87748</v>
      </c>
    </row>
    <row r="28">
      <c r="A28" s="18" t="str">
        <f>IFERROR(__xludf.DUMMYFUNCTION("""COMPUTED_VALUE"""),"Johannes Voigtmann")</f>
        <v>Johannes Voigtmann</v>
      </c>
      <c r="B28" s="19" t="str">
        <f>IFERROR(__xludf.DUMMYFUNCTION("""COMPUTED_VALUE"""),"CAJ")</f>
        <v>CAJ</v>
      </c>
      <c r="C28" s="20">
        <f>IFERROR(__xludf.DUMMYFUNCTION("""COMPUTED_VALUE"""),867.8)</f>
        <v>867.8</v>
      </c>
      <c r="D28" s="21">
        <f>IFERROR(__xludf.DUMMYFUNCTION("""COMPUTED_VALUE"""),-0.7310899659640168)</f>
        <v>-0.731089966</v>
      </c>
      <c r="E28" s="21">
        <f>IFERROR(__xludf.DUMMYFUNCTION("""COMPUTED_VALUE"""),4.203667320994658)</f>
        <v>4.203667321</v>
      </c>
      <c r="F28" s="21">
        <f>IFERROR(__xludf.DUMMYFUNCTION("""COMPUTED_VALUE"""),3.4725773550306407)</f>
        <v>3.472577355</v>
      </c>
      <c r="G28" s="23">
        <f>IFERROR(__xludf.DUMMYFUNCTION("""COMPUTED_VALUE"""),1.443795451272065)</f>
        <v>1.443795451</v>
      </c>
      <c r="H28" s="4"/>
      <c r="I28" s="5" t="s">
        <v>116</v>
      </c>
      <c r="J28" s="5" t="s">
        <v>59</v>
      </c>
      <c r="K28" s="5">
        <v>369.0</v>
      </c>
      <c r="L28" s="5">
        <v>3.78634</v>
      </c>
      <c r="M28" s="5">
        <v>0.18384</v>
      </c>
      <c r="N28" s="5">
        <v>3.97018</v>
      </c>
      <c r="O28" s="5">
        <v>0.68021</v>
      </c>
    </row>
    <row r="29">
      <c r="A29" s="12" t="str">
        <f>IFERROR(__xludf.DUMMYFUNCTION("""COMPUTED_VALUE"""),"Fernando San Emeterio")</f>
        <v>Fernando San Emeterio</v>
      </c>
      <c r="B29" s="13" t="str">
        <f>IFERROR(__xludf.DUMMYFUNCTION("""COMPUTED_VALUE"""),"VAL")</f>
        <v>VAL</v>
      </c>
      <c r="C29" s="14">
        <f>IFERROR(__xludf.DUMMYFUNCTION("""COMPUTED_VALUE"""),469.5)</f>
        <v>469.5</v>
      </c>
      <c r="D29" s="15">
        <f>IFERROR(__xludf.DUMMYFUNCTION("""COMPUTED_VALUE"""),6.164261451789095)</f>
        <v>6.164261452</v>
      </c>
      <c r="E29" s="15">
        <f>IFERROR(__xludf.DUMMYFUNCTION("""COMPUTED_VALUE"""),-2.7360336922476787)</f>
        <v>-2.736033692</v>
      </c>
      <c r="F29" s="15">
        <f>IFERROR(__xludf.DUMMYFUNCTION("""COMPUTED_VALUE"""),3.428227759541416)</f>
        <v>3.42822776</v>
      </c>
      <c r="G29" s="17">
        <f>IFERROR(__xludf.DUMMYFUNCTION("""COMPUTED_VALUE"""),0.7847606125995985)</f>
        <v>0.7847606126</v>
      </c>
      <c r="H29" s="4"/>
      <c r="I29" s="5" t="s">
        <v>100</v>
      </c>
      <c r="J29" s="5" t="s">
        <v>24</v>
      </c>
      <c r="K29" s="5">
        <v>534.0</v>
      </c>
      <c r="L29" s="5">
        <v>0.01787</v>
      </c>
      <c r="M29" s="5">
        <v>3.92196</v>
      </c>
      <c r="N29" s="5">
        <v>3.93983</v>
      </c>
      <c r="O29" s="5">
        <v>0.95996</v>
      </c>
    </row>
    <row r="30">
      <c r="A30" s="18" t="str">
        <f>IFERROR(__xludf.DUMMYFUNCTION("""COMPUTED_VALUE"""),"Rodrigue Beaubois")</f>
        <v>Rodrigue Beaubois</v>
      </c>
      <c r="B30" s="19" t="str">
        <f>IFERROR(__xludf.DUMMYFUNCTION("""COMPUTED_VALUE"""),"CAJ")</f>
        <v>CAJ</v>
      </c>
      <c r="C30" s="20">
        <f>IFERROR(__xludf.DUMMYFUNCTION("""COMPUTED_VALUE"""),821.5)</f>
        <v>821.5</v>
      </c>
      <c r="D30" s="21">
        <f>IFERROR(__xludf.DUMMYFUNCTION("""COMPUTED_VALUE"""),0.6132350909172612)</f>
        <v>0.6132350909</v>
      </c>
      <c r="E30" s="21">
        <f>IFERROR(__xludf.DUMMYFUNCTION("""COMPUTED_VALUE"""),2.797473255604426)</f>
        <v>2.797473256</v>
      </c>
      <c r="F30" s="21">
        <f>IFERROR(__xludf.DUMMYFUNCTION("""COMPUTED_VALUE"""),3.4107083465216874)</f>
        <v>3.410708347</v>
      </c>
      <c r="G30" s="23">
        <f>IFERROR(__xludf.DUMMYFUNCTION("""COMPUTED_VALUE"""),1.351312539856097)</f>
        <v>1.35131254</v>
      </c>
      <c r="H30" s="4"/>
      <c r="I30" s="5" t="s">
        <v>122</v>
      </c>
      <c r="J30" s="5" t="s">
        <v>59</v>
      </c>
      <c r="K30" s="5">
        <v>596.0</v>
      </c>
      <c r="L30" s="5">
        <v>3.48107</v>
      </c>
      <c r="M30" s="5">
        <v>0.44425</v>
      </c>
      <c r="N30" s="5">
        <v>3.92533</v>
      </c>
      <c r="O30" s="5">
        <v>1.09133</v>
      </c>
    </row>
    <row r="31">
      <c r="A31" s="12" t="str">
        <f>IFERROR(__xludf.DUMMYFUNCTION("""COMPUTED_VALUE"""),"Devin Thomas")</f>
        <v>Devin Thomas</v>
      </c>
      <c r="B31" s="13" t="str">
        <f>IFERROR(__xludf.DUMMYFUNCTION("""COMPUTED_VALUE"""),"BBB")</f>
        <v>BBB</v>
      </c>
      <c r="C31" s="14">
        <f>IFERROR(__xludf.DUMMYFUNCTION("""COMPUTED_VALUE"""),495.3)</f>
        <v>495.3</v>
      </c>
      <c r="D31" s="15">
        <f>IFERROR(__xludf.DUMMYFUNCTION("""COMPUTED_VALUE"""),0.47916830934576893)</f>
        <v>0.4791683093</v>
      </c>
      <c r="E31" s="15">
        <f>IFERROR(__xludf.DUMMYFUNCTION("""COMPUTED_VALUE"""),2.9284392009436035)</f>
        <v>2.928439201</v>
      </c>
      <c r="F31" s="15">
        <f>IFERROR(__xludf.DUMMYFUNCTION("""COMPUTED_VALUE"""),3.4076075102893726)</f>
        <v>3.40760751</v>
      </c>
      <c r="G31" s="17">
        <f>IFERROR(__xludf.DUMMYFUNCTION("""COMPUTED_VALUE"""),0.8166057250856651)</f>
        <v>0.8166057251</v>
      </c>
      <c r="H31" s="4"/>
      <c r="I31" s="5" t="s">
        <v>128</v>
      </c>
      <c r="J31" s="5" t="s">
        <v>97</v>
      </c>
      <c r="K31" s="5">
        <v>695.0</v>
      </c>
      <c r="L31" s="5">
        <v>1.40998</v>
      </c>
      <c r="M31" s="5">
        <v>2.48007</v>
      </c>
      <c r="N31" s="5">
        <v>3.89005</v>
      </c>
      <c r="O31" s="5">
        <v>1.24243</v>
      </c>
    </row>
    <row r="32">
      <c r="A32" s="18" t="str">
        <f>IFERROR(__xludf.DUMMYFUNCTION("""COMPUTED_VALUE"""),"Adam Hanga")</f>
        <v>Adam Hanga</v>
      </c>
      <c r="B32" s="19" t="str">
        <f>IFERROR(__xludf.DUMMYFUNCTION("""COMPUTED_VALUE"""),"FCB")</f>
        <v>FCB</v>
      </c>
      <c r="C32" s="20">
        <f>IFERROR(__xludf.DUMMYFUNCTION("""COMPUTED_VALUE"""),825.0)</f>
        <v>825</v>
      </c>
      <c r="D32" s="21">
        <f>IFERROR(__xludf.DUMMYFUNCTION("""COMPUTED_VALUE"""),2.0210574099916507)</f>
        <v>2.02105741</v>
      </c>
      <c r="E32" s="21">
        <f>IFERROR(__xludf.DUMMYFUNCTION("""COMPUTED_VALUE"""),1.3479598844171723)</f>
        <v>1.347959884</v>
      </c>
      <c r="F32" s="21">
        <f>IFERROR(__xludf.DUMMYFUNCTION("""COMPUTED_VALUE"""),3.369017294408823)</f>
        <v>3.369017294</v>
      </c>
      <c r="G32" s="23">
        <f>IFERROR(__xludf.DUMMYFUNCTION("""COMPUTED_VALUE"""),1.3381830031924928)</f>
        <v>1.338183003</v>
      </c>
      <c r="H32" s="4"/>
      <c r="I32" s="5" t="s">
        <v>132</v>
      </c>
      <c r="J32" s="5" t="s">
        <v>54</v>
      </c>
      <c r="K32" s="5">
        <v>761.0</v>
      </c>
      <c r="L32" s="5">
        <v>3.39413</v>
      </c>
      <c r="M32" s="5">
        <v>0.25258</v>
      </c>
      <c r="N32" s="5">
        <v>3.64672</v>
      </c>
      <c r="O32" s="5">
        <v>1.30384</v>
      </c>
    </row>
    <row r="33">
      <c r="A33" s="12" t="str">
        <f>IFERROR(__xludf.DUMMYFUNCTION("""COMPUTED_VALUE"""),"Matt Janning")</f>
        <v>Matt Janning</v>
      </c>
      <c r="B33" s="13" t="str">
        <f>IFERROR(__xludf.DUMMYFUNCTION("""COMPUTED_VALUE"""),"CAJ")</f>
        <v>CAJ</v>
      </c>
      <c r="C33" s="14">
        <f>IFERROR(__xludf.DUMMYFUNCTION("""COMPUTED_VALUE"""),966.8)</f>
        <v>966.8</v>
      </c>
      <c r="D33" s="15">
        <f>IFERROR(__xludf.DUMMYFUNCTION("""COMPUTED_VALUE"""),1.9253928039357047)</f>
        <v>1.925392804</v>
      </c>
      <c r="E33" s="15">
        <f>IFERROR(__xludf.DUMMYFUNCTION("""COMPUTED_VALUE"""),1.3673214091027903)</f>
        <v>1.367321409</v>
      </c>
      <c r="F33" s="15">
        <f>IFERROR(__xludf.DUMMYFUNCTION("""COMPUTED_VALUE"""),3.292714213038495)</f>
        <v>3.292714213</v>
      </c>
      <c r="G33" s="17">
        <f>IFERROR(__xludf.DUMMYFUNCTION("""COMPUTED_VALUE"""),1.5556403541165424)</f>
        <v>1.555640354</v>
      </c>
      <c r="H33" s="4"/>
      <c r="I33" s="5" t="s">
        <v>138</v>
      </c>
      <c r="J33" s="5" t="s">
        <v>41</v>
      </c>
      <c r="K33" s="5">
        <v>355.0</v>
      </c>
      <c r="L33" s="5">
        <v>-0.26305</v>
      </c>
      <c r="M33" s="5">
        <v>3.83213</v>
      </c>
      <c r="N33" s="5">
        <v>3.56908</v>
      </c>
      <c r="O33" s="5">
        <v>0.60291</v>
      </c>
    </row>
    <row r="34">
      <c r="A34" s="18" t="str">
        <f>IFERROR(__xludf.DUMMYFUNCTION("""COMPUTED_VALUE"""),"Ondrej Balvin")</f>
        <v>Ondrej Balvin</v>
      </c>
      <c r="B34" s="19" t="str">
        <f>IFERROR(__xludf.DUMMYFUNCTION("""COMPUTED_VALUE"""),"GCN")</f>
        <v>GCN</v>
      </c>
      <c r="C34" s="20">
        <f>IFERROR(__xludf.DUMMYFUNCTION("""COMPUTED_VALUE"""),840.8)</f>
        <v>840.8</v>
      </c>
      <c r="D34" s="21">
        <f>IFERROR(__xludf.DUMMYFUNCTION("""COMPUTED_VALUE"""),-2.901613398391919)</f>
        <v>-2.901613398</v>
      </c>
      <c r="E34" s="21">
        <f>IFERROR(__xludf.DUMMYFUNCTION("""COMPUTED_VALUE"""),6.124543550642781)</f>
        <v>6.124543551</v>
      </c>
      <c r="F34" s="21">
        <f>IFERROR(__xludf.DUMMYFUNCTION("""COMPUTED_VALUE"""),3.2229301522508624)</f>
        <v>3.222930152</v>
      </c>
      <c r="G34" s="23">
        <f>IFERROR(__xludf.DUMMYFUNCTION("""COMPUTED_VALUE"""),1.3304054837187895)</f>
        <v>1.330405484</v>
      </c>
      <c r="H34" s="4"/>
      <c r="I34" s="5" t="s">
        <v>141</v>
      </c>
      <c r="J34" s="5" t="s">
        <v>54</v>
      </c>
      <c r="K34" s="5">
        <v>463.0</v>
      </c>
      <c r="L34" s="5">
        <v>4.39418</v>
      </c>
      <c r="M34" s="5">
        <v>-0.89598</v>
      </c>
      <c r="N34" s="5">
        <v>3.49819</v>
      </c>
      <c r="O34" s="5">
        <v>0.77233</v>
      </c>
    </row>
    <row r="35">
      <c r="A35" s="12" t="str">
        <f>IFERROR(__xludf.DUMMYFUNCTION("""COMPUTED_VALUE"""),"Sasu Salin")</f>
        <v>Sasu Salin</v>
      </c>
      <c r="B35" s="13" t="str">
        <f>IFERROR(__xludf.DUMMYFUNCTION("""COMPUTED_VALUE"""),"UNI")</f>
        <v>UNI</v>
      </c>
      <c r="C35" s="14">
        <f>IFERROR(__xludf.DUMMYFUNCTION("""COMPUTED_VALUE"""),635.1)</f>
        <v>635.1</v>
      </c>
      <c r="D35" s="15">
        <f>IFERROR(__xludf.DUMMYFUNCTION("""COMPUTED_VALUE"""),6.26911445727916)</f>
        <v>6.269114457</v>
      </c>
      <c r="E35" s="15">
        <f>IFERROR(__xludf.DUMMYFUNCTION("""COMPUTED_VALUE"""),-3.0526216855731305)</f>
        <v>-3.052621686</v>
      </c>
      <c r="F35" s="15">
        <f>IFERROR(__xludf.DUMMYFUNCTION("""COMPUTED_VALUE"""),3.21649277170603)</f>
        <v>3.216492772</v>
      </c>
      <c r="G35" s="17">
        <f>IFERROR(__xludf.DUMMYFUNCTION("""COMPUTED_VALUE"""),1.0065225086035587)</f>
        <v>1.006522509</v>
      </c>
      <c r="H35" s="4"/>
      <c r="I35" s="5" t="s">
        <v>144</v>
      </c>
      <c r="J35" s="5" t="s">
        <v>59</v>
      </c>
      <c r="K35" s="5">
        <v>514.0</v>
      </c>
      <c r="L35" s="5">
        <v>1.42408</v>
      </c>
      <c r="M35" s="5">
        <v>2.02379</v>
      </c>
      <c r="N35" s="5">
        <v>3.44787</v>
      </c>
      <c r="O35" s="5">
        <v>0.86645</v>
      </c>
    </row>
    <row r="36">
      <c r="A36" s="18" t="str">
        <f>IFERROR(__xludf.DUMMYFUNCTION("""COMPUTED_VALUE"""),"Felipe Reyes")</f>
        <v>Felipe Reyes</v>
      </c>
      <c r="B36" s="19" t="str">
        <f>IFERROR(__xludf.DUMMYFUNCTION("""COMPUTED_VALUE"""),"RMB")</f>
        <v>RMB</v>
      </c>
      <c r="C36" s="20">
        <f>IFERROR(__xludf.DUMMYFUNCTION("""COMPUTED_VALUE"""),592.3)</f>
        <v>592.3</v>
      </c>
      <c r="D36" s="21">
        <f>IFERROR(__xludf.DUMMYFUNCTION("""COMPUTED_VALUE"""),3.116371343063218)</f>
        <v>3.116371343</v>
      </c>
      <c r="E36" s="21">
        <f>IFERROR(__xludf.DUMMYFUNCTION("""COMPUTED_VALUE"""),0.005173063978901382)</f>
        <v>0.005173063979</v>
      </c>
      <c r="F36" s="21">
        <f>IFERROR(__xludf.DUMMYFUNCTION("""COMPUTED_VALUE"""),3.121544407042119)</f>
        <v>3.121544407</v>
      </c>
      <c r="G36" s="23">
        <f>IFERROR(__xludf.DUMMYFUNCTION("""COMPUTED_VALUE"""),0.9221747240372036)</f>
        <v>0.922174724</v>
      </c>
      <c r="H36" s="4"/>
      <c r="I36" s="5" t="s">
        <v>147</v>
      </c>
      <c r="J36" s="5" t="s">
        <v>14</v>
      </c>
      <c r="K36" s="5">
        <v>206.0</v>
      </c>
      <c r="L36" s="5">
        <v>1.54406</v>
      </c>
      <c r="M36" s="5">
        <v>1.86819</v>
      </c>
      <c r="N36" s="5">
        <v>3.41226</v>
      </c>
      <c r="O36" s="5">
        <v>0.33797</v>
      </c>
    </row>
    <row r="37">
      <c r="A37" s="12" t="str">
        <f>IFERROR(__xludf.DUMMYFUNCTION("""COMPUTED_VALUE"""),"Oliver Stevic")</f>
        <v>Oliver Stevic</v>
      </c>
      <c r="B37" s="13" t="str">
        <f>IFERROR(__xludf.DUMMYFUNCTION("""COMPUTED_VALUE"""),"AND")</f>
        <v>AND</v>
      </c>
      <c r="C37" s="14">
        <f>IFERROR(__xludf.DUMMYFUNCTION("""COMPUTED_VALUE"""),608.2)</f>
        <v>608.2</v>
      </c>
      <c r="D37" s="15">
        <f>IFERROR(__xludf.DUMMYFUNCTION("""COMPUTED_VALUE"""),-0.1960648209702971)</f>
        <v>-0.196064821</v>
      </c>
      <c r="E37" s="15">
        <f>IFERROR(__xludf.DUMMYFUNCTION("""COMPUTED_VALUE"""),3.269251887614508)</f>
        <v>3.269251888</v>
      </c>
      <c r="F37" s="15">
        <f>IFERROR(__xludf.DUMMYFUNCTION("""COMPUTED_VALUE"""),3.073187066644211)</f>
        <v>3.073187067</v>
      </c>
      <c r="G37" s="17">
        <f>IFERROR(__xludf.DUMMYFUNCTION("""COMPUTED_VALUE"""),1.0064798075863635)</f>
        <v>1.006479808</v>
      </c>
      <c r="H37" s="4"/>
      <c r="I37" s="5" t="s">
        <v>94</v>
      </c>
      <c r="J37" s="5" t="s">
        <v>41</v>
      </c>
      <c r="K37" s="5">
        <v>707.0</v>
      </c>
      <c r="L37" s="5">
        <v>2.11364</v>
      </c>
      <c r="M37" s="5">
        <v>1.29395</v>
      </c>
      <c r="N37" s="5">
        <v>3.40758</v>
      </c>
      <c r="O37" s="5">
        <v>1.16574</v>
      </c>
    </row>
    <row r="38">
      <c r="A38" s="18" t="str">
        <f>IFERROR(__xludf.DUMMYFUNCTION("""COMPUTED_VALUE"""),"Jonas Maciulis")</f>
        <v>Jonas Maciulis</v>
      </c>
      <c r="B38" s="19" t="str">
        <f>IFERROR(__xludf.DUMMYFUNCTION("""COMPUTED_VALUE"""),"RMB")</f>
        <v>RMB</v>
      </c>
      <c r="C38" s="20">
        <f>IFERROR(__xludf.DUMMYFUNCTION("""COMPUTED_VALUE"""),205.6)</f>
        <v>205.6</v>
      </c>
      <c r="D38" s="21">
        <f>IFERROR(__xludf.DUMMYFUNCTION("""COMPUTED_VALUE"""),1.466689712919929)</f>
        <v>1.466689713</v>
      </c>
      <c r="E38" s="21">
        <f>IFERROR(__xludf.DUMMYFUNCTION("""COMPUTED_VALUE"""),1.581424928094528)</f>
        <v>1.581424928</v>
      </c>
      <c r="F38" s="21">
        <f>IFERROR(__xludf.DUMMYFUNCTION("""COMPUTED_VALUE"""),3.048114641014457)</f>
        <v>3.048114641</v>
      </c>
      <c r="G38" s="23">
        <f>IFERROR(__xludf.DUMMYFUNCTION("""COMPUTED_VALUE"""),0.3155170686905145)</f>
        <v>0.3155170687</v>
      </c>
      <c r="H38" s="4"/>
      <c r="I38" s="5" t="s">
        <v>155</v>
      </c>
      <c r="J38" s="5" t="s">
        <v>24</v>
      </c>
      <c r="K38" s="5">
        <v>533.0</v>
      </c>
      <c r="L38" s="5">
        <v>2.64729</v>
      </c>
      <c r="M38" s="5">
        <v>0.74096</v>
      </c>
      <c r="N38" s="5">
        <v>3.38825</v>
      </c>
      <c r="O38" s="5">
        <v>0.86886</v>
      </c>
    </row>
    <row r="39">
      <c r="A39" s="12" t="str">
        <f>IFERROR(__xludf.DUMMYFUNCTION("""COMPUTED_VALUE"""),"Pau Ribas")</f>
        <v>Pau Ribas</v>
      </c>
      <c r="B39" s="13" t="str">
        <f>IFERROR(__xludf.DUMMYFUNCTION("""COMPUTED_VALUE"""),"FCB")</f>
        <v>FCB</v>
      </c>
      <c r="C39" s="14">
        <f>IFERROR(__xludf.DUMMYFUNCTION("""COMPUTED_VALUE"""),646.4)</f>
        <v>646.4</v>
      </c>
      <c r="D39" s="15">
        <f>IFERROR(__xludf.DUMMYFUNCTION("""COMPUTED_VALUE"""),5.067496737491094)</f>
        <v>5.067496737</v>
      </c>
      <c r="E39" s="15">
        <f>IFERROR(__xludf.DUMMYFUNCTION("""COMPUTED_VALUE"""),-2.0704287636893217)</f>
        <v>-2.070428764</v>
      </c>
      <c r="F39" s="15">
        <f>IFERROR(__xludf.DUMMYFUNCTION("""COMPUTED_VALUE"""),2.9970679738017725)</f>
        <v>2.997067974</v>
      </c>
      <c r="G39" s="17">
        <f>IFERROR(__xludf.DUMMYFUNCTION("""COMPUTED_VALUE"""),0.9758506659331808)</f>
        <v>0.9758506659</v>
      </c>
      <c r="H39" s="4"/>
      <c r="I39" s="5" t="s">
        <v>160</v>
      </c>
      <c r="J39" s="5" t="s">
        <v>14</v>
      </c>
      <c r="K39" s="5">
        <v>444.0</v>
      </c>
      <c r="L39" s="5">
        <v>2.82294</v>
      </c>
      <c r="M39" s="5">
        <v>0.55209</v>
      </c>
      <c r="N39" s="5">
        <v>3.37504</v>
      </c>
      <c r="O39" s="5">
        <v>0.72435</v>
      </c>
    </row>
    <row r="40">
      <c r="A40" s="18" t="str">
        <f>IFERROR(__xludf.DUMMYFUNCTION("""COMPUTED_VALUE"""),"Xavi Rabaseda")</f>
        <v>Xavi Rabaseda</v>
      </c>
      <c r="B40" s="19" t="str">
        <f>IFERROR(__xludf.DUMMYFUNCTION("""COMPUTED_VALUE"""),"GCN")</f>
        <v>GCN</v>
      </c>
      <c r="C40" s="20">
        <f>IFERROR(__xludf.DUMMYFUNCTION("""COMPUTED_VALUE"""),743.0)</f>
        <v>743</v>
      </c>
      <c r="D40" s="21">
        <f>IFERROR(__xludf.DUMMYFUNCTION("""COMPUTED_VALUE"""),-2.352858108240622)</f>
        <v>-2.352858108</v>
      </c>
      <c r="E40" s="21">
        <f>IFERROR(__xludf.DUMMYFUNCTION("""COMPUTED_VALUE"""),5.336799456051562)</f>
        <v>5.336799456</v>
      </c>
      <c r="F40" s="21">
        <f>IFERROR(__xludf.DUMMYFUNCTION("""COMPUTED_VALUE"""),2.9839413478109393)</f>
        <v>2.983941348</v>
      </c>
      <c r="G40" s="23">
        <f>IFERROR(__xludf.DUMMYFUNCTION("""COMPUTED_VALUE"""),1.1218604608975467)</f>
        <v>1.121860461</v>
      </c>
      <c r="H40" s="4"/>
      <c r="I40" s="5" t="s">
        <v>165</v>
      </c>
      <c r="J40" s="5" t="s">
        <v>14</v>
      </c>
      <c r="K40" s="5">
        <v>585.0</v>
      </c>
      <c r="L40" s="5">
        <v>4.90211</v>
      </c>
      <c r="M40" s="5">
        <v>-1.56973</v>
      </c>
      <c r="N40" s="5">
        <v>3.33238</v>
      </c>
      <c r="O40" s="5">
        <v>0.9468</v>
      </c>
    </row>
    <row r="41">
      <c r="A41" s="12" t="str">
        <f>IFERROR(__xludf.DUMMYFUNCTION("""COMPUTED_VALUE"""),"Janis Timma")</f>
        <v>Janis Timma</v>
      </c>
      <c r="B41" s="13" t="str">
        <f>IFERROR(__xludf.DUMMYFUNCTION("""COMPUTED_VALUE"""),"CAJ")</f>
        <v>CAJ</v>
      </c>
      <c r="C41" s="14">
        <f>IFERROR(__xludf.DUMMYFUNCTION("""COMPUTED_VALUE"""),955.0)</f>
        <v>955</v>
      </c>
      <c r="D41" s="15">
        <f>IFERROR(__xludf.DUMMYFUNCTION("""COMPUTED_VALUE"""),0.35020756961834426)</f>
        <v>0.3502075696</v>
      </c>
      <c r="E41" s="15">
        <f>IFERROR(__xludf.DUMMYFUNCTION("""COMPUTED_VALUE"""),2.621180327603354)</f>
        <v>2.621180328</v>
      </c>
      <c r="F41" s="15">
        <f>IFERROR(__xludf.DUMMYFUNCTION("""COMPUTED_VALUE"""),2.9713878972216983)</f>
        <v>2.971387897</v>
      </c>
      <c r="G41" s="17">
        <f>IFERROR(__xludf.DUMMYFUNCTION("""COMPUTED_VALUE"""),1.4433615659590668)</f>
        <v>1.443361566</v>
      </c>
      <c r="H41" s="4"/>
      <c r="I41" s="5" t="s">
        <v>169</v>
      </c>
      <c r="J41" s="5" t="s">
        <v>41</v>
      </c>
      <c r="K41" s="5">
        <v>694.0</v>
      </c>
      <c r="L41" s="5">
        <v>3.34956</v>
      </c>
      <c r="M41" s="5">
        <v>-0.10401</v>
      </c>
      <c r="N41" s="5">
        <v>3.24555</v>
      </c>
      <c r="O41" s="5">
        <v>1.11018</v>
      </c>
    </row>
    <row r="42">
      <c r="A42" s="18" t="str">
        <f>IFERROR(__xludf.DUMMYFUNCTION("""COMPUTED_VALUE"""),"Pierre Oriola")</f>
        <v>Pierre Oriola</v>
      </c>
      <c r="B42" s="19" t="str">
        <f>IFERROR(__xludf.DUMMYFUNCTION("""COMPUTED_VALUE"""),"FCB")</f>
        <v>FCB</v>
      </c>
      <c r="C42" s="20">
        <f>IFERROR(__xludf.DUMMYFUNCTION("""COMPUTED_VALUE"""),532.9)</f>
        <v>532.9</v>
      </c>
      <c r="D42" s="21">
        <f>IFERROR(__xludf.DUMMYFUNCTION("""COMPUTED_VALUE"""),4.194837663240763)</f>
        <v>4.194837663</v>
      </c>
      <c r="E42" s="21">
        <f>IFERROR(__xludf.DUMMYFUNCTION("""COMPUTED_VALUE"""),-1.2253933135010242)</f>
        <v>-1.225393314</v>
      </c>
      <c r="F42" s="21">
        <f>IFERROR(__xludf.DUMMYFUNCTION("""COMPUTED_VALUE"""),2.969444349739739)</f>
        <v>2.96944435</v>
      </c>
      <c r="G42" s="23">
        <f>IFERROR(__xludf.DUMMYFUNCTION("""COMPUTED_VALUE"""),0.8000558585323159)</f>
        <v>0.8000558585</v>
      </c>
      <c r="H42" s="4"/>
      <c r="I42" s="5" t="s">
        <v>20</v>
      </c>
      <c r="J42" s="5" t="s">
        <v>14</v>
      </c>
      <c r="K42" s="5">
        <v>322.0</v>
      </c>
      <c r="L42" s="5">
        <v>-1.80176</v>
      </c>
      <c r="M42" s="5">
        <v>4.9506</v>
      </c>
      <c r="N42" s="5">
        <v>3.14884</v>
      </c>
      <c r="O42" s="5">
        <v>0.50339</v>
      </c>
    </row>
    <row r="43">
      <c r="A43" s="12" t="str">
        <f>IFERROR(__xludf.DUMMYFUNCTION("""COMPUTED_VALUE"""),"John Shurna")</f>
        <v>John Shurna</v>
      </c>
      <c r="B43" s="13" t="str">
        <f>IFERROR(__xludf.DUMMYFUNCTION("""COMPUTED_VALUE"""),"AND")</f>
        <v>AND</v>
      </c>
      <c r="C43" s="14">
        <f>IFERROR(__xludf.DUMMYFUNCTION("""COMPUTED_VALUE"""),783.4)</f>
        <v>783.4</v>
      </c>
      <c r="D43" s="15">
        <f>IFERROR(__xludf.DUMMYFUNCTION("""COMPUTED_VALUE"""),0.3217478174558439)</f>
        <v>0.3217478175</v>
      </c>
      <c r="E43" s="15">
        <f>IFERROR(__xludf.DUMMYFUNCTION("""COMPUTED_VALUE"""),2.5769076434929623)</f>
        <v>2.576907643</v>
      </c>
      <c r="F43" s="15">
        <f>IFERROR(__xludf.DUMMYFUNCTION("""COMPUTED_VALUE"""),2.898655460948806)</f>
        <v>2.898655461</v>
      </c>
      <c r="G43" s="17">
        <f>IFERROR(__xludf.DUMMYFUNCTION("""COMPUTED_VALUE"""),1.2518094802241853)</f>
        <v>1.25180948</v>
      </c>
      <c r="H43" s="4"/>
      <c r="I43" s="5" t="s">
        <v>173</v>
      </c>
      <c r="J43" s="5" t="s">
        <v>89</v>
      </c>
      <c r="K43" s="5">
        <v>699.0</v>
      </c>
      <c r="L43" s="5">
        <v>1.21584</v>
      </c>
      <c r="M43" s="5">
        <v>1.90248</v>
      </c>
      <c r="N43" s="5">
        <v>3.11832</v>
      </c>
      <c r="O43" s="5">
        <v>1.17041</v>
      </c>
    </row>
    <row r="44">
      <c r="A44" s="18" t="str">
        <f>IFERROR(__xludf.DUMMYFUNCTION("""COMPUTED_VALUE"""),"Pablo Aguilar")</f>
        <v>Pablo Aguilar</v>
      </c>
      <c r="B44" s="19" t="str">
        <f>IFERROR(__xludf.DUMMYFUNCTION("""COMPUTED_VALUE"""),"GCN")</f>
        <v>GCN</v>
      </c>
      <c r="C44" s="20">
        <f>IFERROR(__xludf.DUMMYFUNCTION("""COMPUTED_VALUE"""),642.8)</f>
        <v>642.8</v>
      </c>
      <c r="D44" s="21">
        <f>IFERROR(__xludf.DUMMYFUNCTION("""COMPUTED_VALUE"""),-3.0984937979952103)</f>
        <v>-3.098493798</v>
      </c>
      <c r="E44" s="21">
        <f>IFERROR(__xludf.DUMMYFUNCTION("""COMPUTED_VALUE"""),5.8723716219615865)</f>
        <v>5.872371622</v>
      </c>
      <c r="F44" s="21">
        <f>IFERROR(__xludf.DUMMYFUNCTION("""COMPUTED_VALUE"""),2.773877823966376)</f>
        <v>2.773877824</v>
      </c>
      <c r="G44" s="23">
        <f>IFERROR(__xludf.DUMMYFUNCTION("""COMPUTED_VALUE"""),0.9296602747085237)</f>
        <v>0.9296602747</v>
      </c>
      <c r="H44" s="4"/>
      <c r="I44" s="5" t="s">
        <v>176</v>
      </c>
      <c r="J44" s="5" t="s">
        <v>89</v>
      </c>
      <c r="K44" s="5">
        <v>554.0</v>
      </c>
      <c r="L44" s="5">
        <v>0.44617</v>
      </c>
      <c r="M44" s="5">
        <v>2.49914</v>
      </c>
      <c r="N44" s="5">
        <v>2.94531</v>
      </c>
      <c r="O44" s="5">
        <v>0.89717</v>
      </c>
    </row>
    <row r="45">
      <c r="A45" s="12" t="str">
        <f>IFERROR(__xludf.DUMMYFUNCTION("""COMPUTED_VALUE"""),"Matt Thomas")</f>
        <v>Matt Thomas</v>
      </c>
      <c r="B45" s="13" t="str">
        <f>IFERROR(__xludf.DUMMYFUNCTION("""COMPUTED_VALUE"""),"OBR")</f>
        <v>OBR</v>
      </c>
      <c r="C45" s="14">
        <f>IFERROR(__xludf.DUMMYFUNCTION("""COMPUTED_VALUE"""),801.1)</f>
        <v>801.1</v>
      </c>
      <c r="D45" s="15">
        <f>IFERROR(__xludf.DUMMYFUNCTION("""COMPUTED_VALUE"""),5.850638541676023)</f>
        <v>5.850638542</v>
      </c>
      <c r="E45" s="15">
        <f>IFERROR(__xludf.DUMMYFUNCTION("""COMPUTED_VALUE"""),-3.0863739563140973)</f>
        <v>-3.086373956</v>
      </c>
      <c r="F45" s="15">
        <f>IFERROR(__xludf.DUMMYFUNCTION("""COMPUTED_VALUE"""),2.764264585361926)</f>
        <v>2.764264585</v>
      </c>
      <c r="G45" s="17">
        <f>IFERROR(__xludf.DUMMYFUNCTION("""COMPUTED_VALUE"""),1.1803406372173035)</f>
        <v>1.180340637</v>
      </c>
      <c r="H45" s="4"/>
      <c r="I45" s="5" t="s">
        <v>178</v>
      </c>
      <c r="J45" s="5" t="s">
        <v>14</v>
      </c>
      <c r="K45" s="5">
        <v>563.0</v>
      </c>
      <c r="L45" s="5">
        <v>1.83415</v>
      </c>
      <c r="M45" s="5">
        <v>1.1091</v>
      </c>
      <c r="N45" s="5">
        <v>2.94324</v>
      </c>
      <c r="O45" s="5">
        <v>0.84527</v>
      </c>
    </row>
    <row r="46">
      <c r="A46" s="18" t="str">
        <f>IFERROR(__xludf.DUMMYFUNCTION("""COMPUTED_VALUE"""),"Kostas Vasiliadis")</f>
        <v>Kostas Vasiliadis</v>
      </c>
      <c r="B46" s="19" t="str">
        <f>IFERROR(__xludf.DUMMYFUNCTION("""COMPUTED_VALUE"""),"CAN")</f>
        <v>CAN</v>
      </c>
      <c r="C46" s="20">
        <f>IFERROR(__xludf.DUMMYFUNCTION("""COMPUTED_VALUE"""),540.7)</f>
        <v>540.7</v>
      </c>
      <c r="D46" s="21">
        <f>IFERROR(__xludf.DUMMYFUNCTION("""COMPUTED_VALUE"""),4.118483927897528)</f>
        <v>4.118483928</v>
      </c>
      <c r="E46" s="21">
        <f>IFERROR(__xludf.DUMMYFUNCTION("""COMPUTED_VALUE"""),-1.4045716115761007)</f>
        <v>-1.404571612</v>
      </c>
      <c r="F46" s="21">
        <f>IFERROR(__xludf.DUMMYFUNCTION("""COMPUTED_VALUE"""),2.7139123163214274)</f>
        <v>2.713912316</v>
      </c>
      <c r="G46" s="23">
        <f>IFERROR(__xludf.DUMMYFUNCTION("""COMPUTED_VALUE"""),0.7733177644214256)</f>
        <v>0.7733177644</v>
      </c>
      <c r="H46" s="4"/>
      <c r="I46" s="5" t="s">
        <v>131</v>
      </c>
      <c r="J46" s="5" t="s">
        <v>24</v>
      </c>
      <c r="K46" s="5">
        <v>575.0</v>
      </c>
      <c r="L46" s="5">
        <v>3.37533</v>
      </c>
      <c r="M46" s="5">
        <v>-0.44164</v>
      </c>
      <c r="N46" s="5">
        <v>2.93368</v>
      </c>
      <c r="O46" s="5">
        <v>0.85901</v>
      </c>
    </row>
    <row r="47">
      <c r="A47" s="12" t="str">
        <f>IFERROR(__xludf.DUMMYFUNCTION("""COMPUTED_VALUE"""),"Luke Fischer")</f>
        <v>Luke Fischer</v>
      </c>
      <c r="B47" s="13" t="str">
        <f>IFERROR(__xludf.DUMMYFUNCTION("""COMPUTED_VALUE"""),"GCN")</f>
        <v>GCN</v>
      </c>
      <c r="C47" s="14">
        <f>IFERROR(__xludf.DUMMYFUNCTION("""COMPUTED_VALUE"""),350.3)</f>
        <v>350.3</v>
      </c>
      <c r="D47" s="15">
        <f>IFERROR(__xludf.DUMMYFUNCTION("""COMPUTED_VALUE"""),-1.5904874621515197)</f>
        <v>-1.590487462</v>
      </c>
      <c r="E47" s="15">
        <f>IFERROR(__xludf.DUMMYFUNCTION("""COMPUTED_VALUE"""),4.267298145446871)</f>
        <v>4.267298145</v>
      </c>
      <c r="F47" s="15">
        <f>IFERROR(__xludf.DUMMYFUNCTION("""COMPUTED_VALUE"""),2.6768106832953507)</f>
        <v>2.676810683</v>
      </c>
      <c r="G47" s="17">
        <f>IFERROR(__xludf.DUMMYFUNCTION("""COMPUTED_VALUE"""),0.49632600740128274)</f>
        <v>0.4963260074</v>
      </c>
      <c r="H47" s="4"/>
      <c r="I47" s="5" t="s">
        <v>183</v>
      </c>
      <c r="J47" s="5" t="s">
        <v>184</v>
      </c>
      <c r="K47" s="5">
        <v>776.0</v>
      </c>
      <c r="L47" s="5">
        <v>4.48643</v>
      </c>
      <c r="M47" s="5">
        <v>-1.62212</v>
      </c>
      <c r="N47" s="5">
        <v>2.86431</v>
      </c>
      <c r="O47" s="5">
        <v>1.13466</v>
      </c>
    </row>
    <row r="48">
      <c r="A48" s="18" t="str">
        <f>IFERROR(__xludf.DUMMYFUNCTION("""COMPUTED_VALUE"""),"Brad Oleson")</f>
        <v>Brad Oleson</v>
      </c>
      <c r="B48" s="19" t="str">
        <f>IFERROR(__xludf.DUMMYFUNCTION("""COMPUTED_VALUE"""),"MUR")</f>
        <v>MUR</v>
      </c>
      <c r="C48" s="20">
        <f>IFERROR(__xludf.DUMMYFUNCTION("""COMPUTED_VALUE"""),772.5)</f>
        <v>772.5</v>
      </c>
      <c r="D48" s="21">
        <f>IFERROR(__xludf.DUMMYFUNCTION("""COMPUTED_VALUE"""),2.736812355354699)</f>
        <v>2.736812355</v>
      </c>
      <c r="E48" s="21">
        <f>IFERROR(__xludf.DUMMYFUNCTION("""COMPUTED_VALUE"""),-0.18117399071704066)</f>
        <v>-0.1811739907</v>
      </c>
      <c r="F48" s="21">
        <f>IFERROR(__xludf.DUMMYFUNCTION("""COMPUTED_VALUE"""),2.5556383646376584)</f>
        <v>2.555638365</v>
      </c>
      <c r="G48" s="23">
        <f>IFERROR(__xludf.DUMMYFUNCTION("""COMPUTED_VALUE"""),1.0650889701023423)</f>
        <v>1.06508897</v>
      </c>
      <c r="H48" s="4"/>
      <c r="I48" s="5" t="s">
        <v>187</v>
      </c>
      <c r="J48" s="5" t="s">
        <v>24</v>
      </c>
      <c r="K48" s="5">
        <v>653.0</v>
      </c>
      <c r="L48" s="5">
        <v>1.60741</v>
      </c>
      <c r="M48" s="5">
        <v>1.15786</v>
      </c>
      <c r="N48" s="5">
        <v>2.76527</v>
      </c>
      <c r="O48" s="5">
        <v>0.94114</v>
      </c>
    </row>
    <row r="49">
      <c r="A49" s="12" t="str">
        <f>IFERROR(__xludf.DUMMYFUNCTION("""COMPUTED_VALUE"""),"Joan Sastre")</f>
        <v>Joan Sastre</v>
      </c>
      <c r="B49" s="13" t="str">
        <f>IFERROR(__xludf.DUMMYFUNCTION("""COMPUTED_VALUE"""),"VAL")</f>
        <v>VAL</v>
      </c>
      <c r="C49" s="14">
        <f>IFERROR(__xludf.DUMMYFUNCTION("""COMPUTED_VALUE"""),575.1)</f>
        <v>575.1</v>
      </c>
      <c r="D49" s="15">
        <f>IFERROR(__xludf.DUMMYFUNCTION("""COMPUTED_VALUE"""),3.8555548735161116)</f>
        <v>3.855554874</v>
      </c>
      <c r="E49" s="15">
        <f>IFERROR(__xludf.DUMMYFUNCTION("""COMPUTED_VALUE"""),-1.304018273362261)</f>
        <v>-1.304018273</v>
      </c>
      <c r="F49" s="15">
        <f>IFERROR(__xludf.DUMMYFUNCTION("""COMPUTED_VALUE"""),2.5515366001538506)</f>
        <v>2.5515366</v>
      </c>
      <c r="G49" s="17">
        <f>IFERROR(__xludf.DUMMYFUNCTION("""COMPUTED_VALUE"""),0.8060183816787363)</f>
        <v>0.8060183817</v>
      </c>
      <c r="H49" s="4"/>
      <c r="I49" s="5" t="s">
        <v>190</v>
      </c>
      <c r="J49" s="5" t="s">
        <v>89</v>
      </c>
      <c r="K49" s="5">
        <v>347.0</v>
      </c>
      <c r="L49" s="5">
        <v>1.24618</v>
      </c>
      <c r="M49" s="5">
        <v>1.51519</v>
      </c>
      <c r="N49" s="5">
        <v>2.76137</v>
      </c>
      <c r="O49" s="5">
        <v>0.54019</v>
      </c>
    </row>
    <row r="50">
      <c r="A50" s="18" t="str">
        <f>IFERROR(__xludf.DUMMYFUNCTION("""COMPUTED_VALUE"""),"Goran Huskic")</f>
        <v>Goran Huskic</v>
      </c>
      <c r="B50" s="19" t="str">
        <f>IFERROR(__xludf.DUMMYFUNCTION("""COMPUTED_VALUE"""),"SPB")</f>
        <v>SPB</v>
      </c>
      <c r="C50" s="20">
        <f>IFERROR(__xludf.DUMMYFUNCTION("""COMPUTED_VALUE"""),700.6)</f>
        <v>700.6</v>
      </c>
      <c r="D50" s="21">
        <f>IFERROR(__xludf.DUMMYFUNCTION("""COMPUTED_VALUE"""),-0.8527975779580039)</f>
        <v>-0.852797578</v>
      </c>
      <c r="E50" s="21">
        <f>IFERROR(__xludf.DUMMYFUNCTION("""COMPUTED_VALUE"""),3.353868528845996)</f>
        <v>3.353868529</v>
      </c>
      <c r="F50" s="21">
        <f>IFERROR(__xludf.DUMMYFUNCTION("""COMPUTED_VALUE"""),2.5010709508879923)</f>
        <v>2.501070951</v>
      </c>
      <c r="G50" s="23">
        <f>IFERROR(__xludf.DUMMYFUNCTION("""COMPUTED_VALUE"""),0.9543861962361625)</f>
        <v>0.9543861962</v>
      </c>
      <c r="H50" s="4"/>
      <c r="I50" s="5" t="s">
        <v>192</v>
      </c>
      <c r="J50" s="5" t="s">
        <v>41</v>
      </c>
      <c r="K50" s="5">
        <v>289.0</v>
      </c>
      <c r="L50" s="5">
        <v>1.56666</v>
      </c>
      <c r="M50" s="5">
        <v>1.17031</v>
      </c>
      <c r="N50" s="5">
        <v>2.73697</v>
      </c>
      <c r="O50" s="5">
        <v>0.41751</v>
      </c>
    </row>
    <row r="51">
      <c r="A51" s="12" t="str">
        <f>IFERROR(__xludf.DUMMYFUNCTION("""COMPUTED_VALUE"""),"Javier Beiran")</f>
        <v>Javier Beiran</v>
      </c>
      <c r="B51" s="13" t="str">
        <f>IFERROR(__xludf.DUMMYFUNCTION("""COMPUTED_VALUE"""),"CAN")</f>
        <v>CAN</v>
      </c>
      <c r="C51" s="14">
        <f>IFERROR(__xludf.DUMMYFUNCTION("""COMPUTED_VALUE"""),673.5)</f>
        <v>673.5</v>
      </c>
      <c r="D51" s="15">
        <f>IFERROR(__xludf.DUMMYFUNCTION("""COMPUTED_VALUE"""),2.328022779166966)</f>
        <v>2.328022779</v>
      </c>
      <c r="E51" s="15">
        <f>IFERROR(__xludf.DUMMYFUNCTION("""COMPUTED_VALUE"""),0.05601069053966112)</f>
        <v>0.05601069054</v>
      </c>
      <c r="F51" s="15">
        <f>IFERROR(__xludf.DUMMYFUNCTION("""COMPUTED_VALUE"""),2.384033469706627)</f>
        <v>2.38403347</v>
      </c>
      <c r="G51" s="17">
        <f>IFERROR(__xludf.DUMMYFUNCTION("""COMPUTED_VALUE"""),0.8958423273257275)</f>
        <v>0.8958423273</v>
      </c>
      <c r="H51" s="4"/>
      <c r="I51" s="5" t="s">
        <v>195</v>
      </c>
      <c r="J51" s="5" t="s">
        <v>97</v>
      </c>
      <c r="K51" s="5">
        <v>588.0</v>
      </c>
      <c r="L51" s="5">
        <v>1.16777</v>
      </c>
      <c r="M51" s="5">
        <v>1.56001</v>
      </c>
      <c r="N51" s="5">
        <v>2.72778</v>
      </c>
      <c r="O51" s="5">
        <v>0.84465</v>
      </c>
    </row>
    <row r="52">
      <c r="A52" s="18" t="str">
        <f>IFERROR(__xludf.DUMMYFUNCTION("""COMPUTED_VALUE"""),"David Walker")</f>
        <v>David Walker</v>
      </c>
      <c r="B52" s="19" t="str">
        <f>IFERROR(__xludf.DUMMYFUNCTION("""COMPUTED_VALUE"""),"AND")</f>
        <v>AND</v>
      </c>
      <c r="C52" s="20">
        <f>IFERROR(__xludf.DUMMYFUNCTION("""COMPUTED_VALUE"""),778.4)</f>
        <v>778.4</v>
      </c>
      <c r="D52" s="21">
        <f>IFERROR(__xludf.DUMMYFUNCTION("""COMPUTED_VALUE"""),0.9698799299092907)</f>
        <v>0.9698799299</v>
      </c>
      <c r="E52" s="21">
        <f>IFERROR(__xludf.DUMMYFUNCTION("""COMPUTED_VALUE"""),1.383364678648494)</f>
        <v>1.383364679</v>
      </c>
      <c r="F52" s="21">
        <f>IFERROR(__xludf.DUMMYFUNCTION("""COMPUTED_VALUE"""),2.3532446085577847)</f>
        <v>2.353244609</v>
      </c>
      <c r="G52" s="23">
        <f>IFERROR(__xludf.DUMMYFUNCTION("""COMPUTED_VALUE"""),1.1053343636594308)</f>
        <v>1.105334364</v>
      </c>
      <c r="H52" s="4"/>
      <c r="I52" s="5" t="s">
        <v>198</v>
      </c>
      <c r="J52" s="5" t="s">
        <v>85</v>
      </c>
      <c r="K52" s="5">
        <v>768.0</v>
      </c>
      <c r="L52" s="5">
        <v>0.79243</v>
      </c>
      <c r="M52" s="5">
        <v>1.90528</v>
      </c>
      <c r="N52" s="5">
        <v>2.6977</v>
      </c>
      <c r="O52" s="5">
        <v>1.09182</v>
      </c>
    </row>
    <row r="53">
      <c r="A53" s="12" t="str">
        <f>IFERROR(__xludf.DUMMYFUNCTION("""COMPUTED_VALUE"""),"Fabien Causeur")</f>
        <v>Fabien Causeur</v>
      </c>
      <c r="B53" s="13" t="str">
        <f>IFERROR(__xludf.DUMMYFUNCTION("""COMPUTED_VALUE"""),"RMB")</f>
        <v>RMB</v>
      </c>
      <c r="C53" s="14">
        <f>IFERROR(__xludf.DUMMYFUNCTION("""COMPUTED_VALUE"""),676.9)</f>
        <v>676.9</v>
      </c>
      <c r="D53" s="15">
        <f>IFERROR(__xludf.DUMMYFUNCTION("""COMPUTED_VALUE"""),1.8419616281703046)</f>
        <v>1.841961628</v>
      </c>
      <c r="E53" s="15">
        <f>IFERROR(__xludf.DUMMYFUNCTION("""COMPUTED_VALUE"""),0.5024504218114889)</f>
        <v>0.5024504218</v>
      </c>
      <c r="F53" s="15">
        <f>IFERROR(__xludf.DUMMYFUNCTION("""COMPUTED_VALUE"""),2.3444120499817935)</f>
        <v>2.34441205</v>
      </c>
      <c r="G53" s="17">
        <f>IFERROR(__xludf.DUMMYFUNCTION("""COMPUTED_VALUE"""),0.8939764180737414)</f>
        <v>0.8939764181</v>
      </c>
      <c r="H53" s="4"/>
      <c r="I53" s="5" t="s">
        <v>201</v>
      </c>
      <c r="J53" s="5" t="s">
        <v>59</v>
      </c>
      <c r="K53" s="5">
        <v>562.0</v>
      </c>
      <c r="L53" s="5">
        <v>1.6657</v>
      </c>
      <c r="M53" s="5">
        <v>0.98012</v>
      </c>
      <c r="N53" s="5">
        <v>2.64582</v>
      </c>
      <c r="O53" s="5">
        <v>0.80712</v>
      </c>
    </row>
    <row r="54">
      <c r="A54" s="18" t="str">
        <f>IFERROR(__xludf.DUMMYFUNCTION("""COMPUTED_VALUE"""),"Alec Brown")</f>
        <v>Alec Brown</v>
      </c>
      <c r="B54" s="19" t="str">
        <f>IFERROR(__xludf.DUMMYFUNCTION("""COMPUTED_VALUE"""),"EST")</f>
        <v>EST</v>
      </c>
      <c r="C54" s="20">
        <f>IFERROR(__xludf.DUMMYFUNCTION("""COMPUTED_VALUE"""),710.8)</f>
        <v>710.8</v>
      </c>
      <c r="D54" s="21">
        <f>IFERROR(__xludf.DUMMYFUNCTION("""COMPUTED_VALUE"""),0.6568717561330393)</f>
        <v>0.6568717561</v>
      </c>
      <c r="E54" s="21">
        <f>IFERROR(__xludf.DUMMYFUNCTION("""COMPUTED_VALUE"""),1.6645608844655018)</f>
        <v>1.664560884</v>
      </c>
      <c r="F54" s="21">
        <f>IFERROR(__xludf.DUMMYFUNCTION("""COMPUTED_VALUE"""),2.321432640598541)</f>
        <v>2.321432641</v>
      </c>
      <c r="G54" s="23">
        <f>IFERROR(__xludf.DUMMYFUNCTION("""COMPUTED_VALUE"""),0.9500583353906903)</f>
        <v>0.9500583354</v>
      </c>
      <c r="H54" s="4"/>
      <c r="I54" s="5" t="s">
        <v>204</v>
      </c>
      <c r="J54" s="5" t="s">
        <v>97</v>
      </c>
      <c r="K54" s="5">
        <v>663.0</v>
      </c>
      <c r="L54" s="5">
        <v>1.53934</v>
      </c>
      <c r="M54" s="5">
        <v>1.06644</v>
      </c>
      <c r="N54" s="5">
        <v>2.60577</v>
      </c>
      <c r="O54" s="5">
        <v>0.92719</v>
      </c>
    </row>
    <row r="55">
      <c r="A55" s="12" t="str">
        <f>IFERROR(__xludf.DUMMYFUNCTION("""COMPUTED_VALUE"""),"Adrien Moerman")</f>
        <v>Adrien Moerman</v>
      </c>
      <c r="B55" s="13" t="str">
        <f>IFERROR(__xludf.DUMMYFUNCTION("""COMPUTED_VALUE"""),"FCB")</f>
        <v>FCB</v>
      </c>
      <c r="C55" s="14">
        <f>IFERROR(__xludf.DUMMYFUNCTION("""COMPUTED_VALUE"""),859.6)</f>
        <v>859.6</v>
      </c>
      <c r="D55" s="15">
        <f>IFERROR(__xludf.DUMMYFUNCTION("""COMPUTED_VALUE"""),2.838916774175342)</f>
        <v>2.838916774</v>
      </c>
      <c r="E55" s="15">
        <f>IFERROR(__xludf.DUMMYFUNCTION("""COMPUTED_VALUE"""),-0.5751863712296492)</f>
        <v>-0.5751863712</v>
      </c>
      <c r="F55" s="15">
        <f>IFERROR(__xludf.DUMMYFUNCTION("""COMPUTED_VALUE"""),2.2637304029456926)</f>
        <v>2.263730403</v>
      </c>
      <c r="G55" s="17">
        <f>IFERROR(__xludf.DUMMYFUNCTION("""COMPUTED_VALUE"""),1.1072683878056209)</f>
        <v>1.107268388</v>
      </c>
      <c r="H55" s="4"/>
      <c r="I55" s="5" t="s">
        <v>208</v>
      </c>
      <c r="J55" s="5" t="s">
        <v>89</v>
      </c>
      <c r="K55" s="5">
        <v>712.0</v>
      </c>
      <c r="L55" s="5">
        <v>1.8743</v>
      </c>
      <c r="M55" s="5">
        <v>0.67573</v>
      </c>
      <c r="N55" s="5">
        <v>2.55003</v>
      </c>
      <c r="O55" s="5">
        <v>1.06011</v>
      </c>
    </row>
    <row r="56">
      <c r="A56" s="18" t="str">
        <f>IFERROR(__xludf.DUMMYFUNCTION("""COMPUTED_VALUE"""),"Ilimane Diop")</f>
        <v>Ilimane Diop</v>
      </c>
      <c r="B56" s="19" t="str">
        <f>IFERROR(__xludf.DUMMYFUNCTION("""COMPUTED_VALUE"""),"CAJ")</f>
        <v>CAJ</v>
      </c>
      <c r="C56" s="20">
        <f>IFERROR(__xludf.DUMMYFUNCTION("""COMPUTED_VALUE"""),508.3)</f>
        <v>508.3</v>
      </c>
      <c r="D56" s="21">
        <f>IFERROR(__xludf.DUMMYFUNCTION("""COMPUTED_VALUE"""),-2.98724942025355)</f>
        <v>-2.98724942</v>
      </c>
      <c r="E56" s="21">
        <f>IFERROR(__xludf.DUMMYFUNCTION("""COMPUTED_VALUE"""),5.042014807126984)</f>
        <v>5.042014807</v>
      </c>
      <c r="F56" s="21">
        <f>IFERROR(__xludf.DUMMYFUNCTION("""COMPUTED_VALUE"""),2.0547653868734335)</f>
        <v>2.054765387</v>
      </c>
      <c r="G56" s="23">
        <f>IFERROR(__xludf.DUMMYFUNCTION("""COMPUTED_VALUE"""),0.6265849432080545)</f>
        <v>0.6265849432</v>
      </c>
      <c r="H56" s="4"/>
      <c r="I56" s="5" t="s">
        <v>211</v>
      </c>
      <c r="J56" s="5" t="s">
        <v>14</v>
      </c>
      <c r="K56" s="5">
        <v>450.0</v>
      </c>
      <c r="L56" s="5">
        <v>2.56503</v>
      </c>
      <c r="M56" s="5">
        <v>-0.15061</v>
      </c>
      <c r="N56" s="5">
        <v>2.41442</v>
      </c>
      <c r="O56" s="5">
        <v>0.60307</v>
      </c>
    </row>
    <row r="57">
      <c r="A57" s="12" t="str">
        <f>IFERROR(__xludf.DUMMYFUNCTION("""COMPUTED_VALUE"""),"Edgar Vicedo")</f>
        <v>Edgar Vicedo</v>
      </c>
      <c r="B57" s="13" t="str">
        <f>IFERROR(__xludf.DUMMYFUNCTION("""COMPUTED_VALUE"""),"EST")</f>
        <v>EST</v>
      </c>
      <c r="C57" s="14">
        <f>IFERROR(__xludf.DUMMYFUNCTION("""COMPUTED_VALUE"""),662.6)</f>
        <v>662.6</v>
      </c>
      <c r="D57" s="15">
        <f>IFERROR(__xludf.DUMMYFUNCTION("""COMPUTED_VALUE"""),-0.36704091340875955)</f>
        <v>-0.3670409134</v>
      </c>
      <c r="E57" s="15">
        <f>IFERROR(__xludf.DUMMYFUNCTION("""COMPUTED_VALUE"""),2.3957927496180798)</f>
        <v>2.39579275</v>
      </c>
      <c r="F57" s="15">
        <f>IFERROR(__xludf.DUMMYFUNCTION("""COMPUTED_VALUE"""),2.02875183620932)</f>
        <v>2.028751836</v>
      </c>
      <c r="G57" s="17">
        <f>IFERROR(__xludf.DUMMYFUNCTION("""COMPUTED_VALUE"""),0.8256520310492254)</f>
        <v>0.825652031</v>
      </c>
      <c r="H57" s="4"/>
      <c r="I57" s="5" t="s">
        <v>214</v>
      </c>
      <c r="J57" s="5" t="s">
        <v>24</v>
      </c>
      <c r="K57" s="5">
        <v>620.0</v>
      </c>
      <c r="L57" s="5">
        <v>2.65033</v>
      </c>
      <c r="M57" s="5">
        <v>-0.25494</v>
      </c>
      <c r="N57" s="5">
        <v>2.39539</v>
      </c>
      <c r="O57" s="5">
        <v>0.825</v>
      </c>
    </row>
    <row r="58">
      <c r="A58" s="18" t="str">
        <f>IFERROR(__xludf.DUMMYFUNCTION("""COMPUTED_VALUE"""),"Alberto Abalde")</f>
        <v>Alberto Abalde</v>
      </c>
      <c r="B58" s="19" t="str">
        <f>IFERROR(__xludf.DUMMYFUNCTION("""COMPUTED_VALUE"""),"VAL")</f>
        <v>VAL</v>
      </c>
      <c r="C58" s="20">
        <f>IFERROR(__xludf.DUMMYFUNCTION("""COMPUTED_VALUE"""),625.7)</f>
        <v>625.7</v>
      </c>
      <c r="D58" s="21">
        <f>IFERROR(__xludf.DUMMYFUNCTION("""COMPUTED_VALUE"""),4.246223987425022)</f>
        <v>4.246223987</v>
      </c>
      <c r="E58" s="21">
        <f>IFERROR(__xludf.DUMMYFUNCTION("""COMPUTED_VALUE"""),-2.2329212193620798)</f>
        <v>-2.232921219</v>
      </c>
      <c r="F58" s="21">
        <f>IFERROR(__xludf.DUMMYFUNCTION("""COMPUTED_VALUE"""),2.0133027680629425)</f>
        <v>2.013302768</v>
      </c>
      <c r="G58" s="23">
        <f>IFERROR(__xludf.DUMMYFUNCTION("""COMPUTED_VALUE"""),0.7732352047773524)</f>
        <v>0.7732352048</v>
      </c>
      <c r="H58" s="4"/>
      <c r="I58" s="5" t="s">
        <v>216</v>
      </c>
      <c r="J58" s="5" t="s">
        <v>14</v>
      </c>
      <c r="K58" s="5">
        <v>85.0</v>
      </c>
      <c r="L58" s="5">
        <v>2.21301</v>
      </c>
      <c r="M58" s="5">
        <v>0.08725</v>
      </c>
      <c r="N58" s="5">
        <v>2.30026</v>
      </c>
      <c r="O58" s="5">
        <v>0.11154</v>
      </c>
    </row>
    <row r="59">
      <c r="A59" s="12" t="str">
        <f>IFERROR(__xludf.DUMMYFUNCTION("""COMPUTED_VALUE"""),"Deon Thompson")</f>
        <v>Deon Thompson</v>
      </c>
      <c r="B59" s="13" t="str">
        <f>IFERROR(__xludf.DUMMYFUNCTION("""COMPUTED_VALUE"""),"SPB")</f>
        <v>SPB</v>
      </c>
      <c r="C59" s="14">
        <f>IFERROR(__xludf.DUMMYFUNCTION("""COMPUTED_VALUE"""),926.0)</f>
        <v>926</v>
      </c>
      <c r="D59" s="15">
        <f>IFERROR(__xludf.DUMMYFUNCTION("""COMPUTED_VALUE"""),-0.9916127942605659)</f>
        <v>-0.9916127943</v>
      </c>
      <c r="E59" s="15">
        <f>IFERROR(__xludf.DUMMYFUNCTION("""COMPUTED_VALUE"""),2.9468988059913364)</f>
        <v>2.946898806</v>
      </c>
      <c r="F59" s="15">
        <f>IFERROR(__xludf.DUMMYFUNCTION("""COMPUTED_VALUE"""),1.9552860117307704)</f>
        <v>1.955286012</v>
      </c>
      <c r="G59" s="17">
        <f>IFERROR(__xludf.DUMMYFUNCTION("""COMPUTED_VALUE"""),1.1084778964712598)</f>
        <v>1.108477896</v>
      </c>
      <c r="H59" s="4"/>
      <c r="I59" s="5" t="s">
        <v>220</v>
      </c>
      <c r="J59" s="5" t="s">
        <v>221</v>
      </c>
      <c r="K59" s="5">
        <v>700.0</v>
      </c>
      <c r="L59" s="5">
        <v>1.40879</v>
      </c>
      <c r="M59" s="5">
        <v>0.71909</v>
      </c>
      <c r="N59" s="5">
        <v>2.12787</v>
      </c>
      <c r="O59" s="5">
        <v>0.89384</v>
      </c>
    </row>
    <row r="60">
      <c r="A60" s="18" t="str">
        <f>IFERROR(__xludf.DUMMYFUNCTION("""COMPUTED_VALUE"""),"Nicolas Laprovittola")</f>
        <v>Nicolas Laprovittola</v>
      </c>
      <c r="B60" s="19" t="str">
        <f>IFERROR(__xludf.DUMMYFUNCTION("""COMPUTED_VALUE"""),"JOV")</f>
        <v>JOV</v>
      </c>
      <c r="C60" s="20">
        <f>IFERROR(__xludf.DUMMYFUNCTION("""COMPUTED_VALUE"""),533.0)</f>
        <v>533</v>
      </c>
      <c r="D60" s="21">
        <f>IFERROR(__xludf.DUMMYFUNCTION("""COMPUTED_VALUE"""),3.0496270912921633)</f>
        <v>3.049627091</v>
      </c>
      <c r="E60" s="21">
        <f>IFERROR(__xludf.DUMMYFUNCTION("""COMPUTED_VALUE"""),-1.107860772054443)</f>
        <v>-1.107860772</v>
      </c>
      <c r="F60" s="21">
        <f>IFERROR(__xludf.DUMMYFUNCTION("""COMPUTED_VALUE"""),1.9417663192377201)</f>
        <v>1.941766319</v>
      </c>
      <c r="G60" s="23">
        <f>IFERROR(__xludf.DUMMYFUNCTION("""COMPUTED_VALUE"""),0.6312721793034117)</f>
        <v>0.6312721793</v>
      </c>
      <c r="H60" s="4"/>
      <c r="I60" s="5" t="s">
        <v>224</v>
      </c>
      <c r="J60" s="5" t="s">
        <v>225</v>
      </c>
      <c r="K60" s="5">
        <v>679.0</v>
      </c>
      <c r="L60" s="5">
        <v>0.24714</v>
      </c>
      <c r="M60" s="5">
        <v>1.7857</v>
      </c>
      <c r="N60" s="5">
        <v>2.03284</v>
      </c>
      <c r="O60" s="5">
        <v>0.82896</v>
      </c>
    </row>
    <row r="61">
      <c r="A61" s="12" t="str">
        <f>IFERROR(__xludf.DUMMYFUNCTION("""COMPUTED_VALUE"""),"Andrew Albicy")</f>
        <v>Andrew Albicy</v>
      </c>
      <c r="B61" s="13" t="str">
        <f>IFERROR(__xludf.DUMMYFUNCTION("""COMPUTED_VALUE"""),"AND")</f>
        <v>AND</v>
      </c>
      <c r="C61" s="14">
        <f>IFERROR(__xludf.DUMMYFUNCTION("""COMPUTED_VALUE"""),863.9)</f>
        <v>863.9</v>
      </c>
      <c r="D61" s="15">
        <f>IFERROR(__xludf.DUMMYFUNCTION("""COMPUTED_VALUE"""),0.8328043239150168)</f>
        <v>0.8328043239</v>
      </c>
      <c r="E61" s="15">
        <f>IFERROR(__xludf.DUMMYFUNCTION("""COMPUTED_VALUE"""),1.0306090616108006)</f>
        <v>1.030609062</v>
      </c>
      <c r="F61" s="15">
        <f>IFERROR(__xludf.DUMMYFUNCTION("""COMPUTED_VALUE"""),1.8634133855258175)</f>
        <v>1.863413386</v>
      </c>
      <c r="G61" s="17">
        <f>IFERROR(__xludf.DUMMYFUNCTION("""COMPUTED_VALUE"""),1.0887105416373637)</f>
        <v>1.088710542</v>
      </c>
      <c r="H61" s="4"/>
      <c r="I61" s="5" t="s">
        <v>227</v>
      </c>
      <c r="J61" s="5" t="s">
        <v>221</v>
      </c>
      <c r="K61" s="5">
        <v>634.0</v>
      </c>
      <c r="L61" s="5">
        <v>0.58768</v>
      </c>
      <c r="M61" s="5">
        <v>1.41551</v>
      </c>
      <c r="N61" s="5">
        <v>2.00319</v>
      </c>
      <c r="O61" s="5">
        <v>0.78509</v>
      </c>
    </row>
    <row r="62">
      <c r="A62" s="18" t="str">
        <f>IFERROR(__xludf.DUMMYFUNCTION("""COMPUTED_VALUE"""),"Petteri Koponen")</f>
        <v>Petteri Koponen</v>
      </c>
      <c r="B62" s="19" t="str">
        <f>IFERROR(__xludf.DUMMYFUNCTION("""COMPUTED_VALUE"""),"FCB")</f>
        <v>FCB</v>
      </c>
      <c r="C62" s="20">
        <f>IFERROR(__xludf.DUMMYFUNCTION("""COMPUTED_VALUE"""),796.3)</f>
        <v>796.3</v>
      </c>
      <c r="D62" s="21">
        <f>IFERROR(__xludf.DUMMYFUNCTION("""COMPUTED_VALUE"""),3.959020464511492)</f>
        <v>3.959020465</v>
      </c>
      <c r="E62" s="21">
        <f>IFERROR(__xludf.DUMMYFUNCTION("""COMPUTED_VALUE"""),-2.158475344286506)</f>
        <v>-2.158475344</v>
      </c>
      <c r="F62" s="21">
        <f>IFERROR(__xludf.DUMMYFUNCTION("""COMPUTED_VALUE"""),1.800545120224986)</f>
        <v>1.80054512</v>
      </c>
      <c r="G62" s="23">
        <f>IFERROR(__xludf.DUMMYFUNCTION("""COMPUTED_VALUE"""),0.9143013616860087)</f>
        <v>0.9143013617</v>
      </c>
      <c r="H62" s="4"/>
      <c r="I62" s="5" t="s">
        <v>194</v>
      </c>
      <c r="J62" s="5" t="s">
        <v>59</v>
      </c>
      <c r="K62" s="5">
        <v>632.0</v>
      </c>
      <c r="L62" s="5">
        <v>1.14042</v>
      </c>
      <c r="M62" s="5">
        <v>0.72069</v>
      </c>
      <c r="N62" s="5">
        <v>1.86111</v>
      </c>
      <c r="O62" s="5">
        <v>0.75388</v>
      </c>
    </row>
    <row r="63">
      <c r="A63" s="12" t="str">
        <f>IFERROR(__xludf.DUMMYFUNCTION("""COMPUTED_VALUE"""),"Landing Sane")</f>
        <v>Landing Sane</v>
      </c>
      <c r="B63" s="13" t="str">
        <f>IFERROR(__xludf.DUMMYFUNCTION("""COMPUTED_VALUE"""),"AND")</f>
        <v>AND</v>
      </c>
      <c r="C63" s="14">
        <f>IFERROR(__xludf.DUMMYFUNCTION("""COMPUTED_VALUE"""),406.1)</f>
        <v>406.1</v>
      </c>
      <c r="D63" s="15">
        <f>IFERROR(__xludf.DUMMYFUNCTION("""COMPUTED_VALUE"""),-0.2761627818113579)</f>
        <v>-0.2761627818</v>
      </c>
      <c r="E63" s="15">
        <f>IFERROR(__xludf.DUMMYFUNCTION("""COMPUTED_VALUE"""),2.055322052488905)</f>
        <v>2.055322052</v>
      </c>
      <c r="F63" s="15">
        <f>IFERROR(__xludf.DUMMYFUNCTION("""COMPUTED_VALUE"""),1.7791592706775474)</f>
        <v>1.779159271</v>
      </c>
      <c r="G63" s="17">
        <f>IFERROR(__xludf.DUMMYFUNCTION("""COMPUTED_VALUE"""),0.5006174212777726)</f>
        <v>0.5006174213</v>
      </c>
      <c r="H63" s="4"/>
      <c r="I63" s="5" t="s">
        <v>232</v>
      </c>
      <c r="J63" s="5" t="s">
        <v>233</v>
      </c>
      <c r="K63" s="5">
        <v>504.0</v>
      </c>
      <c r="L63" s="5">
        <v>2.84731</v>
      </c>
      <c r="M63" s="5">
        <v>-0.99975</v>
      </c>
      <c r="N63" s="5">
        <v>1.84755</v>
      </c>
      <c r="O63" s="5">
        <v>0.58193</v>
      </c>
    </row>
    <row r="64">
      <c r="A64" s="18" t="str">
        <f>IFERROR(__xludf.DUMMYFUNCTION("""COMPUTED_VALUE"""),"Eulis Baez")</f>
        <v>Eulis Baez</v>
      </c>
      <c r="B64" s="19" t="str">
        <f>IFERROR(__xludf.DUMMYFUNCTION("""COMPUTED_VALUE"""),"GCN")</f>
        <v>GCN</v>
      </c>
      <c r="C64" s="20">
        <f>IFERROR(__xludf.DUMMYFUNCTION("""COMPUTED_VALUE"""),797.8)</f>
        <v>797.8</v>
      </c>
      <c r="D64" s="21">
        <f>IFERROR(__xludf.DUMMYFUNCTION("""COMPUTED_VALUE"""),-2.9069964627307803)</f>
        <v>-2.906996463</v>
      </c>
      <c r="E64" s="21">
        <f>IFERROR(__xludf.DUMMYFUNCTION("""COMPUTED_VALUE"""),4.627432217173117)</f>
        <v>4.627432217</v>
      </c>
      <c r="F64" s="21">
        <f>IFERROR(__xludf.DUMMYFUNCTION("""COMPUTED_VALUE"""),1.720435754442336)</f>
        <v>1.720435754</v>
      </c>
      <c r="G64" s="23">
        <f>IFERROR(__xludf.DUMMYFUNCTION("""COMPUTED_VALUE"""),0.8992179068082603)</f>
        <v>0.8992179068</v>
      </c>
      <c r="H64" s="4"/>
      <c r="I64" s="5" t="s">
        <v>237</v>
      </c>
      <c r="J64" s="5" t="s">
        <v>59</v>
      </c>
      <c r="K64" s="5">
        <v>322.0</v>
      </c>
      <c r="L64" s="5">
        <v>1.23098</v>
      </c>
      <c r="M64" s="5">
        <v>0.61095</v>
      </c>
      <c r="N64" s="5">
        <v>1.84193</v>
      </c>
      <c r="O64" s="5">
        <v>0.38237</v>
      </c>
    </row>
    <row r="65">
      <c r="A65" s="12" t="str">
        <f>IFERROR(__xludf.DUMMYFUNCTION("""COMPUTED_VALUE"""),"Daniel Diez")</f>
        <v>Daniel Diez</v>
      </c>
      <c r="B65" s="13" t="str">
        <f>IFERROR(__xludf.DUMMYFUNCTION("""COMPUTED_VALUE"""),"UNI")</f>
        <v>UNI</v>
      </c>
      <c r="C65" s="14">
        <f>IFERROR(__xludf.DUMMYFUNCTION("""COMPUTED_VALUE"""),468.3)</f>
        <v>468.3</v>
      </c>
      <c r="D65" s="15">
        <f>IFERROR(__xludf.DUMMYFUNCTION("""COMPUTED_VALUE"""),3.144712458495471)</f>
        <v>3.144712458</v>
      </c>
      <c r="E65" s="15">
        <f>IFERROR(__xludf.DUMMYFUNCTION("""COMPUTED_VALUE"""),-1.5487498838611753)</f>
        <v>-1.548749884</v>
      </c>
      <c r="F65" s="15">
        <f>IFERROR(__xludf.DUMMYFUNCTION("""COMPUTED_VALUE"""),1.5959625746342958)</f>
        <v>1.595962575</v>
      </c>
      <c r="G65" s="17">
        <f>IFERROR(__xludf.DUMMYFUNCTION("""COMPUTED_VALUE"""),0.5116136105517829)</f>
        <v>0.5116136106</v>
      </c>
      <c r="H65" s="4"/>
      <c r="I65" s="5" t="s">
        <v>240</v>
      </c>
      <c r="J65" s="5" t="s">
        <v>225</v>
      </c>
      <c r="K65" s="5">
        <v>898.0</v>
      </c>
      <c r="L65" s="5">
        <v>0.15617</v>
      </c>
      <c r="M65" s="5">
        <v>1.67703</v>
      </c>
      <c r="N65" s="5">
        <v>1.8332</v>
      </c>
      <c r="O65" s="5">
        <v>1.04125</v>
      </c>
    </row>
    <row r="66">
      <c r="A66" s="18" t="str">
        <f>IFERROR(__xludf.DUMMYFUNCTION("""COMPUTED_VALUE"""),"Sadiel Rojas")</f>
        <v>Sadiel Rojas</v>
      </c>
      <c r="B66" s="19" t="str">
        <f>IFERROR(__xludf.DUMMYFUNCTION("""COMPUTED_VALUE"""),"MUR")</f>
        <v>MUR</v>
      </c>
      <c r="C66" s="20">
        <f>IFERROR(__xludf.DUMMYFUNCTION("""COMPUTED_VALUE"""),759.3)</f>
        <v>759.3</v>
      </c>
      <c r="D66" s="21">
        <f>IFERROR(__xludf.DUMMYFUNCTION("""COMPUTED_VALUE"""),1.4608632921930562)</f>
        <v>1.460863292</v>
      </c>
      <c r="E66" s="21">
        <f>IFERROR(__xludf.DUMMYFUNCTION("""COMPUTED_VALUE"""),0.1333993633182422)</f>
        <v>0.1333993633</v>
      </c>
      <c r="F66" s="21">
        <f>IFERROR(__xludf.DUMMYFUNCTION("""COMPUTED_VALUE"""),1.5942626555112984)</f>
        <v>1.594262656</v>
      </c>
      <c r="G66" s="23">
        <f>IFERROR(__xludf.DUMMYFUNCTION("""COMPUTED_VALUE"""),0.8259644737891557)</f>
        <v>0.8259644738</v>
      </c>
      <c r="H66" s="4"/>
      <c r="I66" s="5" t="s">
        <v>245</v>
      </c>
      <c r="J66" s="5" t="s">
        <v>54</v>
      </c>
      <c r="K66" s="5">
        <v>620.0</v>
      </c>
      <c r="L66" s="5">
        <v>1.07711</v>
      </c>
      <c r="M66" s="5">
        <v>0.67164</v>
      </c>
      <c r="N66" s="5">
        <v>1.74875</v>
      </c>
      <c r="O66" s="5">
        <v>0.70451</v>
      </c>
    </row>
    <row r="67">
      <c r="A67" s="12" t="str">
        <f>IFERROR(__xludf.DUMMYFUNCTION("""COMPUTED_VALUE"""),"Sylven Landesberg")</f>
        <v>Sylven Landesberg</v>
      </c>
      <c r="B67" s="13" t="str">
        <f>IFERROR(__xludf.DUMMYFUNCTION("""COMPUTED_VALUE"""),"EST")</f>
        <v>EST</v>
      </c>
      <c r="C67" s="14">
        <f>IFERROR(__xludf.DUMMYFUNCTION("""COMPUTED_VALUE"""),836.7)</f>
        <v>836.7</v>
      </c>
      <c r="D67" s="15">
        <f>IFERROR(__xludf.DUMMYFUNCTION("""COMPUTED_VALUE"""),2.7716920902058666)</f>
        <v>2.77169209</v>
      </c>
      <c r="E67" s="15">
        <f>IFERROR(__xludf.DUMMYFUNCTION("""COMPUTED_VALUE"""),-1.1952990364196023)</f>
        <v>-1.195299036</v>
      </c>
      <c r="F67" s="15">
        <f>IFERROR(__xludf.DUMMYFUNCTION("""COMPUTED_VALUE"""),1.5763930537862643)</f>
        <v>1.576393054</v>
      </c>
      <c r="G67" s="17">
        <f>IFERROR(__xludf.DUMMYFUNCTION("""COMPUTED_VALUE"""),0.9255291833121586)</f>
        <v>0.9255291833</v>
      </c>
      <c r="H67" s="4"/>
      <c r="I67" s="5" t="s">
        <v>248</v>
      </c>
      <c r="J67" s="5" t="s">
        <v>97</v>
      </c>
      <c r="K67" s="5">
        <v>493.0</v>
      </c>
      <c r="L67" s="5">
        <v>-0.09998</v>
      </c>
      <c r="M67" s="5">
        <v>1.83763</v>
      </c>
      <c r="N67" s="5">
        <v>1.73765</v>
      </c>
      <c r="O67" s="5">
        <v>0.55936</v>
      </c>
    </row>
    <row r="68">
      <c r="A68" s="18" t="str">
        <f>IFERROR(__xludf.DUMMYFUNCTION("""COMPUTED_VALUE"""),"Jeffery Taylor")</f>
        <v>Jeffery Taylor</v>
      </c>
      <c r="B68" s="19" t="str">
        <f>IFERROR(__xludf.DUMMYFUNCTION("""COMPUTED_VALUE"""),"RMB")</f>
        <v>RMB</v>
      </c>
      <c r="C68" s="20">
        <f>IFERROR(__xludf.DUMMYFUNCTION("""COMPUTED_VALUE"""),574.6)</f>
        <v>574.6</v>
      </c>
      <c r="D68" s="21">
        <f>IFERROR(__xludf.DUMMYFUNCTION("""COMPUTED_VALUE"""),1.9934815814849833)</f>
        <v>1.993481581</v>
      </c>
      <c r="E68" s="21">
        <f>IFERROR(__xludf.DUMMYFUNCTION("""COMPUTED_VALUE"""),-0.5021118154927229)</f>
        <v>-0.5021118155</v>
      </c>
      <c r="F68" s="21">
        <f>IFERROR(__xludf.DUMMYFUNCTION("""COMPUTED_VALUE"""),1.4913697659922605)</f>
        <v>1.491369766</v>
      </c>
      <c r="G68" s="23">
        <f>IFERROR(__xludf.DUMMYFUNCTION("""COMPUTED_VALUE"""),0.6098626092531831)</f>
        <v>0.6098626093</v>
      </c>
      <c r="H68" s="4"/>
      <c r="I68" s="5" t="s">
        <v>98</v>
      </c>
      <c r="J68" s="5" t="s">
        <v>22</v>
      </c>
      <c r="K68" s="5">
        <v>597.0</v>
      </c>
      <c r="L68" s="5">
        <v>2.7253</v>
      </c>
      <c r="M68" s="5">
        <v>-1.00803</v>
      </c>
      <c r="N68" s="5">
        <v>1.71726</v>
      </c>
      <c r="O68" s="5">
        <v>0.67378</v>
      </c>
    </row>
    <row r="69">
      <c r="A69" s="12" t="str">
        <f>IFERROR(__xludf.DUMMYFUNCTION("""COMPUTED_VALUE"""),"Bojan Dubljevic")</f>
        <v>Bojan Dubljevic</v>
      </c>
      <c r="B69" s="13" t="str">
        <f>IFERROR(__xludf.DUMMYFUNCTION("""COMPUTED_VALUE"""),"VAL")</f>
        <v>VAL</v>
      </c>
      <c r="C69" s="14">
        <f>IFERROR(__xludf.DUMMYFUNCTION("""COMPUTED_VALUE"""),714.8)</f>
        <v>714.8</v>
      </c>
      <c r="D69" s="15">
        <f>IFERROR(__xludf.DUMMYFUNCTION("""COMPUTED_VALUE"""),3.7812933155539614)</f>
        <v>3.781293316</v>
      </c>
      <c r="E69" s="15">
        <f>IFERROR(__xludf.DUMMYFUNCTION("""COMPUTED_VALUE"""),-2.3102193657224084)</f>
        <v>-2.310219366</v>
      </c>
      <c r="F69" s="15">
        <f>IFERROR(__xludf.DUMMYFUNCTION("""COMPUTED_VALUE"""),1.471073949831553)</f>
        <v>1.47107395</v>
      </c>
      <c r="G69" s="17">
        <f>IFERROR(__xludf.DUMMYFUNCTION("""COMPUTED_VALUE"""),0.7639975209252249)</f>
        <v>0.7639975209</v>
      </c>
      <c r="H69" s="4"/>
      <c r="I69" s="5" t="s">
        <v>253</v>
      </c>
      <c r="J69" s="5" t="s">
        <v>59</v>
      </c>
      <c r="K69" s="5">
        <v>649.0</v>
      </c>
      <c r="L69" s="5">
        <v>3.46842</v>
      </c>
      <c r="M69" s="5">
        <v>-1.78213</v>
      </c>
      <c r="N69" s="5">
        <v>1.68629</v>
      </c>
      <c r="O69" s="5">
        <v>0.73958</v>
      </c>
    </row>
    <row r="70">
      <c r="A70" s="18" t="str">
        <f>IFERROR(__xludf.DUMMYFUNCTION("""COMPUTED_VALUE"""),"Trey Thompkins")</f>
        <v>Trey Thompkins</v>
      </c>
      <c r="B70" s="19" t="str">
        <f>IFERROR(__xludf.DUMMYFUNCTION("""COMPUTED_VALUE"""),"RMB")</f>
        <v>RMB</v>
      </c>
      <c r="C70" s="20">
        <f>IFERROR(__xludf.DUMMYFUNCTION("""COMPUTED_VALUE"""),545.1)</f>
        <v>545.1</v>
      </c>
      <c r="D70" s="21">
        <f>IFERROR(__xludf.DUMMYFUNCTION("""COMPUTED_VALUE"""),1.3866380298233927)</f>
        <v>1.38663803</v>
      </c>
      <c r="E70" s="21">
        <f>IFERROR(__xludf.DUMMYFUNCTION("""COMPUTED_VALUE"""),-0.05634271946247216)</f>
        <v>-0.05634271946</v>
      </c>
      <c r="F70" s="21">
        <f>IFERROR(__xludf.DUMMYFUNCTION("""COMPUTED_VALUE"""),1.3302953103609205)</f>
        <v>1.33029531</v>
      </c>
      <c r="G70" s="23">
        <f>IFERROR(__xludf.DUMMYFUNCTION("""COMPUTED_VALUE"""),0.5518606993261903)</f>
        <v>0.5518606993</v>
      </c>
      <c r="H70" s="4"/>
      <c r="I70" s="5" t="s">
        <v>231</v>
      </c>
      <c r="J70" s="5" t="s">
        <v>24</v>
      </c>
      <c r="K70" s="5">
        <v>249.0</v>
      </c>
      <c r="L70" s="5">
        <v>1.24121</v>
      </c>
      <c r="M70" s="5">
        <v>0.41478</v>
      </c>
      <c r="N70" s="5">
        <v>1.65599</v>
      </c>
      <c r="O70" s="5">
        <v>0.27579</v>
      </c>
    </row>
    <row r="71">
      <c r="A71" s="12" t="str">
        <f>IFERROR(__xludf.DUMMYFUNCTION("""COMPUTED_VALUE"""),"Marko Popovic")</f>
        <v>Marko Popovic</v>
      </c>
      <c r="B71" s="13" t="str">
        <f>IFERROR(__xludf.DUMMYFUNCTION("""COMPUTED_VALUE"""),"MON")</f>
        <v>MON</v>
      </c>
      <c r="C71" s="14">
        <f>IFERROR(__xludf.DUMMYFUNCTION("""COMPUTED_VALUE"""),856.4)</f>
        <v>856.4</v>
      </c>
      <c r="D71" s="15">
        <f>IFERROR(__xludf.DUMMYFUNCTION("""COMPUTED_VALUE"""),5.0602409465580465)</f>
        <v>5.060240947</v>
      </c>
      <c r="E71" s="15">
        <f>IFERROR(__xludf.DUMMYFUNCTION("""COMPUTED_VALUE"""),-3.744156517926003)</f>
        <v>-3.744156518</v>
      </c>
      <c r="F71" s="15">
        <f>IFERROR(__xludf.DUMMYFUNCTION("""COMPUTED_VALUE"""),1.3160844286320437)</f>
        <v>1.316084429</v>
      </c>
      <c r="G71" s="17">
        <f>IFERROR(__xludf.DUMMYFUNCTION("""COMPUTED_VALUE"""),0.854803391994972)</f>
        <v>0.854803392</v>
      </c>
      <c r="H71" s="4"/>
      <c r="I71" s="5" t="s">
        <v>259</v>
      </c>
      <c r="J71" s="5" t="s">
        <v>221</v>
      </c>
      <c r="K71" s="5">
        <v>837.0</v>
      </c>
      <c r="L71" s="5">
        <v>3.5386</v>
      </c>
      <c r="M71" s="5">
        <v>-1.99227</v>
      </c>
      <c r="N71" s="5">
        <v>1.54633</v>
      </c>
      <c r="O71" s="5">
        <v>0.91814</v>
      </c>
    </row>
    <row r="72">
      <c r="A72" s="18" t="str">
        <f>IFERROR(__xludf.DUMMYFUNCTION("""COMPUTED_VALUE"""),"Gary Neal")</f>
        <v>Gary Neal</v>
      </c>
      <c r="B72" s="19" t="str">
        <f>IFERROR(__xludf.DUMMYFUNCTION("""COMPUTED_VALUE"""),"ZAR")</f>
        <v>ZAR</v>
      </c>
      <c r="C72" s="20">
        <f>IFERROR(__xludf.DUMMYFUNCTION("""COMPUTED_VALUE"""),883.5)</f>
        <v>883.5</v>
      </c>
      <c r="D72" s="21">
        <f>IFERROR(__xludf.DUMMYFUNCTION("""COMPUTED_VALUE"""),2.5712611076692724)</f>
        <v>2.571261108</v>
      </c>
      <c r="E72" s="21">
        <f>IFERROR(__xludf.DUMMYFUNCTION("""COMPUTED_VALUE"""),-1.2830519920808676)</f>
        <v>-1.283051992</v>
      </c>
      <c r="F72" s="21">
        <f>IFERROR(__xludf.DUMMYFUNCTION("""COMPUTED_VALUE"""),1.2882091155884048)</f>
        <v>1.288209116</v>
      </c>
      <c r="G72" s="23">
        <f>IFERROR(__xludf.DUMMYFUNCTION("""COMPUTED_VALUE"""),0.8839108868751369)</f>
        <v>0.8839108869</v>
      </c>
      <c r="H72" s="4"/>
      <c r="I72" s="5" t="s">
        <v>262</v>
      </c>
      <c r="J72" s="5" t="s">
        <v>14</v>
      </c>
      <c r="K72" s="5">
        <v>401.0</v>
      </c>
      <c r="L72" s="5">
        <v>0.30502</v>
      </c>
      <c r="M72" s="5">
        <v>1.19082</v>
      </c>
      <c r="N72" s="5">
        <v>1.49584</v>
      </c>
      <c r="O72" s="5">
        <v>0.42587</v>
      </c>
    </row>
    <row r="73">
      <c r="A73" s="12" t="str">
        <f>IFERROR(__xludf.DUMMYFUNCTION("""COMPUTED_VALUE"""),"Adam Waczynski")</f>
        <v>Adam Waczynski</v>
      </c>
      <c r="B73" s="13" t="str">
        <f>IFERROR(__xludf.DUMMYFUNCTION("""COMPUTED_VALUE"""),"UNI")</f>
        <v>UNI</v>
      </c>
      <c r="C73" s="14">
        <f>IFERROR(__xludf.DUMMYFUNCTION("""COMPUTED_VALUE"""),618.8)</f>
        <v>618.8</v>
      </c>
      <c r="D73" s="15">
        <f>IFERROR(__xludf.DUMMYFUNCTION("""COMPUTED_VALUE"""),4.784190018365161)</f>
        <v>4.784190018</v>
      </c>
      <c r="E73" s="15">
        <f>IFERROR(__xludf.DUMMYFUNCTION("""COMPUTED_VALUE"""),-3.5764063609092185)</f>
        <v>-3.576406361</v>
      </c>
      <c r="F73" s="15">
        <f>IFERROR(__xludf.DUMMYFUNCTION("""COMPUTED_VALUE"""),1.2077836574559422)</f>
        <v>1.207783657</v>
      </c>
      <c r="G73" s="17">
        <f>IFERROR(__xludf.DUMMYFUNCTION("""COMPUTED_VALUE"""),0.6030566962736844)</f>
        <v>0.6030566963</v>
      </c>
      <c r="H73" s="4"/>
      <c r="I73" s="5" t="s">
        <v>266</v>
      </c>
      <c r="J73" s="5" t="s">
        <v>267</v>
      </c>
      <c r="K73" s="5">
        <v>884.0</v>
      </c>
      <c r="L73" s="5">
        <v>3.99861</v>
      </c>
      <c r="M73" s="5">
        <v>-2.59324</v>
      </c>
      <c r="N73" s="5">
        <v>1.40537</v>
      </c>
      <c r="O73" s="5">
        <v>0.91584</v>
      </c>
    </row>
    <row r="74">
      <c r="A74" s="18" t="str">
        <f>IFERROR(__xludf.DUMMYFUNCTION("""COMPUTED_VALUE"""),"Santiago Yusta")</f>
        <v>Santiago Yusta</v>
      </c>
      <c r="B74" s="19" t="str">
        <f>IFERROR(__xludf.DUMMYFUNCTION("""COMPUTED_VALUE"""),"RMB")</f>
        <v>RMB</v>
      </c>
      <c r="C74" s="20">
        <f>IFERROR(__xludf.DUMMYFUNCTION("""COMPUTED_VALUE"""),416.6)</f>
        <v>416.6</v>
      </c>
      <c r="D74" s="21">
        <f>IFERROR(__xludf.DUMMYFUNCTION("""COMPUTED_VALUE"""),0.4912570614608178)</f>
        <v>0.4912570615</v>
      </c>
      <c r="E74" s="21">
        <f>IFERROR(__xludf.DUMMYFUNCTION("""COMPUTED_VALUE"""),0.5887803079137135)</f>
        <v>0.5887803079</v>
      </c>
      <c r="F74" s="21">
        <f>IFERROR(__xludf.DUMMYFUNCTION("""COMPUTED_VALUE"""),1.0800373693745313)</f>
        <v>1.080037369</v>
      </c>
      <c r="G74" s="23">
        <f>IFERROR(__xludf.DUMMYFUNCTION("""COMPUTED_VALUE"""),0.3900729101949396)</f>
        <v>0.3900729102</v>
      </c>
      <c r="H74" s="4"/>
      <c r="I74" s="5" t="s">
        <v>270</v>
      </c>
      <c r="J74" s="5" t="s">
        <v>89</v>
      </c>
      <c r="K74" s="5">
        <v>763.0</v>
      </c>
      <c r="L74" s="5">
        <v>0.98348</v>
      </c>
      <c r="M74" s="5">
        <v>0.37672</v>
      </c>
      <c r="N74" s="5">
        <v>1.3602</v>
      </c>
      <c r="O74" s="5">
        <v>0.83886</v>
      </c>
    </row>
    <row r="75">
      <c r="A75" s="12" t="str">
        <f>IFERROR(__xludf.DUMMYFUNCTION("""COMPUTED_VALUE"""),"Guillem Vives")</f>
        <v>Guillem Vives</v>
      </c>
      <c r="B75" s="13" t="str">
        <f>IFERROR(__xludf.DUMMYFUNCTION("""COMPUTED_VALUE"""),"VAL")</f>
        <v>VAL</v>
      </c>
      <c r="C75" s="14">
        <f>IFERROR(__xludf.DUMMYFUNCTION("""COMPUTED_VALUE"""),386.1)</f>
        <v>386.1</v>
      </c>
      <c r="D75" s="15">
        <f>IFERROR(__xludf.DUMMYFUNCTION("""COMPUTED_VALUE"""),3.3165637938443826)</f>
        <v>3.316563794</v>
      </c>
      <c r="E75" s="15">
        <f>IFERROR(__xludf.DUMMYFUNCTION("""COMPUTED_VALUE"""),-2.2676276751266617)</f>
        <v>-2.267627675</v>
      </c>
      <c r="F75" s="15">
        <f>IFERROR(__xludf.DUMMYFUNCTION("""COMPUTED_VALUE"""),1.0489361187177209)</f>
        <v>1.048936119</v>
      </c>
      <c r="G75" s="17">
        <f>IFERROR(__xludf.DUMMYFUNCTION("""COMPUTED_VALUE"""),0.36248635739528373)</f>
        <v>0.3624863574</v>
      </c>
      <c r="H75" s="4"/>
      <c r="I75" s="5" t="s">
        <v>275</v>
      </c>
      <c r="J75" s="5" t="s">
        <v>85</v>
      </c>
      <c r="K75" s="5">
        <v>725.0</v>
      </c>
      <c r="L75" s="5">
        <v>-0.77956</v>
      </c>
      <c r="M75" s="5">
        <v>2.08138</v>
      </c>
      <c r="N75" s="5">
        <v>1.30183</v>
      </c>
      <c r="O75" s="5">
        <v>0.72434</v>
      </c>
    </row>
    <row r="76">
      <c r="A76" s="18" t="str">
        <f>IFERROR(__xludf.DUMMYFUNCTION("""COMPUTED_VALUE"""),"Goran Suton")</f>
        <v>Goran Suton</v>
      </c>
      <c r="B76" s="19" t="str">
        <f>IFERROR(__xludf.DUMMYFUNCTION("""COMPUTED_VALUE"""),"EST")</f>
        <v>EST</v>
      </c>
      <c r="C76" s="20">
        <f>IFERROR(__xludf.DUMMYFUNCTION("""COMPUTED_VALUE"""),720.9)</f>
        <v>720.9</v>
      </c>
      <c r="D76" s="21">
        <f>IFERROR(__xludf.DUMMYFUNCTION("""COMPUTED_VALUE"""),-1.600569322455594)</f>
        <v>-1.600569322</v>
      </c>
      <c r="E76" s="21">
        <f>IFERROR(__xludf.DUMMYFUNCTION("""COMPUTED_VALUE"""),2.6408815389641127)</f>
        <v>2.640881539</v>
      </c>
      <c r="F76" s="21">
        <f>IFERROR(__xludf.DUMMYFUNCTION("""COMPUTED_VALUE"""),1.0403122165085186)</f>
        <v>1.040312217</v>
      </c>
      <c r="G76" s="23">
        <f>IFERROR(__xludf.DUMMYFUNCTION("""COMPUTED_VALUE"""),0.6779041860271712)</f>
        <v>0.677904186</v>
      </c>
      <c r="H76" s="4"/>
      <c r="I76" s="5" t="s">
        <v>278</v>
      </c>
      <c r="J76" s="5" t="s">
        <v>89</v>
      </c>
      <c r="K76" s="5">
        <v>830.0</v>
      </c>
      <c r="L76" s="5">
        <v>0.5765</v>
      </c>
      <c r="M76" s="5">
        <v>0.69689</v>
      </c>
      <c r="N76" s="5">
        <v>1.27339</v>
      </c>
      <c r="O76" s="5">
        <v>0.88864</v>
      </c>
    </row>
    <row r="77">
      <c r="A77" s="12" t="str">
        <f>IFERROR(__xludf.DUMMYFUNCTION("""COMPUTED_VALUE"""),"Erick Green")</f>
        <v>Erick Green</v>
      </c>
      <c r="B77" s="13" t="str">
        <f>IFERROR(__xludf.DUMMYFUNCTION("""COMPUTED_VALUE"""),"VAL")</f>
        <v>VAL</v>
      </c>
      <c r="C77" s="14">
        <f>IFERROR(__xludf.DUMMYFUNCTION("""COMPUTED_VALUE"""),688.8)</f>
        <v>688.8</v>
      </c>
      <c r="D77" s="15">
        <f>IFERROR(__xludf.DUMMYFUNCTION("""COMPUTED_VALUE"""),5.76212376347066)</f>
        <v>5.762123763</v>
      </c>
      <c r="E77" s="15">
        <f>IFERROR(__xludf.DUMMYFUNCTION("""COMPUTED_VALUE"""),-4.73135755586223)</f>
        <v>-4.731357556</v>
      </c>
      <c r="F77" s="15">
        <f>IFERROR(__xludf.DUMMYFUNCTION("""COMPUTED_VALUE"""),1.0307662076084299)</f>
        <v>1.030766208</v>
      </c>
      <c r="G77" s="17">
        <f>IFERROR(__xludf.DUMMYFUNCTION("""COMPUTED_VALUE"""),0.6428196056427772)</f>
        <v>0.6428196056</v>
      </c>
      <c r="H77" s="4"/>
      <c r="I77" s="5" t="s">
        <v>281</v>
      </c>
      <c r="J77" s="5" t="s">
        <v>22</v>
      </c>
      <c r="K77" s="5">
        <v>409.0</v>
      </c>
      <c r="L77" s="5">
        <v>0.61185</v>
      </c>
      <c r="M77" s="5">
        <v>0.59696</v>
      </c>
      <c r="N77" s="5">
        <v>1.20881</v>
      </c>
      <c r="O77" s="5">
        <v>0.39899</v>
      </c>
    </row>
    <row r="78">
      <c r="A78" s="18" t="str">
        <f>IFERROR(__xludf.DUMMYFUNCTION("""COMPUTED_VALUE"""),"Jaka Blazic")</f>
        <v>Jaka Blazic</v>
      </c>
      <c r="B78" s="19" t="str">
        <f>IFERROR(__xludf.DUMMYFUNCTION("""COMPUTED_VALUE"""),"AND")</f>
        <v>AND</v>
      </c>
      <c r="C78" s="20">
        <f>IFERROR(__xludf.DUMMYFUNCTION("""COMPUTED_VALUE"""),911.0)</f>
        <v>911</v>
      </c>
      <c r="D78" s="21">
        <f>IFERROR(__xludf.DUMMYFUNCTION("""COMPUTED_VALUE"""),-0.6006362728819924)</f>
        <v>-0.6006362729</v>
      </c>
      <c r="E78" s="21">
        <f>IFERROR(__xludf.DUMMYFUNCTION("""COMPUTED_VALUE"""),1.5253466615387032)</f>
        <v>1.525346662</v>
      </c>
      <c r="F78" s="21">
        <f>IFERROR(__xludf.DUMMYFUNCTION("""COMPUTED_VALUE"""),0.924710388656711)</f>
        <v>0.9247103887</v>
      </c>
      <c r="G78" s="23">
        <f>IFERROR(__xludf.DUMMYFUNCTION("""COMPUTED_VALUE"""),0.8691185484769652)</f>
        <v>0.8691185485</v>
      </c>
      <c r="H78" s="4"/>
      <c r="I78" s="5" t="s">
        <v>286</v>
      </c>
      <c r="J78" s="5" t="s">
        <v>22</v>
      </c>
      <c r="K78" s="5">
        <v>692.0</v>
      </c>
      <c r="L78" s="5">
        <v>-0.29346</v>
      </c>
      <c r="M78" s="5">
        <v>1.32551</v>
      </c>
      <c r="N78" s="5">
        <v>1.03205</v>
      </c>
      <c r="O78" s="5">
        <v>0.63688</v>
      </c>
    </row>
    <row r="79">
      <c r="A79" s="12" t="str">
        <f>IFERROR(__xludf.DUMMYFUNCTION("""COMPUTED_VALUE"""),"Alberto Diaz")</f>
        <v>Alberto Diaz</v>
      </c>
      <c r="B79" s="13" t="str">
        <f>IFERROR(__xludf.DUMMYFUNCTION("""COMPUTED_VALUE"""),"UNI")</f>
        <v>UNI</v>
      </c>
      <c r="C79" s="14">
        <f>IFERROR(__xludf.DUMMYFUNCTION("""COMPUTED_VALUE"""),763.2)</f>
        <v>763.2</v>
      </c>
      <c r="D79" s="15">
        <f>IFERROR(__xludf.DUMMYFUNCTION("""COMPUTED_VALUE"""),1.8083120773717454)</f>
        <v>1.808312077</v>
      </c>
      <c r="E79" s="15">
        <f>IFERROR(__xludf.DUMMYFUNCTION("""COMPUTED_VALUE"""),-0.9193211451901071)</f>
        <v>-0.9193211452</v>
      </c>
      <c r="F79" s="15">
        <f>IFERROR(__xludf.DUMMYFUNCTION("""COMPUTED_VALUE"""),0.8889909321816383)</f>
        <v>0.8889909322</v>
      </c>
      <c r="G79" s="17">
        <f>IFERROR(__xludf.DUMMYFUNCTION("""COMPUTED_VALUE"""),0.6698650343818703)</f>
        <v>0.6698650344</v>
      </c>
      <c r="H79" s="4"/>
      <c r="I79" s="5" t="s">
        <v>289</v>
      </c>
      <c r="J79" s="5" t="s">
        <v>290</v>
      </c>
      <c r="K79" s="5">
        <v>826.0</v>
      </c>
      <c r="L79" s="5">
        <v>4.90993</v>
      </c>
      <c r="M79" s="5">
        <v>-3.91805</v>
      </c>
      <c r="N79" s="5">
        <v>0.99187</v>
      </c>
      <c r="O79" s="5">
        <v>0.74322</v>
      </c>
    </row>
    <row r="80">
      <c r="A80" s="18" t="str">
        <f>IFERROR(__xludf.DUMMYFUNCTION("""COMPUTED_VALUE"""),"Artem Pustovyi")</f>
        <v>Artem Pustovyi</v>
      </c>
      <c r="B80" s="19" t="str">
        <f>IFERROR(__xludf.DUMMYFUNCTION("""COMPUTED_VALUE"""),"OBR")</f>
        <v>OBR</v>
      </c>
      <c r="C80" s="20">
        <f>IFERROR(__xludf.DUMMYFUNCTION("""COMPUTED_VALUE"""),879.6)</f>
        <v>879.6</v>
      </c>
      <c r="D80" s="21">
        <f>IFERROR(__xludf.DUMMYFUNCTION("""COMPUTED_VALUE"""),-1.454694867319624)</f>
        <v>-1.454694867</v>
      </c>
      <c r="E80" s="21">
        <f>IFERROR(__xludf.DUMMYFUNCTION("""COMPUTED_VALUE"""),2.3031745828363968)</f>
        <v>2.303174583</v>
      </c>
      <c r="F80" s="21">
        <f>IFERROR(__xludf.DUMMYFUNCTION("""COMPUTED_VALUE"""),0.8484797155167727)</f>
        <v>0.8484797155</v>
      </c>
      <c r="G80" s="23">
        <f>IFERROR(__xludf.DUMMYFUNCTION("""COMPUTED_VALUE"""),0.7748597592953113)</f>
        <v>0.7748597593</v>
      </c>
      <c r="H80" s="4"/>
      <c r="I80" s="5" t="s">
        <v>292</v>
      </c>
      <c r="J80" s="5" t="s">
        <v>233</v>
      </c>
      <c r="K80" s="5">
        <v>726.0</v>
      </c>
      <c r="L80" s="5">
        <v>-1.06364</v>
      </c>
      <c r="M80" s="5">
        <v>2.03105</v>
      </c>
      <c r="N80" s="5">
        <v>0.96741</v>
      </c>
      <c r="O80" s="5">
        <v>0.64675</v>
      </c>
    </row>
    <row r="81">
      <c r="A81" s="12" t="str">
        <f>IFERROR(__xludf.DUMMYFUNCTION("""COMPUTED_VALUE"""),"Eimantas Bendzius")</f>
        <v>Eimantas Bendzius</v>
      </c>
      <c r="B81" s="13" t="str">
        <f>IFERROR(__xludf.DUMMYFUNCTION("""COMPUTED_VALUE"""),"OBR")</f>
        <v>OBR</v>
      </c>
      <c r="C81" s="14">
        <f>IFERROR(__xludf.DUMMYFUNCTION("""COMPUTED_VALUE"""),659.7)</f>
        <v>659.7</v>
      </c>
      <c r="D81" s="15">
        <f>IFERROR(__xludf.DUMMYFUNCTION("""COMPUTED_VALUE"""),2.935481368652268)</f>
        <v>2.935481369</v>
      </c>
      <c r="E81" s="15">
        <f>IFERROR(__xludf.DUMMYFUNCTION("""COMPUTED_VALUE"""),-2.1610243531592475)</f>
        <v>-2.161024353</v>
      </c>
      <c r="F81" s="15">
        <f>IFERROR(__xludf.DUMMYFUNCTION("""COMPUTED_VALUE"""),0.7744570154930206)</f>
        <v>0.7744570155</v>
      </c>
      <c r="G81" s="17">
        <f>IFERROR(__xludf.DUMMYFUNCTION("""COMPUTED_VALUE"""),0.5660427605002505)</f>
        <v>0.5660427605</v>
      </c>
      <c r="H81" s="4"/>
      <c r="I81" s="5" t="s">
        <v>120</v>
      </c>
      <c r="J81" s="5" t="s">
        <v>22</v>
      </c>
      <c r="K81" s="5">
        <v>667.0</v>
      </c>
      <c r="L81" s="5">
        <v>3.39909</v>
      </c>
      <c r="M81" s="5">
        <v>-2.46545</v>
      </c>
      <c r="N81" s="5">
        <v>0.93364</v>
      </c>
      <c r="O81" s="5">
        <v>0.59465</v>
      </c>
    </row>
    <row r="82">
      <c r="A82" s="18" t="str">
        <f>IFERROR(__xludf.DUMMYFUNCTION("""COMPUTED_VALUE"""),"Vitor Benite")</f>
        <v>Vitor Benite</v>
      </c>
      <c r="B82" s="19" t="str">
        <f>IFERROR(__xludf.DUMMYFUNCTION("""COMPUTED_VALUE"""),"MUR")</f>
        <v>MUR</v>
      </c>
      <c r="C82" s="20">
        <f>IFERROR(__xludf.DUMMYFUNCTION("""COMPUTED_VALUE"""),673.1)</f>
        <v>673.1</v>
      </c>
      <c r="D82" s="21">
        <f>IFERROR(__xludf.DUMMYFUNCTION("""COMPUTED_VALUE"""),4.1637771349292185)</f>
        <v>4.163777135</v>
      </c>
      <c r="E82" s="21">
        <f>IFERROR(__xludf.DUMMYFUNCTION("""COMPUTED_VALUE"""),-3.435941888187852)</f>
        <v>-3.435941888</v>
      </c>
      <c r="F82" s="21">
        <f>IFERROR(__xludf.DUMMYFUNCTION("""COMPUTED_VALUE"""),0.7278352467413667)</f>
        <v>0.7278352467</v>
      </c>
      <c r="G82" s="23">
        <f>IFERROR(__xludf.DUMMYFUNCTION("""COMPUTED_VALUE"""),0.5556942266088947)</f>
        <v>0.5556942266</v>
      </c>
      <c r="H82" s="4"/>
      <c r="I82" s="5" t="s">
        <v>299</v>
      </c>
      <c r="J82" s="5" t="s">
        <v>184</v>
      </c>
      <c r="K82" s="5">
        <v>885.0</v>
      </c>
      <c r="L82" s="5">
        <v>-2.70282</v>
      </c>
      <c r="M82" s="5">
        <v>3.60732</v>
      </c>
      <c r="N82" s="5">
        <v>0.9045</v>
      </c>
      <c r="O82" s="5">
        <v>0.77322</v>
      </c>
    </row>
    <row r="83">
      <c r="A83" s="12" t="str">
        <f>IFERROR(__xludf.DUMMYFUNCTION("""COMPUTED_VALUE"""),"Bo McCalebb")</f>
        <v>Bo McCalebb</v>
      </c>
      <c r="B83" s="13" t="str">
        <f>IFERROR(__xludf.DUMMYFUNCTION("""COMPUTED_VALUE"""),"ZAR")</f>
        <v>ZAR</v>
      </c>
      <c r="C83" s="14">
        <f>IFERROR(__xludf.DUMMYFUNCTION("""COMPUTED_VALUE"""),231.0)</f>
        <v>231</v>
      </c>
      <c r="D83" s="15">
        <f>IFERROR(__xludf.DUMMYFUNCTION("""COMPUTED_VALUE"""),0.3428854824170527)</f>
        <v>0.3428854824</v>
      </c>
      <c r="E83" s="15">
        <f>IFERROR(__xludf.DUMMYFUNCTION("""COMPUTED_VALUE"""),0.3424948594814213)</f>
        <v>0.3424948595</v>
      </c>
      <c r="F83" s="15">
        <f>IFERROR(__xludf.DUMMYFUNCTION("""COMPUTED_VALUE"""),0.685380341898474)</f>
        <v>0.6853803419</v>
      </c>
      <c r="G83" s="17">
        <f>IFERROR(__xludf.DUMMYFUNCTION("""COMPUTED_VALUE"""),0.18873840713302023)</f>
        <v>0.1887384071</v>
      </c>
      <c r="H83" s="4"/>
      <c r="I83" s="5" t="s">
        <v>303</v>
      </c>
      <c r="J83" s="5" t="s">
        <v>85</v>
      </c>
      <c r="K83" s="5">
        <v>760.0</v>
      </c>
      <c r="L83" s="5">
        <v>-1.53662</v>
      </c>
      <c r="M83" s="5">
        <v>2.34776</v>
      </c>
      <c r="N83" s="5">
        <v>0.81114</v>
      </c>
      <c r="O83" s="5">
        <v>0.64663</v>
      </c>
    </row>
    <row r="84">
      <c r="A84" s="18" t="str">
        <f>IFERROR(__xludf.DUMMYFUNCTION("""COMPUTED_VALUE"""),"Jerome Jordan")</f>
        <v>Jerome Jordan</v>
      </c>
      <c r="B84" s="19" t="str">
        <f>IFERROR(__xludf.DUMMYFUNCTION("""COMPUTED_VALUE"""),"JOV")</f>
        <v>JOV</v>
      </c>
      <c r="C84" s="20">
        <f>IFERROR(__xludf.DUMMYFUNCTION("""COMPUTED_VALUE"""),740.4)</f>
        <v>740.4</v>
      </c>
      <c r="D84" s="21">
        <f>IFERROR(__xludf.DUMMYFUNCTION("""COMPUTED_VALUE"""),-1.3729904857019954)</f>
        <v>-1.372990486</v>
      </c>
      <c r="E84" s="21">
        <f>IFERROR(__xludf.DUMMYFUNCTION("""COMPUTED_VALUE"""),2.049237880812571)</f>
        <v>2.049237881</v>
      </c>
      <c r="F84" s="21">
        <f>IFERROR(__xludf.DUMMYFUNCTION("""COMPUTED_VALUE"""),0.6762473951105755)</f>
        <v>0.6762473951</v>
      </c>
      <c r="G84" s="23">
        <f>IFERROR(__xludf.DUMMYFUNCTION("""COMPUTED_VALUE"""),0.5953758771512251)</f>
        <v>0.5953758772</v>
      </c>
      <c r="H84" s="4"/>
      <c r="I84" s="5" t="s">
        <v>305</v>
      </c>
      <c r="J84" s="5" t="s">
        <v>221</v>
      </c>
      <c r="K84" s="5">
        <v>695.0</v>
      </c>
      <c r="L84" s="5">
        <v>-1.10126</v>
      </c>
      <c r="M84" s="5">
        <v>1.85819</v>
      </c>
      <c r="N84" s="5">
        <v>0.75693</v>
      </c>
      <c r="O84" s="5">
        <v>0.59271</v>
      </c>
    </row>
    <row r="85">
      <c r="A85" s="12" t="str">
        <f>IFERROR(__xludf.DUMMYFUNCTION("""COMPUTED_VALUE"""),"Sergi Garcia")</f>
        <v>Sergi Garcia</v>
      </c>
      <c r="B85" s="13" t="str">
        <f>IFERROR(__xludf.DUMMYFUNCTION("""COMPUTED_VALUE"""),"ZAR")</f>
        <v>ZAR</v>
      </c>
      <c r="C85" s="14">
        <f>IFERROR(__xludf.DUMMYFUNCTION("""COMPUTED_VALUE"""),149.75)</f>
        <v>149.75</v>
      </c>
      <c r="D85" s="15">
        <f>IFERROR(__xludf.DUMMYFUNCTION("""COMPUTED_VALUE"""),0.22070859015461294)</f>
        <v>0.2207085902</v>
      </c>
      <c r="E85" s="15">
        <f>IFERROR(__xludf.DUMMYFUNCTION("""COMPUTED_VALUE"""),0.4207197361616938)</f>
        <v>0.4207197362</v>
      </c>
      <c r="F85" s="15">
        <f>IFERROR(__xludf.DUMMYFUNCTION("""COMPUTED_VALUE"""),0.6414283263163068)</f>
        <v>0.6414283263</v>
      </c>
      <c r="G85" s="17">
        <f>IFERROR(__xludf.DUMMYFUNCTION("""COMPUTED_VALUE"""),0.12035057294029604)</f>
        <v>0.1203505729</v>
      </c>
      <c r="H85" s="4"/>
      <c r="I85" s="5" t="s">
        <v>310</v>
      </c>
      <c r="J85" s="5" t="s">
        <v>267</v>
      </c>
      <c r="K85" s="5">
        <v>231.0</v>
      </c>
      <c r="L85" s="5">
        <v>1.411</v>
      </c>
      <c r="M85" s="5">
        <v>-0.66573</v>
      </c>
      <c r="N85" s="5">
        <v>0.74526</v>
      </c>
      <c r="O85" s="5">
        <v>0.19304</v>
      </c>
    </row>
    <row r="86">
      <c r="A86" s="18" t="str">
        <f>IFERROR(__xludf.DUMMYFUNCTION("""COMPUTED_VALUE"""),"Mike Tobey")</f>
        <v>Mike Tobey</v>
      </c>
      <c r="B86" s="19" t="str">
        <f>IFERROR(__xludf.DUMMYFUNCTION("""COMPUTED_VALUE"""),"CAN")</f>
        <v>CAN</v>
      </c>
      <c r="C86" s="20">
        <f>IFERROR(__xludf.DUMMYFUNCTION("""COMPUTED_VALUE"""),747.7)</f>
        <v>747.7</v>
      </c>
      <c r="D86" s="21">
        <f>IFERROR(__xludf.DUMMYFUNCTION("""COMPUTED_VALUE"""),0.7434126139336283)</f>
        <v>0.7434126139</v>
      </c>
      <c r="E86" s="21">
        <f>IFERROR(__xludf.DUMMYFUNCTION("""COMPUTED_VALUE"""),-0.10356094398005156)</f>
        <v>-0.103560944</v>
      </c>
      <c r="F86" s="21">
        <f>IFERROR(__xludf.DUMMYFUNCTION("""COMPUTED_VALUE"""),0.6398516699535768)</f>
        <v>0.63985167</v>
      </c>
      <c r="G86" s="23">
        <f>IFERROR(__xludf.DUMMYFUNCTION("""COMPUTED_VALUE"""),0.5988623676443644)</f>
        <v>0.5988623676</v>
      </c>
      <c r="H86" s="4"/>
      <c r="I86" s="5" t="s">
        <v>313</v>
      </c>
      <c r="J86" s="5" t="s">
        <v>41</v>
      </c>
      <c r="K86" s="5">
        <v>640.0</v>
      </c>
      <c r="L86" s="5">
        <v>1.21856</v>
      </c>
      <c r="M86" s="5">
        <v>-0.55589</v>
      </c>
      <c r="N86" s="5">
        <v>0.66268</v>
      </c>
      <c r="O86" s="5">
        <v>0.51921</v>
      </c>
    </row>
    <row r="87">
      <c r="A87" s="12" t="str">
        <f>IFERROR(__xludf.DUMMYFUNCTION("""COMPUTED_VALUE"""),"Patricio Garino")</f>
        <v>Patricio Garino</v>
      </c>
      <c r="B87" s="13" t="str">
        <f>IFERROR(__xludf.DUMMYFUNCTION("""COMPUTED_VALUE"""),"CAJ")</f>
        <v>CAJ</v>
      </c>
      <c r="C87" s="14">
        <f>IFERROR(__xludf.DUMMYFUNCTION("""COMPUTED_VALUE"""),482.6)</f>
        <v>482.6</v>
      </c>
      <c r="D87" s="15">
        <f>IFERROR(__xludf.DUMMYFUNCTION("""COMPUTED_VALUE"""),-2.6167378163275328)</f>
        <v>-2.616737816</v>
      </c>
      <c r="E87" s="15">
        <f>IFERROR(__xludf.DUMMYFUNCTION("""COMPUTED_VALUE"""),3.231645898761063)</f>
        <v>3.231645899</v>
      </c>
      <c r="F87" s="15">
        <f>IFERROR(__xludf.DUMMYFUNCTION("""COMPUTED_VALUE"""),0.61490808243353)</f>
        <v>0.6149080824</v>
      </c>
      <c r="G87" s="17">
        <f>IFERROR(__xludf.DUMMYFUNCTION("""COMPUTED_VALUE"""),0.3836523470298249)</f>
        <v>0.383652347</v>
      </c>
      <c r="H87" s="4"/>
      <c r="I87" s="5" t="s">
        <v>123</v>
      </c>
      <c r="J87" s="5" t="s">
        <v>14</v>
      </c>
      <c r="K87" s="5">
        <v>424.0</v>
      </c>
      <c r="L87" s="5">
        <v>0.5326</v>
      </c>
      <c r="M87" s="5">
        <v>0.08975</v>
      </c>
      <c r="N87" s="5">
        <v>0.62235</v>
      </c>
      <c r="O87" s="5">
        <v>0.3373</v>
      </c>
    </row>
    <row r="88">
      <c r="A88" s="18" t="str">
        <f>IFERROR(__xludf.DUMMYFUNCTION("""COMPUTED_VALUE"""),"Patrick Richard")</f>
        <v>Patrick Richard</v>
      </c>
      <c r="B88" s="19" t="str">
        <f>IFERROR(__xludf.DUMMYFUNCTION("""COMPUTED_VALUE"""),"JOV")</f>
        <v>JOV</v>
      </c>
      <c r="C88" s="20">
        <f>IFERROR(__xludf.DUMMYFUNCTION("""COMPUTED_VALUE"""),761.6)</f>
        <v>761.6</v>
      </c>
      <c r="D88" s="21">
        <f>IFERROR(__xludf.DUMMYFUNCTION("""COMPUTED_VALUE"""),0.9326665694652296)</f>
        <v>0.9326665695</v>
      </c>
      <c r="E88" s="21">
        <f>IFERROR(__xludf.DUMMYFUNCTION("""COMPUTED_VALUE"""),-0.3260407216634943)</f>
        <v>-0.3260407217</v>
      </c>
      <c r="F88" s="21">
        <f>IFERROR(__xludf.DUMMYFUNCTION("""COMPUTED_VALUE"""),0.6066258478017353)</f>
        <v>0.6066258478</v>
      </c>
      <c r="G88" s="23">
        <f>IFERROR(__xludf.DUMMYFUNCTION("""COMPUTED_VALUE"""),0.5964914178611509)</f>
        <v>0.5964914179</v>
      </c>
      <c r="H88" s="4"/>
      <c r="I88" s="5" t="s">
        <v>119</v>
      </c>
      <c r="J88" s="5" t="s">
        <v>233</v>
      </c>
      <c r="K88" s="5">
        <v>242.0</v>
      </c>
      <c r="L88" s="5">
        <v>1.47514</v>
      </c>
      <c r="M88" s="5">
        <v>-0.89657</v>
      </c>
      <c r="N88" s="5">
        <v>0.57857</v>
      </c>
      <c r="O88" s="5">
        <v>0.18726</v>
      </c>
    </row>
    <row r="89">
      <c r="A89" s="12" t="str">
        <f>IFERROR(__xludf.DUMMYFUNCTION("""COMPUTED_VALUE"""),"Marcelinho Huertas")</f>
        <v>Marcelinho Huertas</v>
      </c>
      <c r="B89" s="13" t="str">
        <f>IFERROR(__xludf.DUMMYFUNCTION("""COMPUTED_VALUE"""),"CAJ")</f>
        <v>CAJ</v>
      </c>
      <c r="C89" s="14">
        <f>IFERROR(__xludf.DUMMYFUNCTION("""COMPUTED_VALUE"""),859.2)</f>
        <v>859.2</v>
      </c>
      <c r="D89" s="15">
        <f>IFERROR(__xludf.DUMMYFUNCTION("""COMPUTED_VALUE"""),-0.26088491768059724)</f>
        <v>-0.2608849177</v>
      </c>
      <c r="E89" s="15">
        <f>IFERROR(__xludf.DUMMYFUNCTION("""COMPUTED_VALUE"""),0.8617461468361691)</f>
        <v>0.8617461468</v>
      </c>
      <c r="F89" s="15">
        <f>IFERROR(__xludf.DUMMYFUNCTION("""COMPUTED_VALUE"""),0.6008612291555719)</f>
        <v>0.6008612292</v>
      </c>
      <c r="G89" s="17">
        <f>IFERROR(__xludf.DUMMYFUNCTION("""COMPUTED_VALUE"""),0.6793687459129453)</f>
        <v>0.6793687459</v>
      </c>
      <c r="H89" s="4"/>
      <c r="I89" s="5" t="s">
        <v>321</v>
      </c>
      <c r="J89" s="5" t="s">
        <v>54</v>
      </c>
      <c r="K89" s="5">
        <v>429.0</v>
      </c>
      <c r="L89" s="5">
        <v>-1.49093</v>
      </c>
      <c r="M89" s="5">
        <v>2.06163</v>
      </c>
      <c r="N89" s="5">
        <v>0.5707</v>
      </c>
      <c r="O89" s="5">
        <v>0.3346</v>
      </c>
    </row>
    <row r="90">
      <c r="A90" s="18" t="str">
        <f>IFERROR(__xludf.DUMMYFUNCTION("""COMPUTED_VALUE"""),"Ovie Soko")</f>
        <v>Ovie Soko</v>
      </c>
      <c r="B90" s="19" t="str">
        <f>IFERROR(__xludf.DUMMYFUNCTION("""COMPUTED_VALUE"""),"MUR")</f>
        <v>MUR</v>
      </c>
      <c r="C90" s="20">
        <f>IFERROR(__xludf.DUMMYFUNCTION("""COMPUTED_VALUE"""),789.5)</f>
        <v>789.5</v>
      </c>
      <c r="D90" s="21">
        <f>IFERROR(__xludf.DUMMYFUNCTION("""COMPUTED_VALUE"""),0.3098085361338039)</f>
        <v>0.3098085361</v>
      </c>
      <c r="E90" s="21">
        <f>IFERROR(__xludf.DUMMYFUNCTION("""COMPUTED_VALUE"""),0.24343502006394857)</f>
        <v>0.2434350201</v>
      </c>
      <c r="F90" s="21">
        <f>IFERROR(__xludf.DUMMYFUNCTION("""COMPUTED_VALUE"""),0.5532435561977525)</f>
        <v>0.5532435562</v>
      </c>
      <c r="G90" s="23">
        <f>IFERROR(__xludf.DUMMYFUNCTION("""COMPUTED_VALUE"""),0.6100740275735361)</f>
        <v>0.6100740276</v>
      </c>
      <c r="H90" s="4"/>
      <c r="I90" s="5" t="s">
        <v>324</v>
      </c>
      <c r="J90" s="5" t="s">
        <v>85</v>
      </c>
      <c r="K90" s="5">
        <v>611.0</v>
      </c>
      <c r="L90" s="5">
        <v>-0.60001</v>
      </c>
      <c r="M90" s="5">
        <v>1.14971</v>
      </c>
      <c r="N90" s="5">
        <v>0.5497</v>
      </c>
      <c r="O90" s="5">
        <v>0.47154</v>
      </c>
    </row>
    <row r="91">
      <c r="A91" s="12" t="str">
        <f>IFERROR(__xludf.DUMMYFUNCTION("""COMPUTED_VALUE"""),"Rodions Kurucs")</f>
        <v>Rodions Kurucs</v>
      </c>
      <c r="B91" s="13" t="str">
        <f>IFERROR(__xludf.DUMMYFUNCTION("""COMPUTED_VALUE"""),"FCB")</f>
        <v>FCB</v>
      </c>
      <c r="C91" s="14">
        <f>IFERROR(__xludf.DUMMYFUNCTION("""COMPUTED_VALUE"""),43.2)</f>
        <v>43.2</v>
      </c>
      <c r="D91" s="15">
        <f>IFERROR(__xludf.DUMMYFUNCTION("""COMPUTED_VALUE"""),-0.12962786584459376)</f>
        <v>-0.1296278658</v>
      </c>
      <c r="E91" s="15">
        <f>IFERROR(__xludf.DUMMYFUNCTION("""COMPUTED_VALUE"""),0.6176760406205828)</f>
        <v>0.6176760406</v>
      </c>
      <c r="F91" s="15">
        <f>IFERROR(__xludf.DUMMYFUNCTION("""COMPUTED_VALUE"""),0.48804817477598905)</f>
        <v>0.4880481748</v>
      </c>
      <c r="G91" s="17">
        <f>IFERROR(__xludf.DUMMYFUNCTION("""COMPUTED_VALUE"""),0.032472018812558984)</f>
        <v>0.03247201881</v>
      </c>
      <c r="H91" s="4"/>
      <c r="I91" s="5" t="s">
        <v>293</v>
      </c>
      <c r="J91" s="5" t="s">
        <v>24</v>
      </c>
      <c r="K91" s="5">
        <v>41.0</v>
      </c>
      <c r="L91" s="5">
        <v>-0.2074</v>
      </c>
      <c r="M91" s="5">
        <v>0.71586</v>
      </c>
      <c r="N91" s="5">
        <v>0.50846</v>
      </c>
      <c r="O91" s="5">
        <v>0.0312</v>
      </c>
    </row>
    <row r="92">
      <c r="A92" s="18" t="str">
        <f>IFERROR(__xludf.DUMMYFUNCTION("""COMPUTED_VALUE"""),"David Jelinek")</f>
        <v>David Jelinek</v>
      </c>
      <c r="B92" s="19" t="str">
        <f>IFERROR(__xludf.DUMMYFUNCTION("""COMPUTED_VALUE"""),"AND")</f>
        <v>AND</v>
      </c>
      <c r="C92" s="20">
        <f>IFERROR(__xludf.DUMMYFUNCTION("""COMPUTED_VALUE"""),671.9)</f>
        <v>671.9</v>
      </c>
      <c r="D92" s="21">
        <f>IFERROR(__xludf.DUMMYFUNCTION("""COMPUTED_VALUE"""),0.5715274440180692)</f>
        <v>0.571527444</v>
      </c>
      <c r="E92" s="21">
        <f>IFERROR(__xludf.DUMMYFUNCTION("""COMPUTED_VALUE"""),-0.08522610717671297)</f>
        <v>-0.08522610718</v>
      </c>
      <c r="F92" s="21">
        <f>IFERROR(__xludf.DUMMYFUNCTION("""COMPUTED_VALUE"""),0.48630133684135624)</f>
        <v>0.4863013368</v>
      </c>
      <c r="G92" s="23">
        <f>IFERROR(__xludf.DUMMYFUNCTION("""COMPUTED_VALUE"""),0.5449243043776225)</f>
        <v>0.5449243044</v>
      </c>
      <c r="H92" s="4"/>
      <c r="I92" s="5" t="s">
        <v>330</v>
      </c>
      <c r="J92" s="5" t="s">
        <v>233</v>
      </c>
      <c r="K92" s="5">
        <v>740.0</v>
      </c>
      <c r="L92" s="5">
        <v>0.75371</v>
      </c>
      <c r="M92" s="5">
        <v>-0.33736</v>
      </c>
      <c r="N92" s="5">
        <v>0.41636</v>
      </c>
      <c r="O92" s="5">
        <v>0.53732</v>
      </c>
    </row>
    <row r="93">
      <c r="A93" s="12" t="str">
        <f>IFERROR(__xludf.DUMMYFUNCTION("""COMPUTED_VALUE"""),"Xabi Beraza")</f>
        <v>Xabi Beraza</v>
      </c>
      <c r="B93" s="13" t="str">
        <f>IFERROR(__xludf.DUMMYFUNCTION("""COMPUTED_VALUE"""),"GBC")</f>
        <v>GBC</v>
      </c>
      <c r="C93" s="14">
        <f>IFERROR(__xludf.DUMMYFUNCTION("""COMPUTED_VALUE"""),77.1)</f>
        <v>77.1</v>
      </c>
      <c r="D93" s="15">
        <f>IFERROR(__xludf.DUMMYFUNCTION("""COMPUTED_VALUE"""),0.09311492149364994)</f>
        <v>0.09311492149</v>
      </c>
      <c r="E93" s="15">
        <f>IFERROR(__xludf.DUMMYFUNCTION("""COMPUTED_VALUE"""),0.3601192682174983)</f>
        <v>0.3601192682</v>
      </c>
      <c r="F93" s="15">
        <f>IFERROR(__xludf.DUMMYFUNCTION("""COMPUTED_VALUE"""),0.45323418971114826)</f>
        <v>0.4532341897</v>
      </c>
      <c r="G93" s="17">
        <f>IFERROR(__xludf.DUMMYFUNCTION("""COMPUTED_VALUE"""),0.05745388975725544)</f>
        <v>0.05745388976</v>
      </c>
      <c r="H93" s="4"/>
      <c r="I93" s="5" t="s">
        <v>334</v>
      </c>
      <c r="J93" s="5" t="s">
        <v>54</v>
      </c>
      <c r="K93" s="5">
        <v>679.0</v>
      </c>
      <c r="L93" s="5">
        <v>-0.22852</v>
      </c>
      <c r="M93" s="5">
        <v>0.62567</v>
      </c>
      <c r="N93" s="5">
        <v>0.39714</v>
      </c>
      <c r="O93" s="5">
        <v>0.49324</v>
      </c>
    </row>
    <row r="94">
      <c r="A94" s="18" t="str">
        <f>IFERROR(__xludf.DUMMYFUNCTION("""COMPUTED_VALUE"""),"Fran Vazquez")</f>
        <v>Fran Vazquez</v>
      </c>
      <c r="B94" s="19" t="str">
        <f>IFERROR(__xludf.DUMMYFUNCTION("""COMPUTED_VALUE"""),"CAN")</f>
        <v>CAN</v>
      </c>
      <c r="C94" s="20">
        <f>IFERROR(__xludf.DUMMYFUNCTION("""COMPUTED_VALUE"""),462.0)</f>
        <v>462</v>
      </c>
      <c r="D94" s="21">
        <f>IFERROR(__xludf.DUMMYFUNCTION("""COMPUTED_VALUE"""),-0.7404032435137571)</f>
        <v>-0.7404032435</v>
      </c>
      <c r="E94" s="21">
        <f>IFERROR(__xludf.DUMMYFUNCTION("""COMPUTED_VALUE"""),1.1681594233614803)</f>
        <v>1.168159423</v>
      </c>
      <c r="F94" s="21">
        <f>IFERROR(__xludf.DUMMYFUNCTION("""COMPUTED_VALUE"""),0.4277561798477232)</f>
        <v>0.4277561798</v>
      </c>
      <c r="G94" s="23">
        <f>IFERROR(__xludf.DUMMYFUNCTION("""COMPUTED_VALUE"""),0.34030408400245526)</f>
        <v>0.340304084</v>
      </c>
      <c r="H94" s="4"/>
      <c r="I94" s="5" t="s">
        <v>337</v>
      </c>
      <c r="J94" s="5" t="s">
        <v>184</v>
      </c>
      <c r="K94" s="5">
        <v>680.0</v>
      </c>
      <c r="L94" s="5">
        <v>1.29484</v>
      </c>
      <c r="M94" s="5">
        <v>-0.93116</v>
      </c>
      <c r="N94" s="5">
        <v>0.36369</v>
      </c>
      <c r="O94" s="5">
        <v>0.4832</v>
      </c>
    </row>
    <row r="95">
      <c r="A95" s="12" t="str">
        <f>IFERROR(__xludf.DUMMYFUNCTION("""COMPUTED_VALUE"""),"Mamadou Niang")</f>
        <v>Mamadou Niang</v>
      </c>
      <c r="B95" s="13" t="str">
        <f>IFERROR(__xludf.DUMMYFUNCTION("""COMPUTED_VALUE"""),"CAN")</f>
        <v>CAN</v>
      </c>
      <c r="C95" s="14">
        <f>IFERROR(__xludf.DUMMYFUNCTION("""COMPUTED_VALUE"""),232.3)</f>
        <v>232.3</v>
      </c>
      <c r="D95" s="15">
        <f>IFERROR(__xludf.DUMMYFUNCTION("""COMPUTED_VALUE"""),-3.0998355150342354)</f>
        <v>-3.099835515</v>
      </c>
      <c r="E95" s="15">
        <f>IFERROR(__xludf.DUMMYFUNCTION("""COMPUTED_VALUE"""),3.416685189037442)</f>
        <v>3.416685189</v>
      </c>
      <c r="F95" s="15">
        <f>IFERROR(__xludf.DUMMYFUNCTION("""COMPUTED_VALUE"""),0.3168496740032067)</f>
        <v>0.316849674</v>
      </c>
      <c r="G95" s="17">
        <f>IFERROR(__xludf.DUMMYFUNCTION("""COMPUTED_VALUE"""),0.16329285530832516)</f>
        <v>0.1632928553</v>
      </c>
      <c r="H95" s="4"/>
      <c r="I95" s="5" t="s">
        <v>341</v>
      </c>
      <c r="J95" s="5" t="s">
        <v>184</v>
      </c>
      <c r="K95" s="5">
        <v>310.0</v>
      </c>
      <c r="L95" s="5">
        <v>4.25092</v>
      </c>
      <c r="M95" s="5">
        <v>-3.90381</v>
      </c>
      <c r="N95" s="5">
        <v>0.34711</v>
      </c>
      <c r="O95" s="5">
        <v>0.21856</v>
      </c>
    </row>
    <row r="96">
      <c r="A96" s="18" t="str">
        <f>IFERROR(__xludf.DUMMYFUNCTION("""COMPUTED_VALUE"""),"Charlon Kloof")</f>
        <v>Charlon Kloof</v>
      </c>
      <c r="B96" s="19" t="str">
        <f>IFERROR(__xludf.DUMMYFUNCTION("""COMPUTED_VALUE"""),"MUR")</f>
        <v>MUR</v>
      </c>
      <c r="C96" s="20">
        <f>IFERROR(__xludf.DUMMYFUNCTION("""COMPUTED_VALUE"""),624.9)</f>
        <v>624.9</v>
      </c>
      <c r="D96" s="21">
        <f>IFERROR(__xludf.DUMMYFUNCTION("""COMPUTED_VALUE"""),1.2452059822494173)</f>
        <v>1.245205982</v>
      </c>
      <c r="E96" s="21">
        <f>IFERROR(__xludf.DUMMYFUNCTION("""COMPUTED_VALUE"""),-0.9426973760716906)</f>
        <v>-0.9426973761</v>
      </c>
      <c r="F96" s="21">
        <f>IFERROR(__xludf.DUMMYFUNCTION("""COMPUTED_VALUE"""),0.3025086061777267)</f>
        <v>0.3025086062</v>
      </c>
      <c r="G96" s="23">
        <f>IFERROR(__xludf.DUMMYFUNCTION("""COMPUTED_VALUE"""),0.4354616805666686)</f>
        <v>0.4354616806</v>
      </c>
      <c r="H96" s="4"/>
      <c r="I96" s="5" t="s">
        <v>344</v>
      </c>
      <c r="J96" s="5" t="s">
        <v>74</v>
      </c>
      <c r="K96" s="5">
        <v>757.0</v>
      </c>
      <c r="L96" s="5">
        <v>1.28129</v>
      </c>
      <c r="M96" s="5">
        <v>-0.93596</v>
      </c>
      <c r="N96" s="5">
        <v>0.34532</v>
      </c>
      <c r="O96" s="5">
        <v>0.54801</v>
      </c>
    </row>
    <row r="97">
      <c r="A97" s="12" t="str">
        <f>IFERROR(__xludf.DUMMYFUNCTION("""COMPUTED_VALUE"""),"Xavi Rey")</f>
        <v>Xavi Rey</v>
      </c>
      <c r="B97" s="13" t="str">
        <f>IFERROR(__xludf.DUMMYFUNCTION("""COMPUTED_VALUE"""),"ZAR")</f>
        <v>ZAR</v>
      </c>
      <c r="C97" s="14">
        <f>IFERROR(__xludf.DUMMYFUNCTION("""COMPUTED_VALUE"""),139.5)</f>
        <v>139.5</v>
      </c>
      <c r="D97" s="15">
        <f>IFERROR(__xludf.DUMMYFUNCTION("""COMPUTED_VALUE"""),-0.7725937595543828)</f>
        <v>-0.7725937596</v>
      </c>
      <c r="E97" s="15">
        <f>IFERROR(__xludf.DUMMYFUNCTION("""COMPUTED_VALUE"""),1.0711135956997133)</f>
        <v>1.071113596</v>
      </c>
      <c r="F97" s="15">
        <f>IFERROR(__xludf.DUMMYFUNCTION("""COMPUTED_VALUE"""),0.29851983614533045)</f>
        <v>0.2985198361</v>
      </c>
      <c r="G97" s="17">
        <f>IFERROR(__xludf.DUMMYFUNCTION("""COMPUTED_VALUE"""),0.09755846621969295)</f>
        <v>0.09755846622</v>
      </c>
      <c r="H97" s="4"/>
      <c r="I97" s="5" t="s">
        <v>345</v>
      </c>
      <c r="J97" s="5" t="s">
        <v>97</v>
      </c>
      <c r="K97" s="5">
        <v>777.0</v>
      </c>
      <c r="L97" s="5">
        <v>1.27726</v>
      </c>
      <c r="M97" s="5">
        <v>-0.98909</v>
      </c>
      <c r="N97" s="5">
        <v>0.28818</v>
      </c>
      <c r="O97" s="5">
        <v>0.53964</v>
      </c>
    </row>
    <row r="98">
      <c r="A98" s="18" t="str">
        <f>IFERROR(__xludf.DUMMYFUNCTION("""COMPUTED_VALUE"""),"Mads Sturup")</f>
        <v>Mads Sturup</v>
      </c>
      <c r="B98" s="19" t="str">
        <f>IFERROR(__xludf.DUMMYFUNCTION("""COMPUTED_VALUE"""),"CAN")</f>
        <v>CAN</v>
      </c>
      <c r="C98" s="20">
        <f>IFERROR(__xludf.DUMMYFUNCTION("""COMPUTED_VALUE"""),15.5)</f>
        <v>15.5</v>
      </c>
      <c r="D98" s="21">
        <f>IFERROR(__xludf.DUMMYFUNCTION("""COMPUTED_VALUE"""),0.48779366505763117)</f>
        <v>0.4877936651</v>
      </c>
      <c r="E98" s="21">
        <f>IFERROR(__xludf.DUMMYFUNCTION("""COMPUTED_VALUE"""),-0.2842697259074609)</f>
        <v>-0.2842697259</v>
      </c>
      <c r="F98" s="21">
        <f>IFERROR(__xludf.DUMMYFUNCTION("""COMPUTED_VALUE"""),0.20352393915017028)</f>
        <v>0.2035239392</v>
      </c>
      <c r="G98" s="23">
        <f>IFERROR(__xludf.DUMMYFUNCTION("""COMPUTED_VALUE"""),0.010362620375594543)</f>
        <v>0.01036262038</v>
      </c>
      <c r="H98" s="4"/>
      <c r="I98" s="5" t="s">
        <v>350</v>
      </c>
      <c r="J98" s="5" t="s">
        <v>24</v>
      </c>
      <c r="K98" s="5">
        <v>260.0</v>
      </c>
      <c r="L98" s="5">
        <v>-1.35771</v>
      </c>
      <c r="M98" s="5">
        <v>1.62841</v>
      </c>
      <c r="N98" s="5">
        <v>0.2707</v>
      </c>
      <c r="O98" s="5">
        <v>0.17892</v>
      </c>
    </row>
    <row r="99">
      <c r="A99" s="12" t="str">
        <f>IFERROR(__xludf.DUMMYFUNCTION("""COMPUTED_VALUE"""),"Paul Stoll")</f>
        <v>Paul Stoll</v>
      </c>
      <c r="B99" s="13" t="str">
        <f>IFERROR(__xludf.DUMMYFUNCTION("""COMPUTED_VALUE"""),"ZAR")</f>
        <v>ZAR</v>
      </c>
      <c r="C99" s="14">
        <f>IFERROR(__xludf.DUMMYFUNCTION("""COMPUTED_VALUE"""),194.2)</f>
        <v>194.2</v>
      </c>
      <c r="D99" s="15">
        <f>IFERROR(__xludf.DUMMYFUNCTION("""COMPUTED_VALUE"""),0.4016097681280541)</f>
        <v>0.4016097681</v>
      </c>
      <c r="E99" s="15">
        <f>IFERROR(__xludf.DUMMYFUNCTION("""COMPUTED_VALUE"""),-0.20702225381633987)</f>
        <v>-0.2070222538</v>
      </c>
      <c r="F99" s="15">
        <f>IFERROR(__xludf.DUMMYFUNCTION("""COMPUTED_VALUE"""),0.19458751431171423)</f>
        <v>0.1945875143</v>
      </c>
      <c r="G99" s="17">
        <f>IFERROR(__xludf.DUMMYFUNCTION("""COMPUTED_VALUE"""),0.12967152841224738)</f>
        <v>0.1296715284</v>
      </c>
      <c r="H99" s="4"/>
      <c r="I99" s="5" t="s">
        <v>351</v>
      </c>
      <c r="J99" s="5" t="s">
        <v>54</v>
      </c>
      <c r="K99" s="5">
        <v>214.0</v>
      </c>
      <c r="L99" s="5">
        <v>-2.78632</v>
      </c>
      <c r="M99" s="5">
        <v>3.05124</v>
      </c>
      <c r="N99" s="5">
        <v>0.26491</v>
      </c>
      <c r="O99" s="5">
        <v>0.14719</v>
      </c>
    </row>
    <row r="100">
      <c r="A100" s="18" t="str">
        <f>IFERROR(__xludf.DUMMYFUNCTION("""COMPUTED_VALUE"""),"Rolands Smits")</f>
        <v>Rolands Smits</v>
      </c>
      <c r="B100" s="19" t="str">
        <f>IFERROR(__xludf.DUMMYFUNCTION("""COMPUTED_VALUE"""),"MON")</f>
        <v>MON</v>
      </c>
      <c r="C100" s="20">
        <f>IFERROR(__xludf.DUMMYFUNCTION("""COMPUTED_VALUE"""),863.8)</f>
        <v>863.8</v>
      </c>
      <c r="D100" s="21">
        <f>IFERROR(__xludf.DUMMYFUNCTION("""COMPUTED_VALUE"""),1.7172416255976906)</f>
        <v>1.717241626</v>
      </c>
      <c r="E100" s="21">
        <f>IFERROR(__xludf.DUMMYFUNCTION("""COMPUTED_VALUE"""),-1.6012711990486324)</f>
        <v>-1.601271199</v>
      </c>
      <c r="F100" s="21">
        <f>IFERROR(__xludf.DUMMYFUNCTION("""COMPUTED_VALUE"""),0.1159704265490582)</f>
        <v>0.1159704265</v>
      </c>
      <c r="G100" s="23">
        <f>IFERROR(__xludf.DUMMYFUNCTION("""COMPUTED_VALUE"""),0.5501571888337838)</f>
        <v>0.5501571888</v>
      </c>
      <c r="H100" s="4"/>
      <c r="I100" s="5" t="s">
        <v>356</v>
      </c>
      <c r="J100" s="5" t="s">
        <v>85</v>
      </c>
      <c r="K100" s="5">
        <v>644.0</v>
      </c>
      <c r="L100" s="5">
        <v>1.54601</v>
      </c>
      <c r="M100" s="5">
        <v>-1.29324</v>
      </c>
      <c r="N100" s="5">
        <v>0.25277</v>
      </c>
      <c r="O100" s="5">
        <v>0.43878</v>
      </c>
    </row>
    <row r="101">
      <c r="A101" s="12" t="str">
        <f>IFERROR(__xludf.DUMMYFUNCTION("""COMPUTED_VALUE"""),"Moussa Diagne")</f>
        <v>Moussa Diagne</v>
      </c>
      <c r="B101" s="13" t="str">
        <f>IFERROR(__xludf.DUMMYFUNCTION("""COMPUTED_VALUE"""),"AND")</f>
        <v>AND</v>
      </c>
      <c r="C101" s="14">
        <f>IFERROR(__xludf.DUMMYFUNCTION("""COMPUTED_VALUE"""),516.7)</f>
        <v>516.7</v>
      </c>
      <c r="D101" s="15">
        <f>IFERROR(__xludf.DUMMYFUNCTION("""COMPUTED_VALUE"""),-1.29816308236376)</f>
        <v>-1.298163082</v>
      </c>
      <c r="E101" s="15">
        <f>IFERROR(__xludf.DUMMYFUNCTION("""COMPUTED_VALUE"""),1.4099130561118356)</f>
        <v>1.409913056</v>
      </c>
      <c r="F101" s="15">
        <f>IFERROR(__xludf.DUMMYFUNCTION("""COMPUTED_VALUE"""),0.1117499737480756)</f>
        <v>0.1117499737</v>
      </c>
      <c r="G101" s="17">
        <f>IFERROR(__xludf.DUMMYFUNCTION("""COMPUTED_VALUE"""),0.3559251960268201)</f>
        <v>0.355925196</v>
      </c>
      <c r="H101" s="4"/>
      <c r="I101" s="5" t="s">
        <v>359</v>
      </c>
      <c r="J101" s="5" t="s">
        <v>89</v>
      </c>
      <c r="K101" s="5">
        <v>598.0</v>
      </c>
      <c r="L101" s="5">
        <v>1.0788</v>
      </c>
      <c r="M101" s="5">
        <v>-0.86288</v>
      </c>
      <c r="N101" s="5">
        <v>0.21592</v>
      </c>
      <c r="O101" s="5">
        <v>0.43377</v>
      </c>
    </row>
    <row r="102">
      <c r="A102" s="18" t="str">
        <f>IFERROR(__xludf.DUMMYFUNCTION("""COMPUTED_VALUE"""),"Marcus Eriksson")</f>
        <v>Marcus Eriksson</v>
      </c>
      <c r="B102" s="19" t="str">
        <f>IFERROR(__xludf.DUMMYFUNCTION("""COMPUTED_VALUE"""),"GCN")</f>
        <v>GCN</v>
      </c>
      <c r="C102" s="20">
        <f>IFERROR(__xludf.DUMMYFUNCTION("""COMPUTED_VALUE"""),617.3)</f>
        <v>617.3</v>
      </c>
      <c r="D102" s="21">
        <f>IFERROR(__xludf.DUMMYFUNCTION("""COMPUTED_VALUE"""),-0.6724904139520564)</f>
        <v>-0.672490414</v>
      </c>
      <c r="E102" s="21">
        <f>IFERROR(__xludf.DUMMYFUNCTION("""COMPUTED_VALUE"""),0.7805582982706527)</f>
        <v>0.7805582983</v>
      </c>
      <c r="F102" s="21">
        <f>IFERROR(__xludf.DUMMYFUNCTION("""COMPUTED_VALUE"""),0.10806788431859626)</f>
        <v>0.1080678843</v>
      </c>
      <c r="G102" s="23">
        <f>IFERROR(__xludf.DUMMYFUNCTION("""COMPUTED_VALUE"""),0.3942375382752053)</f>
        <v>0.3942375383</v>
      </c>
      <c r="H102" s="4"/>
      <c r="I102" s="5" t="s">
        <v>362</v>
      </c>
      <c r="J102" s="5" t="s">
        <v>221</v>
      </c>
      <c r="K102" s="5">
        <v>18.0</v>
      </c>
      <c r="L102" s="5">
        <v>0.0466</v>
      </c>
      <c r="M102" s="5">
        <v>0.10892</v>
      </c>
      <c r="N102" s="5">
        <v>0.15553</v>
      </c>
      <c r="O102" s="5">
        <v>0.01181</v>
      </c>
    </row>
    <row r="103">
      <c r="A103" s="12" t="str">
        <f>IFERROR(__xludf.DUMMYFUNCTION("""COMPUTED_VALUE"""),"Nemanja Nedovic")</f>
        <v>Nemanja Nedovic</v>
      </c>
      <c r="B103" s="13" t="str">
        <f>IFERROR(__xludf.DUMMYFUNCTION("""COMPUTED_VALUE"""),"UNI")</f>
        <v>UNI</v>
      </c>
      <c r="C103" s="14">
        <f>IFERROR(__xludf.DUMMYFUNCTION("""COMPUTED_VALUE"""),740.0)</f>
        <v>740</v>
      </c>
      <c r="D103" s="15">
        <f>IFERROR(__xludf.DUMMYFUNCTION("""COMPUTED_VALUE"""),5.106485038272702)</f>
        <v>5.106485038</v>
      </c>
      <c r="E103" s="15">
        <f>IFERROR(__xludf.DUMMYFUNCTION("""COMPUTED_VALUE"""),-4.999010445282636)</f>
        <v>-4.999010445</v>
      </c>
      <c r="F103" s="15">
        <f>IFERROR(__xludf.DUMMYFUNCTION("""COMPUTED_VALUE"""),0.10747459299006579)</f>
        <v>0.107474593</v>
      </c>
      <c r="G103" s="17">
        <f>IFERROR(__xludf.DUMMYFUNCTION("""COMPUTED_VALUE"""),0.4738019415284246)</f>
        <v>0.4738019415</v>
      </c>
      <c r="H103" s="4"/>
      <c r="I103" s="5" t="s">
        <v>366</v>
      </c>
      <c r="J103" s="5" t="s">
        <v>74</v>
      </c>
      <c r="K103" s="5">
        <v>25.0</v>
      </c>
      <c r="L103" s="5">
        <v>0.35423</v>
      </c>
      <c r="M103" s="5">
        <v>-0.20018</v>
      </c>
      <c r="N103" s="5">
        <v>0.15405</v>
      </c>
      <c r="O103" s="5">
        <v>0.01668</v>
      </c>
    </row>
    <row r="104">
      <c r="A104" s="18" t="str">
        <f>IFERROR(__xludf.DUMMYFUNCTION("""COMPUTED_VALUE"""),"Dylan Ennis")</f>
        <v>Dylan Ennis</v>
      </c>
      <c r="B104" s="19" t="str">
        <f>IFERROR(__xludf.DUMMYFUNCTION("""COMPUTED_VALUE"""),"ZAR")</f>
        <v>ZAR</v>
      </c>
      <c r="C104" s="20">
        <f>IFERROR(__xludf.DUMMYFUNCTION("""COMPUTED_VALUE"""),164.4)</f>
        <v>164.4</v>
      </c>
      <c r="D104" s="21">
        <f>IFERROR(__xludf.DUMMYFUNCTION("""COMPUTED_VALUE"""),-0.22719498683248338)</f>
        <v>-0.2271949868</v>
      </c>
      <c r="E104" s="21">
        <f>IFERROR(__xludf.DUMMYFUNCTION("""COMPUTED_VALUE"""),0.3342412690415755)</f>
        <v>0.334241269</v>
      </c>
      <c r="F104" s="21">
        <f>IFERROR(__xludf.DUMMYFUNCTION("""COMPUTED_VALUE"""),0.1070462822090921)</f>
        <v>0.1070462822</v>
      </c>
      <c r="G104" s="23">
        <f>IFERROR(__xludf.DUMMYFUNCTION("""COMPUTED_VALUE"""),0.1053946069584952)</f>
        <v>0.105394607</v>
      </c>
      <c r="H104" s="4"/>
      <c r="I104" s="5" t="s">
        <v>371</v>
      </c>
      <c r="J104" s="5" t="s">
        <v>74</v>
      </c>
      <c r="K104" s="5">
        <v>717.0</v>
      </c>
      <c r="L104" s="5">
        <v>1.60718</v>
      </c>
      <c r="M104" s="5">
        <v>-1.48278</v>
      </c>
      <c r="N104" s="5">
        <v>0.1244</v>
      </c>
      <c r="O104" s="5">
        <v>0.46997</v>
      </c>
    </row>
    <row r="105">
      <c r="A105" s="12" t="str">
        <f>IFERROR(__xludf.DUMMYFUNCTION("""COMPUTED_VALUE"""),"Jordan McRae")</f>
        <v>Jordan McRae</v>
      </c>
      <c r="B105" s="13" t="str">
        <f>IFERROR(__xludf.DUMMYFUNCTION("""COMPUTED_VALUE"""),"CAJ")</f>
        <v>CAJ</v>
      </c>
      <c r="C105" s="14">
        <f>IFERROR(__xludf.DUMMYFUNCTION("""COMPUTED_VALUE"""),17.6)</f>
        <v>17.6</v>
      </c>
      <c r="D105" s="15">
        <f>IFERROR(__xludf.DUMMYFUNCTION("""COMPUTED_VALUE"""),-0.47227332679004275)</f>
        <v>-0.4722733268</v>
      </c>
      <c r="E105" s="15">
        <f>IFERROR(__xludf.DUMMYFUNCTION("""COMPUTED_VALUE"""),0.5779866212252246)</f>
        <v>0.5779866212</v>
      </c>
      <c r="F105" s="15">
        <f>IFERROR(__xludf.DUMMYFUNCTION("""COMPUTED_VALUE"""),0.10571329443518185)</f>
        <v>0.1057132944</v>
      </c>
      <c r="G105" s="17">
        <f>IFERROR(__xludf.DUMMYFUNCTION("""COMPUTED_VALUE"""),0.011266941029576484)</f>
        <v>0.01126694103</v>
      </c>
      <c r="H105" s="4"/>
      <c r="I105" s="5" t="s">
        <v>372</v>
      </c>
      <c r="J105" s="5" t="s">
        <v>41</v>
      </c>
      <c r="K105" s="5">
        <v>18.0</v>
      </c>
      <c r="L105" s="5">
        <v>-0.36948</v>
      </c>
      <c r="M105" s="5">
        <v>0.48402</v>
      </c>
      <c r="N105" s="5">
        <v>0.11454</v>
      </c>
      <c r="O105" s="5">
        <v>0.01135</v>
      </c>
    </row>
    <row r="106">
      <c r="A106" s="18" t="str">
        <f>IFERROR(__xludf.DUMMYFUNCTION("""COMPUTED_VALUE"""),"Alex Lopez")</f>
        <v>Alex Lopez</v>
      </c>
      <c r="B106" s="19" t="str">
        <f>IFERROR(__xludf.DUMMYFUNCTION("""COMPUTED_VALUE"""),"SPB")</f>
        <v>SPB</v>
      </c>
      <c r="C106" s="20">
        <f>IFERROR(__xludf.DUMMYFUNCTION("""COMPUTED_VALUE"""),678.9)</f>
        <v>678.9</v>
      </c>
      <c r="D106" s="21">
        <f>IFERROR(__xludf.DUMMYFUNCTION("""COMPUTED_VALUE"""),-1.278353382433272)</f>
        <v>-1.278353382</v>
      </c>
      <c r="E106" s="21">
        <f>IFERROR(__xludf.DUMMYFUNCTION("""COMPUTED_VALUE"""),1.3825660887978328)</f>
        <v>1.382566089</v>
      </c>
      <c r="F106" s="21">
        <f>IFERROR(__xludf.DUMMYFUNCTION("""COMPUTED_VALUE"""),0.10421270636456076)</f>
        <v>0.1042127064</v>
      </c>
      <c r="G106" s="23">
        <f>IFERROR(__xludf.DUMMYFUNCTION("""COMPUTED_VALUE"""),0.43234814994627635)</f>
        <v>0.4323481499</v>
      </c>
      <c r="H106" s="4"/>
      <c r="I106" s="5" t="s">
        <v>164</v>
      </c>
      <c r="J106" s="5" t="s">
        <v>41</v>
      </c>
      <c r="K106" s="5">
        <v>140.0</v>
      </c>
      <c r="L106" s="5">
        <v>0.73406</v>
      </c>
      <c r="M106" s="5">
        <v>-0.65595</v>
      </c>
      <c r="N106" s="5">
        <v>0.07811</v>
      </c>
      <c r="O106" s="5">
        <v>0.08883</v>
      </c>
    </row>
    <row r="107">
      <c r="A107" s="12" t="str">
        <f>IFERROR(__xludf.DUMMYFUNCTION("""COMPUTED_VALUE"""),"Tai Odiase")</f>
        <v>Tai Odiase</v>
      </c>
      <c r="B107" s="13" t="str">
        <f>IFERROR(__xludf.DUMMYFUNCTION("""COMPUTED_VALUE"""),"CAN")</f>
        <v>CAN</v>
      </c>
      <c r="C107" s="14">
        <f>IFERROR(__xludf.DUMMYFUNCTION("""COMPUTED_VALUE"""),46.1)</f>
        <v>46.1</v>
      </c>
      <c r="D107" s="15">
        <f>IFERROR(__xludf.DUMMYFUNCTION("""COMPUTED_VALUE"""),-0.4733206324843598)</f>
        <v>-0.4733206325</v>
      </c>
      <c r="E107" s="15">
        <f>IFERROR(__xludf.DUMMYFUNCTION("""COMPUTED_VALUE"""),0.5746259865477762)</f>
        <v>0.5746259865</v>
      </c>
      <c r="F107" s="15">
        <f>IFERROR(__xludf.DUMMYFUNCTION("""COMPUTED_VALUE"""),0.10130535406341641)</f>
        <v>0.1013053541</v>
      </c>
      <c r="G107" s="17">
        <f>IFERROR(__xludf.DUMMYFUNCTION("""COMPUTED_VALUE"""),0.029390718944187686)</f>
        <v>0.02939071894</v>
      </c>
      <c r="H107" s="4"/>
      <c r="I107" s="5" t="s">
        <v>377</v>
      </c>
      <c r="J107" s="5" t="s">
        <v>59</v>
      </c>
      <c r="K107" s="5">
        <v>2.0</v>
      </c>
      <c r="L107" s="5">
        <v>0.13983</v>
      </c>
      <c r="M107" s="5">
        <v>-0.06558</v>
      </c>
      <c r="N107" s="5">
        <v>0.07425</v>
      </c>
      <c r="O107" s="5">
        <v>0.00141</v>
      </c>
    </row>
    <row r="108">
      <c r="A108" s="18" t="str">
        <f>IFERROR(__xludf.DUMMYFUNCTION("""COMPUTED_VALUE"""),"Alberto Corbacho")</f>
        <v>Alberto Corbacho</v>
      </c>
      <c r="B108" s="19" t="str">
        <f>IFERROR(__xludf.DUMMYFUNCTION("""COMPUTED_VALUE"""),"OBR")</f>
        <v>OBR</v>
      </c>
      <c r="C108" s="20">
        <f>IFERROR(__xludf.DUMMYFUNCTION("""COMPUTED_VALUE"""),311.4)</f>
        <v>311.4</v>
      </c>
      <c r="D108" s="21">
        <f>IFERROR(__xludf.DUMMYFUNCTION("""COMPUTED_VALUE"""),5.173862220277382)</f>
        <v>5.17386222</v>
      </c>
      <c r="E108" s="21">
        <f>IFERROR(__xludf.DUMMYFUNCTION("""COMPUTED_VALUE"""),-5.081124931393687)</f>
        <v>-5.081124931</v>
      </c>
      <c r="F108" s="21">
        <f>IFERROR(__xludf.DUMMYFUNCTION("""COMPUTED_VALUE"""),0.0927372888836957)</f>
        <v>0.09273728888</v>
      </c>
      <c r="G108" s="23">
        <f>IFERROR(__xludf.DUMMYFUNCTION("""COMPUTED_VALUE"""),0.20153852532777572)</f>
        <v>0.2015385253</v>
      </c>
      <c r="H108" s="4"/>
      <c r="I108" s="5" t="s">
        <v>380</v>
      </c>
      <c r="J108" s="5" t="s">
        <v>74</v>
      </c>
      <c r="K108" s="5">
        <v>54.0</v>
      </c>
      <c r="L108" s="5">
        <v>-0.25978</v>
      </c>
      <c r="M108" s="5">
        <v>0.30263</v>
      </c>
      <c r="N108" s="5">
        <v>0.04285</v>
      </c>
      <c r="O108" s="5">
        <v>0.03429</v>
      </c>
    </row>
    <row r="109">
      <c r="A109" s="12" t="str">
        <f>IFERROR(__xludf.DUMMYFUNCTION("""COMPUTED_VALUE"""),"Tryggvi Hlinason")</f>
        <v>Tryggvi Hlinason</v>
      </c>
      <c r="B109" s="13" t="str">
        <f>IFERROR(__xludf.DUMMYFUNCTION("""COMPUTED_VALUE"""),"VAL")</f>
        <v>VAL</v>
      </c>
      <c r="C109" s="14">
        <f>IFERROR(__xludf.DUMMYFUNCTION("""COMPUTED_VALUE"""),98.1)</f>
        <v>98.1</v>
      </c>
      <c r="D109" s="15">
        <f>IFERROR(__xludf.DUMMYFUNCTION("""COMPUTED_VALUE"""),0.6411635462855407)</f>
        <v>0.6411635463</v>
      </c>
      <c r="E109" s="15">
        <f>IFERROR(__xludf.DUMMYFUNCTION("""COMPUTED_VALUE"""),-0.562015692362018)</f>
        <v>-0.5620156924</v>
      </c>
      <c r="F109" s="15">
        <f>IFERROR(__xludf.DUMMYFUNCTION("""COMPUTED_VALUE"""),0.07914785392352279)</f>
        <v>0.07914785392</v>
      </c>
      <c r="G109" s="17">
        <f>IFERROR(__xludf.DUMMYFUNCTION("""COMPUTED_VALUE"""),0.06280553522006589)</f>
        <v>0.06280553522</v>
      </c>
      <c r="H109" s="4"/>
      <c r="I109" s="5" t="s">
        <v>385</v>
      </c>
      <c r="J109" s="5" t="s">
        <v>74</v>
      </c>
      <c r="K109" s="5">
        <v>538.0</v>
      </c>
      <c r="L109" s="5">
        <v>-1.64706</v>
      </c>
      <c r="M109" s="5">
        <v>1.66716</v>
      </c>
      <c r="N109" s="5">
        <v>0.0201</v>
      </c>
      <c r="O109" s="5">
        <v>0.33502</v>
      </c>
    </row>
    <row r="110">
      <c r="A110" s="18" t="str">
        <f>IFERROR(__xludf.DUMMYFUNCTION("""COMPUTED_VALUE"""),"Alejandro Vera")</f>
        <v>Alejandro Vera</v>
      </c>
      <c r="B110" s="19" t="str">
        <f>IFERROR(__xludf.DUMMYFUNCTION("""COMPUTED_VALUE"""),"VAL")</f>
        <v>VAL</v>
      </c>
      <c r="C110" s="20">
        <f>IFERROR(__xludf.DUMMYFUNCTION("""COMPUTED_VALUE"""),2.2)</f>
        <v>2.2</v>
      </c>
      <c r="D110" s="21">
        <f>IFERROR(__xludf.DUMMYFUNCTION("""COMPUTED_VALUE"""),0.16001545926296018)</f>
        <v>0.1600154593</v>
      </c>
      <c r="E110" s="21">
        <f>IFERROR(__xludf.DUMMYFUNCTION("""COMPUTED_VALUE"""),-0.08854737741620121)</f>
        <v>-0.08854737742</v>
      </c>
      <c r="F110" s="21">
        <f>IFERROR(__xludf.DUMMYFUNCTION("""COMPUTED_VALUE"""),0.07146808184675897)</f>
        <v>0.07146808185</v>
      </c>
      <c r="G110" s="23">
        <f>IFERROR(__xludf.DUMMYFUNCTION("""COMPUTED_VALUE"""),0.0014032804214125206)</f>
        <v>0.001403280421</v>
      </c>
      <c r="H110" s="4"/>
      <c r="I110" s="5" t="s">
        <v>191</v>
      </c>
      <c r="J110" s="5" t="s">
        <v>22</v>
      </c>
      <c r="K110" s="5">
        <v>620.0</v>
      </c>
      <c r="L110" s="5">
        <v>-0.2699</v>
      </c>
      <c r="M110" s="5">
        <v>0.27605</v>
      </c>
      <c r="N110" s="5">
        <v>0.00615</v>
      </c>
      <c r="O110" s="5">
        <v>0.3777</v>
      </c>
    </row>
    <row r="111">
      <c r="A111" s="12" t="str">
        <f>IFERROR(__xludf.DUMMYFUNCTION("""COMPUTED_VALUE"""),"Sergio Llorente")</f>
        <v>Sergio Llorente</v>
      </c>
      <c r="B111" s="13" t="str">
        <f>IFERROR(__xludf.DUMMYFUNCTION("""COMPUTED_VALUE"""),"MON")</f>
        <v>MON</v>
      </c>
      <c r="C111" s="14">
        <f>IFERROR(__xludf.DUMMYFUNCTION("""COMPUTED_VALUE"""),49.2)</f>
        <v>49.2</v>
      </c>
      <c r="D111" s="15">
        <f>IFERROR(__xludf.DUMMYFUNCTION("""COMPUTED_VALUE"""),0.2057004149316649)</f>
        <v>0.2057004149</v>
      </c>
      <c r="E111" s="15">
        <f>IFERROR(__xludf.DUMMYFUNCTION("""COMPUTED_VALUE"""),-0.15959129477621398)</f>
        <v>-0.1595912948</v>
      </c>
      <c r="F111" s="15">
        <f>IFERROR(__xludf.DUMMYFUNCTION("""COMPUTED_VALUE"""),0.04610912015545092)</f>
        <v>0.04610912016</v>
      </c>
      <c r="G111" s="17">
        <f>IFERROR(__xludf.DUMMYFUNCTION("""COMPUTED_VALUE"""),0.030301064986730734)</f>
        <v>0.03030106499</v>
      </c>
      <c r="H111" s="4"/>
      <c r="I111" s="5" t="s">
        <v>390</v>
      </c>
      <c r="J111" s="5" t="s">
        <v>85</v>
      </c>
      <c r="K111" s="5">
        <v>0.0</v>
      </c>
      <c r="L111" s="5">
        <v>-0.00218</v>
      </c>
      <c r="M111" s="5">
        <v>6.8E-4</v>
      </c>
      <c r="N111" s="5">
        <v>-0.0015</v>
      </c>
      <c r="O111" s="5">
        <v>6.0E-5</v>
      </c>
    </row>
    <row r="112">
      <c r="A112" s="18" t="str">
        <f>IFERROR(__xludf.DUMMYFUNCTION("""COMPUTED_VALUE"""),"Kevin Jones")</f>
        <v>Kevin Jones</v>
      </c>
      <c r="B112" s="19" t="str">
        <f>IFERROR(__xludf.DUMMYFUNCTION("""COMPUTED_VALUE"""),"CAJ")</f>
        <v>CAJ</v>
      </c>
      <c r="C112" s="20">
        <f>IFERROR(__xludf.DUMMYFUNCTION("""COMPUTED_VALUE"""),140.2)</f>
        <v>140.2</v>
      </c>
      <c r="D112" s="21">
        <f>IFERROR(__xludf.DUMMYFUNCTION("""COMPUTED_VALUE"""),-0.09265183333067993)</f>
        <v>-0.09265183333</v>
      </c>
      <c r="E112" s="21">
        <f>IFERROR(__xludf.DUMMYFUNCTION("""COMPUTED_VALUE"""),0.09229827009346538)</f>
        <v>0.09229827009</v>
      </c>
      <c r="F112" s="21">
        <f>IFERROR(__xludf.DUMMYFUNCTION("""COMPUTED_VALUE"""),-3.5356323721455403E-4)</f>
        <v>-0.0003535632372</v>
      </c>
      <c r="G112" s="23">
        <f>IFERROR(__xludf.DUMMYFUNCTION("""COMPUTED_VALUE"""),0.08523055993299435)</f>
        <v>0.08523055993</v>
      </c>
      <c r="H112" s="4"/>
      <c r="I112" s="5" t="s">
        <v>392</v>
      </c>
      <c r="J112" s="5" t="s">
        <v>85</v>
      </c>
      <c r="K112" s="5">
        <v>0.0</v>
      </c>
      <c r="L112" s="5">
        <v>-0.00655</v>
      </c>
      <c r="M112" s="5">
        <v>0.00205</v>
      </c>
      <c r="N112" s="5">
        <v>-0.0045</v>
      </c>
      <c r="O112" s="5">
        <v>1.8E-4</v>
      </c>
    </row>
    <row r="113">
      <c r="A113" s="12" t="str">
        <f>IFERROR(__xludf.DUMMYFUNCTION("""COMPUTED_VALUE"""),"Emilio Martinez")</f>
        <v>Emilio Martinez</v>
      </c>
      <c r="B113" s="13" t="str">
        <f>IFERROR(__xludf.DUMMYFUNCTION("""COMPUTED_VALUE"""),"MUR")</f>
        <v>MUR</v>
      </c>
      <c r="C113" s="14">
        <f>IFERROR(__xludf.DUMMYFUNCTION("""COMPUTED_VALUE"""),0.1)</f>
        <v>0.1</v>
      </c>
      <c r="D113" s="15">
        <f>IFERROR(__xludf.DUMMYFUNCTION("""COMPUTED_VALUE"""),-0.0015252012659813013)</f>
        <v>-0.001525201266</v>
      </c>
      <c r="E113" s="15">
        <f>IFERROR(__xludf.DUMMYFUNCTION("""COMPUTED_VALUE"""),2.640707110500946E-6)</f>
        <v>0.000002640707111</v>
      </c>
      <c r="F113" s="15">
        <f>IFERROR(__xludf.DUMMYFUNCTION("""COMPUTED_VALUE"""),-0.0015225605588708004)</f>
        <v>-0.001522560559</v>
      </c>
      <c r="G113" s="17">
        <f>IFERROR(__xludf.DUMMYFUNCTION("""COMPUTED_VALUE"""),6.04835686402641E-5)</f>
        <v>0.00006048356864</v>
      </c>
      <c r="H113" s="4"/>
      <c r="I113" s="5" t="s">
        <v>393</v>
      </c>
      <c r="J113" s="5" t="s">
        <v>225</v>
      </c>
      <c r="K113" s="5">
        <v>0.0</v>
      </c>
      <c r="L113" s="5">
        <v>-0.00565</v>
      </c>
      <c r="M113" s="5">
        <v>-8.4E-4</v>
      </c>
      <c r="N113" s="5">
        <v>-0.00649</v>
      </c>
      <c r="O113" s="5">
        <v>1.8E-4</v>
      </c>
    </row>
    <row r="114">
      <c r="A114" s="18" t="str">
        <f>IFERROR(__xludf.DUMMYFUNCTION("""COMPUTED_VALUE"""),"Sergio Mendiola")</f>
        <v>Sergio Mendiola</v>
      </c>
      <c r="B114" s="19" t="str">
        <f>IFERROR(__xludf.DUMMYFUNCTION("""COMPUTED_VALUE"""),"MUR")</f>
        <v>MUR</v>
      </c>
      <c r="C114" s="20">
        <f>IFERROR(__xludf.DUMMYFUNCTION("""COMPUTED_VALUE"""),0.3)</f>
        <v>0.3</v>
      </c>
      <c r="D114" s="21">
        <f>IFERROR(__xludf.DUMMYFUNCTION("""COMPUTED_VALUE"""),-0.004572510283088028)</f>
        <v>-0.004572510283</v>
      </c>
      <c r="E114" s="21">
        <f>IFERROR(__xludf.DUMMYFUNCTION("""COMPUTED_VALUE"""),1.0751373706247187E-5)</f>
        <v>0.00001075137371</v>
      </c>
      <c r="F114" s="21">
        <f>IFERROR(__xludf.DUMMYFUNCTION("""COMPUTED_VALUE"""),-0.004561758909381781)</f>
        <v>-0.004561758909</v>
      </c>
      <c r="G114" s="23">
        <f>IFERROR(__xludf.DUMMYFUNCTION("""COMPUTED_VALUE"""),1.8117476350820857E-4)</f>
        <v>0.0001811747635</v>
      </c>
      <c r="H114" s="4"/>
      <c r="I114" s="5" t="s">
        <v>396</v>
      </c>
      <c r="J114" s="5" t="s">
        <v>54</v>
      </c>
      <c r="K114" s="5">
        <v>1.0</v>
      </c>
      <c r="L114" s="5">
        <v>-0.00965</v>
      </c>
      <c r="M114" s="5">
        <v>0.00147</v>
      </c>
      <c r="N114" s="5">
        <v>-0.00818</v>
      </c>
      <c r="O114" s="5">
        <v>3.0E-4</v>
      </c>
    </row>
    <row r="115">
      <c r="A115" s="12" t="str">
        <f>IFERROR(__xludf.DUMMYFUNCTION("""COMPUTED_VALUE"""),"Raul Lobaco")</f>
        <v>Raul Lobaco</v>
      </c>
      <c r="B115" s="13" t="str">
        <f>IFERROR(__xludf.DUMMYFUNCTION("""COMPUTED_VALUE"""),"ZAR")</f>
        <v>ZAR</v>
      </c>
      <c r="C115" s="14">
        <f>IFERROR(__xludf.DUMMYFUNCTION("""COMPUTED_VALUE"""),0.3)</f>
        <v>0.3</v>
      </c>
      <c r="D115" s="15">
        <f>IFERROR(__xludf.DUMMYFUNCTION("""COMPUTED_VALUE"""),-0.007149489072858319)</f>
        <v>-0.007149489073</v>
      </c>
      <c r="E115" s="15">
        <f>IFERROR(__xludf.DUMMYFUNCTION("""COMPUTED_VALUE"""),0.0014119034403525608)</f>
        <v>0.00141190344</v>
      </c>
      <c r="F115" s="15">
        <f>IFERROR(__xludf.DUMMYFUNCTION("""COMPUTED_VALUE"""),-0.005737585632505759)</f>
        <v>-0.005737585633</v>
      </c>
      <c r="G115" s="17">
        <f>IFERROR(__xludf.DUMMYFUNCTION("""COMPUTED_VALUE"""),1.8203129517720487E-4)</f>
        <v>0.0001820312952</v>
      </c>
      <c r="H115" s="4"/>
      <c r="I115" s="5" t="s">
        <v>397</v>
      </c>
      <c r="J115" s="5" t="s">
        <v>267</v>
      </c>
      <c r="K115" s="5">
        <v>125.0</v>
      </c>
      <c r="L115" s="5">
        <v>-0.48002</v>
      </c>
      <c r="M115" s="5">
        <v>0.45121</v>
      </c>
      <c r="N115" s="5">
        <v>-0.02881</v>
      </c>
      <c r="O115" s="5">
        <v>0.07476</v>
      </c>
    </row>
    <row r="116">
      <c r="A116" s="18" t="str">
        <f>IFERROR(__xludf.DUMMYFUNCTION("""COMPUTED_VALUE"""),"Emil Savic")</f>
        <v>Emil Savic</v>
      </c>
      <c r="B116" s="19" t="str">
        <f>IFERROR(__xludf.DUMMYFUNCTION("""COMPUTED_VALUE"""),"SPB")</f>
        <v>SPB</v>
      </c>
      <c r="C116" s="20">
        <f>IFERROR(__xludf.DUMMYFUNCTION("""COMPUTED_VALUE"""),0.3)</f>
        <v>0.3</v>
      </c>
      <c r="D116" s="21">
        <f>IFERROR(__xludf.DUMMYFUNCTION("""COMPUTED_VALUE"""),-0.006892350289255732)</f>
        <v>-0.006892350289</v>
      </c>
      <c r="E116" s="21">
        <f>IFERROR(__xludf.DUMMYFUNCTION("""COMPUTED_VALUE"""),4.694431798188351E-4)</f>
        <v>0.0004694431798</v>
      </c>
      <c r="F116" s="21">
        <f>IFERROR(__xludf.DUMMYFUNCTION("""COMPUTED_VALUE"""),-0.006422907109436897)</f>
        <v>-0.006422907109</v>
      </c>
      <c r="G116" s="23">
        <f>IFERROR(__xludf.DUMMYFUNCTION("""COMPUTED_VALUE"""),1.810057815382056E-4)</f>
        <v>0.0001810057815</v>
      </c>
      <c r="H116" s="4"/>
      <c r="I116" s="5" t="s">
        <v>399</v>
      </c>
      <c r="J116" s="5" t="s">
        <v>97</v>
      </c>
      <c r="K116" s="5">
        <v>549.0</v>
      </c>
      <c r="L116" s="5">
        <v>1.89272</v>
      </c>
      <c r="M116" s="5">
        <v>-1.95674</v>
      </c>
      <c r="N116" s="5">
        <v>-0.06403</v>
      </c>
      <c r="O116" s="5">
        <v>0.32271</v>
      </c>
    </row>
    <row r="117">
      <c r="A117" s="12" t="str">
        <f>IFERROR(__xludf.DUMMYFUNCTION("""COMPUTED_VALUE"""),"Kevin Seraphin")</f>
        <v>Kevin Seraphin</v>
      </c>
      <c r="B117" s="13" t="str">
        <f>IFERROR(__xludf.DUMMYFUNCTION("""COMPUTED_VALUE"""),"FCB")</f>
        <v>FCB</v>
      </c>
      <c r="C117" s="14">
        <f>IFERROR(__xludf.DUMMYFUNCTION("""COMPUTED_VALUE"""),260.4)</f>
        <v>260.4</v>
      </c>
      <c r="D117" s="15">
        <f>IFERROR(__xludf.DUMMYFUNCTION("""COMPUTED_VALUE"""),0.06815170786066015)</f>
        <v>0.06815170786</v>
      </c>
      <c r="E117" s="15">
        <f>IFERROR(__xludf.DUMMYFUNCTION("""COMPUTED_VALUE"""),-0.07660027967828253)</f>
        <v>-0.07660027968</v>
      </c>
      <c r="F117" s="15">
        <f>IFERROR(__xludf.DUMMYFUNCTION("""COMPUTED_VALUE"""),-0.008448571817622387)</f>
        <v>-0.008448571818</v>
      </c>
      <c r="G117" s="17">
        <f>IFERROR(__xludf.DUMMYFUNCTION("""COMPUTED_VALUE"""),0.15667484136103826)</f>
        <v>0.1566748414</v>
      </c>
      <c r="H117" s="4"/>
      <c r="I117" s="5" t="s">
        <v>250</v>
      </c>
      <c r="J117" s="5" t="s">
        <v>24</v>
      </c>
      <c r="K117" s="5">
        <v>251.0</v>
      </c>
      <c r="L117" s="5">
        <v>-0.95278</v>
      </c>
      <c r="M117" s="5">
        <v>0.87285</v>
      </c>
      <c r="N117" s="5">
        <v>-0.07994</v>
      </c>
      <c r="O117" s="5">
        <v>0.14554</v>
      </c>
    </row>
    <row r="118">
      <c r="A118" s="18" t="str">
        <f>IFERROR(__xludf.DUMMYFUNCTION("""COMPUTED_VALUE"""),"Simon Birgander")</f>
        <v>Simon Birgander</v>
      </c>
      <c r="B118" s="19" t="str">
        <f>IFERROR(__xludf.DUMMYFUNCTION("""COMPUTED_VALUE"""),"JOV")</f>
        <v>JOV</v>
      </c>
      <c r="C118" s="20">
        <f>IFERROR(__xludf.DUMMYFUNCTION("""COMPUTED_VALUE"""),472.7)</f>
        <v>472.7</v>
      </c>
      <c r="D118" s="21">
        <f>IFERROR(__xludf.DUMMYFUNCTION("""COMPUTED_VALUE"""),-1.8425551344531146)</f>
        <v>-1.842555134</v>
      </c>
      <c r="E118" s="21">
        <f>IFERROR(__xludf.DUMMYFUNCTION("""COMPUTED_VALUE"""),1.7738392114834443)</f>
        <v>1.773839211</v>
      </c>
      <c r="F118" s="21">
        <f>IFERROR(__xludf.DUMMYFUNCTION("""COMPUTED_VALUE"""),-0.06871592296967044)</f>
        <v>-0.06871592297</v>
      </c>
      <c r="G118" s="23">
        <f>IFERROR(__xludf.DUMMYFUNCTION("""COMPUTED_VALUE"""),0.2743028556255081)</f>
        <v>0.2743028556</v>
      </c>
      <c r="H118" s="4"/>
      <c r="I118" s="5" t="s">
        <v>301</v>
      </c>
      <c r="J118" s="5" t="s">
        <v>41</v>
      </c>
      <c r="K118" s="5">
        <v>356.0</v>
      </c>
      <c r="L118" s="5">
        <v>-1.26761</v>
      </c>
      <c r="M118" s="5">
        <v>1.18407</v>
      </c>
      <c r="N118" s="5">
        <v>-0.08354</v>
      </c>
      <c r="O118" s="5">
        <v>0.20783</v>
      </c>
    </row>
    <row r="119">
      <c r="A119" s="12" t="str">
        <f>IFERROR(__xludf.DUMMYFUNCTION("""COMPUTED_VALUE"""),"Asier Azpeitia")</f>
        <v>Asier Azpeitia</v>
      </c>
      <c r="B119" s="13" t="str">
        <f>IFERROR(__xludf.DUMMYFUNCTION("""COMPUTED_VALUE"""),"GBC")</f>
        <v>GBC</v>
      </c>
      <c r="C119" s="14">
        <f>IFERROR(__xludf.DUMMYFUNCTION("""COMPUTED_VALUE"""),2.8)</f>
        <v>2.8</v>
      </c>
      <c r="D119" s="15">
        <f>IFERROR(__xludf.DUMMYFUNCTION("""COMPUTED_VALUE"""),0.04002937230949696)</f>
        <v>0.04002937231</v>
      </c>
      <c r="E119" s="15">
        <f>IFERROR(__xludf.DUMMYFUNCTION("""COMPUTED_VALUE"""),-0.13912034354442085)</f>
        <v>-0.1391203435</v>
      </c>
      <c r="F119" s="15">
        <f>IFERROR(__xludf.DUMMYFUNCTION("""COMPUTED_VALUE"""),-0.09909097123492389)</f>
        <v>-0.09909097123</v>
      </c>
      <c r="G119" s="17">
        <f>IFERROR(__xludf.DUMMYFUNCTION("""COMPUTED_VALUE"""),0.0016167594751442507)</f>
        <v>0.001616759475</v>
      </c>
      <c r="H119" s="4"/>
      <c r="I119" s="5" t="s">
        <v>405</v>
      </c>
      <c r="J119" s="5" t="s">
        <v>74</v>
      </c>
      <c r="K119" s="5">
        <v>3.0</v>
      </c>
      <c r="L119" s="5">
        <v>0.03973</v>
      </c>
      <c r="M119" s="5">
        <v>-0.13843</v>
      </c>
      <c r="N119" s="5">
        <v>-0.0987</v>
      </c>
      <c r="O119" s="5">
        <v>0.00164</v>
      </c>
    </row>
    <row r="120">
      <c r="A120" s="18" t="str">
        <f>IFERROR(__xludf.DUMMYFUNCTION("""COMPUTED_VALUE"""),"Olek Balcerowski")</f>
        <v>Olek Balcerowski</v>
      </c>
      <c r="B120" s="19" t="str">
        <f>IFERROR(__xludf.DUMMYFUNCTION("""COMPUTED_VALUE"""),"GCN")</f>
        <v>GCN</v>
      </c>
      <c r="C120" s="20">
        <f>IFERROR(__xludf.DUMMYFUNCTION("""COMPUTED_VALUE"""),1.4)</f>
        <v>1.4</v>
      </c>
      <c r="D120" s="21">
        <f>IFERROR(__xludf.DUMMYFUNCTION("""COMPUTED_VALUE"""),-0.11024629744838974)</f>
        <v>-0.1102462974</v>
      </c>
      <c r="E120" s="21">
        <f>IFERROR(__xludf.DUMMYFUNCTION("""COMPUTED_VALUE"""),-0.008531962442514321)</f>
        <v>-0.008531962443</v>
      </c>
      <c r="F120" s="21">
        <f>IFERROR(__xludf.DUMMYFUNCTION("""COMPUTED_VALUE"""),-0.11877825989090406)</f>
        <v>-0.1187782599</v>
      </c>
      <c r="G120" s="23">
        <f>IFERROR(__xludf.DUMMYFUNCTION("""COMPUTED_VALUE"""),7.978938727351847E-4)</f>
        <v>0.0007978938727</v>
      </c>
      <c r="H120" s="4"/>
      <c r="I120" s="5" t="s">
        <v>331</v>
      </c>
      <c r="J120" s="5" t="s">
        <v>14</v>
      </c>
      <c r="K120" s="5">
        <v>65.0</v>
      </c>
      <c r="L120" s="5">
        <v>-0.06915</v>
      </c>
      <c r="M120" s="5">
        <v>-0.03063</v>
      </c>
      <c r="N120" s="5">
        <v>-0.09978</v>
      </c>
      <c r="O120" s="5">
        <v>0.03763</v>
      </c>
    </row>
    <row r="121">
      <c r="A121" s="12" t="str">
        <f>IFERROR(__xludf.DUMMYFUNCTION("""COMPUTED_VALUE"""),"Alex Mumbru")</f>
        <v>Alex Mumbru</v>
      </c>
      <c r="B121" s="13" t="str">
        <f>IFERROR(__xludf.DUMMYFUNCTION("""COMPUTED_VALUE"""),"BBB")</f>
        <v>BBB</v>
      </c>
      <c r="C121" s="14">
        <f>IFERROR(__xludf.DUMMYFUNCTION("""COMPUTED_VALUE"""),810.7)</f>
        <v>810.7</v>
      </c>
      <c r="D121" s="15">
        <f>IFERROR(__xludf.DUMMYFUNCTION("""COMPUTED_VALUE"""),1.8077220084377674)</f>
        <v>1.807722008</v>
      </c>
      <c r="E121" s="15">
        <f>IFERROR(__xludf.DUMMYFUNCTION("""COMPUTED_VALUE"""),-1.9334900877463514)</f>
        <v>-1.933490088</v>
      </c>
      <c r="F121" s="15">
        <f>IFERROR(__xludf.DUMMYFUNCTION("""COMPUTED_VALUE"""),-0.12576807930858414)</f>
        <v>-0.1257680793</v>
      </c>
      <c r="G121" s="17">
        <f>IFERROR(__xludf.DUMMYFUNCTION("""COMPUTED_VALUE"""),0.4632574722028594)</f>
        <v>0.4632574722</v>
      </c>
      <c r="H121" s="4"/>
      <c r="I121" s="5" t="s">
        <v>410</v>
      </c>
      <c r="J121" s="5" t="s">
        <v>267</v>
      </c>
      <c r="K121" s="5">
        <v>173.0</v>
      </c>
      <c r="L121" s="5">
        <v>0.85938</v>
      </c>
      <c r="M121" s="5">
        <v>-0.96179</v>
      </c>
      <c r="N121" s="5">
        <v>-0.10241</v>
      </c>
      <c r="O121" s="5">
        <v>0.09993</v>
      </c>
    </row>
    <row r="122">
      <c r="A122" s="18" t="str">
        <f>IFERROR(__xludf.DUMMYFUNCTION("""COMPUTED_VALUE"""),"Mario Nakic")</f>
        <v>Mario Nakic</v>
      </c>
      <c r="B122" s="19" t="str">
        <f>IFERROR(__xludf.DUMMYFUNCTION("""COMPUTED_VALUE"""),"RMB")</f>
        <v>RMB</v>
      </c>
      <c r="C122" s="20">
        <f>IFERROR(__xludf.DUMMYFUNCTION("""COMPUTED_VALUE"""),6.5)</f>
        <v>6.5</v>
      </c>
      <c r="D122" s="21">
        <f>IFERROR(__xludf.DUMMYFUNCTION("""COMPUTED_VALUE"""),-0.022265060167595985)</f>
        <v>-0.02226506017</v>
      </c>
      <c r="E122" s="21">
        <f>IFERROR(__xludf.DUMMYFUNCTION("""COMPUTED_VALUE"""),-0.11475377361518867)</f>
        <v>-0.1147537736</v>
      </c>
      <c r="F122" s="21">
        <f>IFERROR(__xludf.DUMMYFUNCTION("""COMPUTED_VALUE"""),-0.13701883378278465)</f>
        <v>-0.1370188338</v>
      </c>
      <c r="G122" s="23">
        <f>IFERROR(__xludf.DUMMYFUNCTION("""COMPUTED_VALUE"""),0.003681224978202022)</f>
        <v>0.003681224978</v>
      </c>
      <c r="H122" s="4"/>
      <c r="I122" s="5" t="s">
        <v>413</v>
      </c>
      <c r="J122" s="5" t="s">
        <v>97</v>
      </c>
      <c r="K122" s="5">
        <v>1.0</v>
      </c>
      <c r="L122" s="5">
        <v>-0.09209</v>
      </c>
      <c r="M122" s="5">
        <v>-0.02606</v>
      </c>
      <c r="N122" s="5">
        <v>-0.11815</v>
      </c>
      <c r="O122" s="5">
        <v>8.0E-4</v>
      </c>
    </row>
    <row r="123">
      <c r="A123" s="12" t="str">
        <f>IFERROR(__xludf.DUMMYFUNCTION("""COMPUTED_VALUE"""),"Albert Oliver")</f>
        <v>Albert Oliver</v>
      </c>
      <c r="B123" s="13" t="str">
        <f>IFERROR(__xludf.DUMMYFUNCTION("""COMPUTED_VALUE"""),"GCN")</f>
        <v>GCN</v>
      </c>
      <c r="C123" s="14">
        <f>IFERROR(__xludf.DUMMYFUNCTION("""COMPUTED_VALUE"""),672.7)</f>
        <v>672.7</v>
      </c>
      <c r="D123" s="15">
        <f>IFERROR(__xludf.DUMMYFUNCTION("""COMPUTED_VALUE"""),-2.0010330870344157)</f>
        <v>-2.001033087</v>
      </c>
      <c r="E123" s="15">
        <f>IFERROR(__xludf.DUMMYFUNCTION("""COMPUTED_VALUE"""),1.8540906081389377)</f>
        <v>1.854090608</v>
      </c>
      <c r="F123" s="15">
        <f>IFERROR(__xludf.DUMMYFUNCTION("""COMPUTED_VALUE"""),-0.14694247889547807)</f>
        <v>-0.1469424789</v>
      </c>
      <c r="G123" s="17">
        <f>IFERROR(__xludf.DUMMYFUNCTION("""COMPUTED_VALUE"""),0.3776482126445279)</f>
        <v>0.3776482126</v>
      </c>
      <c r="H123" s="4"/>
      <c r="I123" s="5" t="s">
        <v>416</v>
      </c>
      <c r="J123" s="5" t="s">
        <v>290</v>
      </c>
      <c r="K123" s="5">
        <v>839.0</v>
      </c>
      <c r="L123" s="5">
        <v>1.56624</v>
      </c>
      <c r="M123" s="5">
        <v>-1.68626</v>
      </c>
      <c r="N123" s="5">
        <v>-0.12002</v>
      </c>
      <c r="O123" s="5">
        <v>0.47471</v>
      </c>
    </row>
    <row r="124">
      <c r="A124" s="18" t="str">
        <f>IFERROR(__xludf.DUMMYFUNCTION("""COMPUTED_VALUE"""),"Kenny Chery")</f>
        <v>Kenny Chery</v>
      </c>
      <c r="B124" s="19" t="str">
        <f>IFERROR(__xludf.DUMMYFUNCTION("""COMPUTED_VALUE"""),"GBC")</f>
        <v>GBC</v>
      </c>
      <c r="C124" s="20">
        <f>IFERROR(__xludf.DUMMYFUNCTION("""COMPUTED_VALUE"""),745.8)</f>
        <v>745.8</v>
      </c>
      <c r="D124" s="21">
        <f>IFERROR(__xludf.DUMMYFUNCTION("""COMPUTED_VALUE"""),1.4329214219205435)</f>
        <v>1.432921422</v>
      </c>
      <c r="E124" s="21">
        <f>IFERROR(__xludf.DUMMYFUNCTION("""COMPUTED_VALUE"""),-1.6215646235436325)</f>
        <v>-1.621564624</v>
      </c>
      <c r="F124" s="21">
        <f>IFERROR(__xludf.DUMMYFUNCTION("""COMPUTED_VALUE"""),-0.18864320162308912)</f>
        <v>-0.1886432016</v>
      </c>
      <c r="G124" s="23">
        <f>IFERROR(__xludf.DUMMYFUNCTION("""COMPUTED_VALUE"""),0.4103481071822319)</f>
        <v>0.4103481072</v>
      </c>
      <c r="H124" s="4"/>
      <c r="I124" s="5" t="s">
        <v>395</v>
      </c>
      <c r="J124" s="5" t="s">
        <v>14</v>
      </c>
      <c r="K124" s="5">
        <v>250.0</v>
      </c>
      <c r="L124" s="5">
        <v>-1.10324</v>
      </c>
      <c r="M124" s="5">
        <v>0.97398</v>
      </c>
      <c r="N124" s="5">
        <v>-0.12925</v>
      </c>
      <c r="O124" s="5">
        <v>0.14216</v>
      </c>
    </row>
    <row r="125">
      <c r="A125" s="12" t="str">
        <f>IFERROR(__xludf.DUMMYFUNCTION("""COMPUTED_VALUE"""),"Gaizka Maiza")</f>
        <v>Gaizka Maiza</v>
      </c>
      <c r="B125" s="13" t="str">
        <f>IFERROR(__xludf.DUMMYFUNCTION("""COMPUTED_VALUE"""),"GBC")</f>
        <v>GBC</v>
      </c>
      <c r="C125" s="14">
        <f>IFERROR(__xludf.DUMMYFUNCTION("""COMPUTED_VALUE"""),31.5)</f>
        <v>31.5</v>
      </c>
      <c r="D125" s="15">
        <f>IFERROR(__xludf.DUMMYFUNCTION("""COMPUTED_VALUE"""),0.14588630995601426)</f>
        <v>0.14588631</v>
      </c>
      <c r="E125" s="15">
        <f>IFERROR(__xludf.DUMMYFUNCTION("""COMPUTED_VALUE"""),-0.34215458387928166)</f>
        <v>-0.3421545839</v>
      </c>
      <c r="F125" s="15">
        <f>IFERROR(__xludf.DUMMYFUNCTION("""COMPUTED_VALUE"""),-0.1962682739232674)</f>
        <v>-0.1962682739</v>
      </c>
      <c r="G125" s="17">
        <f>IFERROR(__xludf.DUMMYFUNCTION("""COMPUTED_VALUE"""),0.017258718612790633)</f>
        <v>0.01725871861</v>
      </c>
      <c r="H125" s="4"/>
      <c r="I125" s="5" t="s">
        <v>420</v>
      </c>
      <c r="J125" s="5" t="s">
        <v>225</v>
      </c>
      <c r="K125" s="5">
        <v>658.0</v>
      </c>
      <c r="L125" s="5">
        <v>-0.36933</v>
      </c>
      <c r="M125" s="5">
        <v>0.22908</v>
      </c>
      <c r="N125" s="5">
        <v>-0.14025</v>
      </c>
      <c r="O125" s="5">
        <v>0.37029</v>
      </c>
    </row>
    <row r="126">
      <c r="A126" s="18" t="str">
        <f>IFERROR(__xludf.DUMMYFUNCTION("""COMPUTED_VALUE"""),"Sergio Llull")</f>
        <v>Sergio Llull</v>
      </c>
      <c r="B126" s="19" t="str">
        <f>IFERROR(__xludf.DUMMYFUNCTION("""COMPUTED_VALUE"""),"RMB")</f>
        <v>RMB</v>
      </c>
      <c r="C126" s="20">
        <f>IFERROR(__xludf.DUMMYFUNCTION("""COMPUTED_VALUE"""),278.3)</f>
        <v>278.3</v>
      </c>
      <c r="D126" s="21">
        <f>IFERROR(__xludf.DUMMYFUNCTION("""COMPUTED_VALUE"""),1.0651427959891202)</f>
        <v>1.065142796</v>
      </c>
      <c r="E126" s="21">
        <f>IFERROR(__xludf.DUMMYFUNCTION("""COMPUTED_VALUE"""),-1.2614402032121186)</f>
        <v>-1.261440203</v>
      </c>
      <c r="F126" s="21">
        <f>IFERROR(__xludf.DUMMYFUNCTION("""COMPUTED_VALUE"""),-0.1962974072229985)</f>
        <v>-0.1962974072</v>
      </c>
      <c r="G126" s="23">
        <f>IFERROR(__xludf.DUMMYFUNCTION("""COMPUTED_VALUE"""),0.1525979414501738)</f>
        <v>0.1525979415</v>
      </c>
      <c r="H126" s="4"/>
      <c r="I126" s="5" t="s">
        <v>419</v>
      </c>
      <c r="J126" s="5" t="s">
        <v>24</v>
      </c>
      <c r="K126" s="5">
        <v>265.0</v>
      </c>
      <c r="L126" s="5">
        <v>-1.39764</v>
      </c>
      <c r="M126" s="5">
        <v>1.23243</v>
      </c>
      <c r="N126" s="5">
        <v>-0.16521</v>
      </c>
      <c r="O126" s="5">
        <v>0.14701</v>
      </c>
    </row>
    <row r="127">
      <c r="A127" s="12" t="str">
        <f>IFERROR(__xludf.DUMMYFUNCTION("""COMPUTED_VALUE"""),"Ognen Kuzmic")</f>
        <v>Ognen Kuzmic</v>
      </c>
      <c r="B127" s="13" t="str">
        <f>IFERROR(__xludf.DUMMYFUNCTION("""COMPUTED_VALUE"""),"RMB")</f>
        <v>RMB</v>
      </c>
      <c r="C127" s="14">
        <f>IFERROR(__xludf.DUMMYFUNCTION("""COMPUTED_VALUE"""),65.2)</f>
        <v>65.2</v>
      </c>
      <c r="D127" s="15">
        <f>IFERROR(__xludf.DUMMYFUNCTION("""COMPUTED_VALUE"""),-0.08956776441317202)</f>
        <v>-0.08956776441</v>
      </c>
      <c r="E127" s="15">
        <f>IFERROR(__xludf.DUMMYFUNCTION("""COMPUTED_VALUE"""),-0.12124511526970119)</f>
        <v>-0.1212451153</v>
      </c>
      <c r="F127" s="15">
        <f>IFERROR(__xludf.DUMMYFUNCTION("""COMPUTED_VALUE"""),-0.2108128796828732)</f>
        <v>-0.2108128797</v>
      </c>
      <c r="G127" s="17">
        <f>IFERROR(__xludf.DUMMYFUNCTION("""COMPUTED_VALUE"""),0.03546287147140552)</f>
        <v>0.03546287147</v>
      </c>
      <c r="H127" s="4"/>
      <c r="I127" s="5" t="s">
        <v>422</v>
      </c>
      <c r="J127" s="5" t="s">
        <v>423</v>
      </c>
      <c r="K127" s="5">
        <v>7.0</v>
      </c>
      <c r="L127" s="5">
        <v>-0.14754</v>
      </c>
      <c r="M127" s="5">
        <v>-0.03224</v>
      </c>
      <c r="N127" s="5">
        <v>-0.17977</v>
      </c>
      <c r="O127" s="5">
        <v>0.00384</v>
      </c>
    </row>
    <row r="128">
      <c r="A128" s="18" t="str">
        <f>IFERROR(__xludf.DUMMYFUNCTION("""COMPUTED_VALUE"""),"Joel Parra")</f>
        <v>Joel Parra</v>
      </c>
      <c r="B128" s="19" t="str">
        <f>IFERROR(__xludf.DUMMYFUNCTION("""COMPUTED_VALUE"""),"JOV")</f>
        <v>JOV</v>
      </c>
      <c r="C128" s="20">
        <f>IFERROR(__xludf.DUMMYFUNCTION("""COMPUTED_VALUE"""),3.4)</f>
        <v>3.4</v>
      </c>
      <c r="D128" s="21">
        <f>IFERROR(__xludf.DUMMYFUNCTION("""COMPUTED_VALUE"""),-0.15182056554726514)</f>
        <v>-0.1518205655</v>
      </c>
      <c r="E128" s="21">
        <f>IFERROR(__xludf.DUMMYFUNCTION("""COMPUTED_VALUE"""),-0.05937596460909386)</f>
        <v>-0.05937596461</v>
      </c>
      <c r="F128" s="21">
        <f>IFERROR(__xludf.DUMMYFUNCTION("""COMPUTED_VALUE"""),-0.211196530156359)</f>
        <v>-0.2111965302</v>
      </c>
      <c r="G128" s="23">
        <f>IFERROR(__xludf.DUMMYFUNCTION("""COMPUTED_VALUE"""),0.0018274273159731467)</f>
        <v>0.001827427316</v>
      </c>
      <c r="H128" s="4"/>
      <c r="I128" s="5" t="s">
        <v>426</v>
      </c>
      <c r="J128" s="5" t="s">
        <v>225</v>
      </c>
      <c r="K128" s="5">
        <v>594.0</v>
      </c>
      <c r="L128" s="5">
        <v>-0.62026</v>
      </c>
      <c r="M128" s="5">
        <v>0.41493</v>
      </c>
      <c r="N128" s="5">
        <v>-0.20533</v>
      </c>
      <c r="O128" s="5">
        <v>0.32247</v>
      </c>
    </row>
    <row r="129">
      <c r="A129" s="12" t="str">
        <f>IFERROR(__xludf.DUMMYFUNCTION("""COMPUTED_VALUE"""),"Demetrius Conger")</f>
        <v>Demetrius Conger</v>
      </c>
      <c r="B129" s="13" t="str">
        <f>IFERROR(__xludf.DUMMYFUNCTION("""COMPUTED_VALUE"""),"JOV")</f>
        <v>JOV</v>
      </c>
      <c r="C129" s="14">
        <f>IFERROR(__xludf.DUMMYFUNCTION("""COMPUTED_VALUE"""),263.8)</f>
        <v>263.8</v>
      </c>
      <c r="D129" s="15">
        <f>IFERROR(__xludf.DUMMYFUNCTION("""COMPUTED_VALUE"""),0.837455830634504)</f>
        <v>0.8374558306</v>
      </c>
      <c r="E129" s="15">
        <f>IFERROR(__xludf.DUMMYFUNCTION("""COMPUTED_VALUE"""),-1.06856092157488)</f>
        <v>-1.068560922</v>
      </c>
      <c r="F129" s="15">
        <f>IFERROR(__xludf.DUMMYFUNCTION("""COMPUTED_VALUE"""),-0.2311050909403759)</f>
        <v>-0.2311050909</v>
      </c>
      <c r="G129" s="17">
        <f>IFERROR(__xludf.DUMMYFUNCTION("""COMPUTED_VALUE"""),0.1402088379579894)</f>
        <v>0.140208838</v>
      </c>
      <c r="H129" s="4"/>
      <c r="I129" s="5" t="s">
        <v>427</v>
      </c>
      <c r="J129" s="5" t="s">
        <v>233</v>
      </c>
      <c r="K129" s="5">
        <v>3.0</v>
      </c>
      <c r="L129" s="5">
        <v>-0.15232</v>
      </c>
      <c r="M129" s="5">
        <v>-0.05928</v>
      </c>
      <c r="N129" s="5">
        <v>-0.2116</v>
      </c>
      <c r="O129" s="5">
        <v>0.00183</v>
      </c>
    </row>
    <row r="130">
      <c r="A130" s="18" t="str">
        <f>IFERROR(__xludf.DUMMYFUNCTION("""COMPUTED_VALUE"""),"Miguel Gonzalez")</f>
        <v>Miguel Gonzalez</v>
      </c>
      <c r="B130" s="19" t="str">
        <f>IFERROR(__xludf.DUMMYFUNCTION("""COMPUTED_VALUE"""),"CAJ")</f>
        <v>CAJ</v>
      </c>
      <c r="C130" s="20">
        <f>IFERROR(__xludf.DUMMYFUNCTION("""COMPUTED_VALUE"""),5.4)</f>
        <v>5.4</v>
      </c>
      <c r="D130" s="21">
        <f>IFERROR(__xludf.DUMMYFUNCTION("""COMPUTED_VALUE"""),-0.24073379738736497)</f>
        <v>-0.2407337974</v>
      </c>
      <c r="E130" s="21">
        <f>IFERROR(__xludf.DUMMYFUNCTION("""COMPUTED_VALUE"""),-0.017420775801032323)</f>
        <v>-0.0174207758</v>
      </c>
      <c r="F130" s="21">
        <f>IFERROR(__xludf.DUMMYFUNCTION("""COMPUTED_VALUE"""),-0.2581545731883973)</f>
        <v>-0.2581545732</v>
      </c>
      <c r="G130" s="23">
        <f>IFERROR(__xludf.DUMMYFUNCTION("""COMPUTED_VALUE"""),0.002859548631316498)</f>
        <v>0.002859548631</v>
      </c>
      <c r="H130" s="4"/>
      <c r="I130" s="5" t="s">
        <v>430</v>
      </c>
      <c r="J130" s="5" t="s">
        <v>97</v>
      </c>
      <c r="K130" s="5">
        <v>452.0</v>
      </c>
      <c r="L130" s="5">
        <v>2.61211</v>
      </c>
      <c r="M130" s="5">
        <v>-2.84602</v>
      </c>
      <c r="N130" s="5">
        <v>-0.23391</v>
      </c>
      <c r="O130" s="5">
        <v>0.24226</v>
      </c>
    </row>
    <row r="131">
      <c r="A131" s="12" t="str">
        <f>IFERROR(__xludf.DUMMYFUNCTION("""COMPUTED_VALUE"""),"Adams Sola")</f>
        <v>Adams Sola</v>
      </c>
      <c r="B131" s="13" t="str">
        <f>IFERROR(__xludf.DUMMYFUNCTION("""COMPUTED_VALUE"""),"EST")</f>
        <v>EST</v>
      </c>
      <c r="C131" s="14">
        <f>IFERROR(__xludf.DUMMYFUNCTION("""COMPUTED_VALUE"""),28.0)</f>
        <v>28</v>
      </c>
      <c r="D131" s="15">
        <f>IFERROR(__xludf.DUMMYFUNCTION("""COMPUTED_VALUE"""),-0.44204737924352494)</f>
        <v>-0.4420473792</v>
      </c>
      <c r="E131" s="15">
        <f>IFERROR(__xludf.DUMMYFUNCTION("""COMPUTED_VALUE"""),0.17674094716728211)</f>
        <v>0.1767409472</v>
      </c>
      <c r="F131" s="15">
        <f>IFERROR(__xludf.DUMMYFUNCTION("""COMPUTED_VALUE"""),-0.2653064320762428)</f>
        <v>-0.2653064321</v>
      </c>
      <c r="G131" s="17">
        <f>IFERROR(__xludf.DUMMYFUNCTION("""COMPUTED_VALUE"""),0.015022973635253463)</f>
        <v>0.01502297364</v>
      </c>
      <c r="H131" s="4"/>
      <c r="I131" s="5" t="s">
        <v>432</v>
      </c>
      <c r="J131" s="5" t="s">
        <v>54</v>
      </c>
      <c r="K131" s="5">
        <v>20.0</v>
      </c>
      <c r="L131" s="5">
        <v>-0.5985</v>
      </c>
      <c r="M131" s="5">
        <v>0.3586</v>
      </c>
      <c r="N131" s="5">
        <v>-0.2399</v>
      </c>
      <c r="O131" s="5">
        <v>0.01057</v>
      </c>
    </row>
    <row r="132">
      <c r="A132" s="18" t="str">
        <f>IFERROR(__xludf.DUMMYFUNCTION("""COMPUTED_VALUE"""),"Rodrigo Gomez")</f>
        <v>Rodrigo Gomez</v>
      </c>
      <c r="B132" s="19" t="str">
        <f>IFERROR(__xludf.DUMMYFUNCTION("""COMPUTED_VALUE"""),"OBR")</f>
        <v>OBR</v>
      </c>
      <c r="C132" s="20">
        <f>IFERROR(__xludf.DUMMYFUNCTION("""COMPUTED_VALUE"""),1.3)</f>
        <v>1.3</v>
      </c>
      <c r="D132" s="21">
        <f>IFERROR(__xludf.DUMMYFUNCTION("""COMPUTED_VALUE"""),-0.17242183746176762)</f>
        <v>-0.1724218375</v>
      </c>
      <c r="E132" s="21">
        <f>IFERROR(__xludf.DUMMYFUNCTION("""COMPUTED_VALUE"""),-0.09597602985580458)</f>
        <v>-0.09597602986</v>
      </c>
      <c r="F132" s="21">
        <f>IFERROR(__xludf.DUMMYFUNCTION("""COMPUTED_VALUE"""),-0.2683978673175722)</f>
        <v>-0.2683978673</v>
      </c>
      <c r="G132" s="23">
        <f>IFERROR(__xludf.DUMMYFUNCTION("""COMPUTED_VALUE"""),6.961714675450361E-4)</f>
        <v>0.0006961714675</v>
      </c>
      <c r="H132" s="4"/>
      <c r="I132" s="5" t="s">
        <v>434</v>
      </c>
      <c r="J132" s="5" t="s">
        <v>97</v>
      </c>
      <c r="K132" s="5">
        <v>174.0</v>
      </c>
      <c r="L132" s="5">
        <v>-0.89948</v>
      </c>
      <c r="M132" s="5">
        <v>0.65776</v>
      </c>
      <c r="N132" s="5">
        <v>-0.24172</v>
      </c>
      <c r="O132" s="5">
        <v>0.09302</v>
      </c>
    </row>
    <row r="133">
      <c r="A133" s="12" t="str">
        <f>IFERROR(__xludf.DUMMYFUNCTION("""COMPUTED_VALUE"""),"Pere Tomas")</f>
        <v>Pere Tomas</v>
      </c>
      <c r="B133" s="13" t="str">
        <f>IFERROR(__xludf.DUMMYFUNCTION("""COMPUTED_VALUE"""),"BBB")</f>
        <v>BBB</v>
      </c>
      <c r="C133" s="14">
        <f>IFERROR(__xludf.DUMMYFUNCTION("""COMPUTED_VALUE"""),667.6)</f>
        <v>667.6</v>
      </c>
      <c r="D133" s="15">
        <f>IFERROR(__xludf.DUMMYFUNCTION("""COMPUTED_VALUE"""),1.6542149089768978)</f>
        <v>1.654214909</v>
      </c>
      <c r="E133" s="15">
        <f>IFERROR(__xludf.DUMMYFUNCTION("""COMPUTED_VALUE"""),-1.9315746101344877)</f>
        <v>-1.93157461</v>
      </c>
      <c r="F133" s="15">
        <f>IFERROR(__xludf.DUMMYFUNCTION("""COMPUTED_VALUE"""),-0.27735970115759)</f>
        <v>-0.2773597012</v>
      </c>
      <c r="G133" s="17">
        <f>IFERROR(__xludf.DUMMYFUNCTION("""COMPUTED_VALUE"""),0.3506306369057893)</f>
        <v>0.3506306369</v>
      </c>
      <c r="H133" s="4"/>
      <c r="I133" s="5" t="s">
        <v>436</v>
      </c>
      <c r="J133" s="5" t="s">
        <v>290</v>
      </c>
      <c r="K133" s="5">
        <v>44.0</v>
      </c>
      <c r="L133" s="5">
        <v>0.09505</v>
      </c>
      <c r="M133" s="5">
        <v>-0.34</v>
      </c>
      <c r="N133" s="5">
        <v>-0.24495</v>
      </c>
      <c r="O133" s="5">
        <v>0.02334</v>
      </c>
    </row>
    <row r="134">
      <c r="A134" s="18" t="str">
        <f>IFERROR(__xludf.DUMMYFUNCTION("""COMPUTED_VALUE"""),"Ivan Martinez")</f>
        <v>Ivan Martinez</v>
      </c>
      <c r="B134" s="19" t="str">
        <f>IFERROR(__xludf.DUMMYFUNCTION("""COMPUTED_VALUE"""),"CAJ")</f>
        <v>CAJ</v>
      </c>
      <c r="C134" s="20">
        <f>IFERROR(__xludf.DUMMYFUNCTION("""COMPUTED_VALUE"""),5.8)</f>
        <v>5.8</v>
      </c>
      <c r="D134" s="21">
        <f>IFERROR(__xludf.DUMMYFUNCTION("""COMPUTED_VALUE"""),-0.23703822346313502)</f>
        <v>-0.2370382235</v>
      </c>
      <c r="E134" s="21">
        <f>IFERROR(__xludf.DUMMYFUNCTION("""COMPUTED_VALUE"""),-0.04104640449784375)</f>
        <v>-0.0410464045</v>
      </c>
      <c r="F134" s="21">
        <f>IFERROR(__xludf.DUMMYFUNCTION("""COMPUTED_VALUE"""),-0.27808462796097877)</f>
        <v>-0.278084628</v>
      </c>
      <c r="G134" s="23">
        <f>IFERROR(__xludf.DUMMYFUNCTION("""COMPUTED_VALUE"""),0.0030362247146020747)</f>
        <v>0.003036224715</v>
      </c>
      <c r="H134" s="4"/>
      <c r="I134" s="5" t="s">
        <v>255</v>
      </c>
      <c r="J134" s="5" t="s">
        <v>41</v>
      </c>
      <c r="K134" s="5">
        <v>5.0</v>
      </c>
      <c r="L134" s="5">
        <v>-0.20836</v>
      </c>
      <c r="M134" s="5">
        <v>-0.04622</v>
      </c>
      <c r="N134" s="5">
        <v>-0.25458</v>
      </c>
      <c r="O134" s="5">
        <v>0.00287</v>
      </c>
    </row>
    <row r="135">
      <c r="A135" s="12" t="str">
        <f>IFERROR(__xludf.DUMMYFUNCTION("""COMPUTED_VALUE"""),"Dan Clark")</f>
        <v>Dan Clark</v>
      </c>
      <c r="B135" s="13" t="str">
        <f>IFERROR(__xludf.DUMMYFUNCTION("""COMPUTED_VALUE"""),"GBC")</f>
        <v>GBC</v>
      </c>
      <c r="C135" s="14">
        <f>IFERROR(__xludf.DUMMYFUNCTION("""COMPUTED_VALUE"""),783.9)</f>
        <v>783.9</v>
      </c>
      <c r="D135" s="15">
        <f>IFERROR(__xludf.DUMMYFUNCTION("""COMPUTED_VALUE"""),0.9122854926668942)</f>
        <v>0.9122854927</v>
      </c>
      <c r="E135" s="15">
        <f>IFERROR(__xludf.DUMMYFUNCTION("""COMPUTED_VALUE"""),-1.220513495547623)</f>
        <v>-1.220513496</v>
      </c>
      <c r="F135" s="15">
        <f>IFERROR(__xludf.DUMMYFUNCTION("""COMPUTED_VALUE"""),-0.30822800288072866)</f>
        <v>-0.3082280029</v>
      </c>
      <c r="G135" s="17">
        <f>IFERROR(__xludf.DUMMYFUNCTION("""COMPUTED_VALUE"""),0.40283625193395795)</f>
        <v>0.4028362519</v>
      </c>
      <c r="H135" s="4"/>
      <c r="I135" s="5" t="s">
        <v>440</v>
      </c>
      <c r="J135" s="5" t="s">
        <v>74</v>
      </c>
      <c r="K135" s="5">
        <v>6.0</v>
      </c>
      <c r="L135" s="5">
        <v>-0.16702</v>
      </c>
      <c r="M135" s="5">
        <v>-0.0897</v>
      </c>
      <c r="N135" s="5">
        <v>-0.25672</v>
      </c>
      <c r="O135" s="5">
        <v>0.00312</v>
      </c>
    </row>
    <row r="136">
      <c r="A136" s="18" t="str">
        <f>IFERROR(__xludf.DUMMYFUNCTION("""COMPUTED_VALUE"""),"D.J. Seeley")</f>
        <v>D.J. Seeley</v>
      </c>
      <c r="B136" s="19" t="str">
        <f>IFERROR(__xludf.DUMMYFUNCTION("""COMPUTED_VALUE"""),"GCN")</f>
        <v>GCN</v>
      </c>
      <c r="C136" s="20">
        <f>IFERROR(__xludf.DUMMYFUNCTION("""COMPUTED_VALUE"""),830.5)</f>
        <v>830.5</v>
      </c>
      <c r="D136" s="21">
        <f>IFERROR(__xludf.DUMMYFUNCTION("""COMPUTED_VALUE"""),-3.1319421304209083)</f>
        <v>-3.13194213</v>
      </c>
      <c r="E136" s="21">
        <f>IFERROR(__xludf.DUMMYFUNCTION("""COMPUTED_VALUE"""),2.8231214316608297)</f>
        <v>2.823121432</v>
      </c>
      <c r="F136" s="21">
        <f>IFERROR(__xludf.DUMMYFUNCTION("""COMPUTED_VALUE"""),-0.30882069876007856)</f>
        <v>-0.3088206988</v>
      </c>
      <c r="G136" s="23">
        <f>IFERROR(__xludf.DUMMYFUNCTION("""COMPUTED_VALUE"""),0.42550669398095103)</f>
        <v>0.425506694</v>
      </c>
      <c r="H136" s="4"/>
      <c r="I136" s="5" t="s">
        <v>442</v>
      </c>
      <c r="J136" s="5" t="s">
        <v>184</v>
      </c>
      <c r="K136" s="5">
        <v>1.0</v>
      </c>
      <c r="L136" s="5">
        <v>-0.1777</v>
      </c>
      <c r="M136" s="5">
        <v>-0.09014</v>
      </c>
      <c r="N136" s="5">
        <v>-0.26784</v>
      </c>
      <c r="O136" s="5">
        <v>6.8E-4</v>
      </c>
    </row>
    <row r="137">
      <c r="A137" s="12" t="str">
        <f>IFERROR(__xludf.DUMMYFUNCTION("""COMPUTED_VALUE"""),"Luis Ferrando")</f>
        <v>Luis Ferrando</v>
      </c>
      <c r="B137" s="13" t="str">
        <f>IFERROR(__xludf.DUMMYFUNCTION("""COMPUTED_VALUE"""),"VAL")</f>
        <v>VAL</v>
      </c>
      <c r="C137" s="14">
        <f>IFERROR(__xludf.DUMMYFUNCTION("""COMPUTED_VALUE"""),5.5)</f>
        <v>5.5</v>
      </c>
      <c r="D137" s="15">
        <f>IFERROR(__xludf.DUMMYFUNCTION("""COMPUTED_VALUE"""),-0.12854651084134575)</f>
        <v>-0.1285465108</v>
      </c>
      <c r="E137" s="15">
        <f>IFERROR(__xludf.DUMMYFUNCTION("""COMPUTED_VALUE"""),-0.18801353365872467)</f>
        <v>-0.1880135337</v>
      </c>
      <c r="F137" s="15">
        <f>IFERROR(__xludf.DUMMYFUNCTION("""COMPUTED_VALUE"""),-0.3165600445000704)</f>
        <v>-0.3165600445</v>
      </c>
      <c r="G137" s="17">
        <f>IFERROR(__xludf.DUMMYFUNCTION("""COMPUTED_VALUE"""),0.002851043603904507)</f>
        <v>0.002851043604</v>
      </c>
      <c r="H137" s="4"/>
      <c r="I137" s="5" t="s">
        <v>205</v>
      </c>
      <c r="J137" s="5" t="s">
        <v>24</v>
      </c>
      <c r="K137" s="5">
        <v>8.0</v>
      </c>
      <c r="L137" s="5">
        <v>-0.15479</v>
      </c>
      <c r="M137" s="5">
        <v>-0.11507</v>
      </c>
      <c r="N137" s="5">
        <v>-0.26986</v>
      </c>
      <c r="O137" s="5">
        <v>0.00398</v>
      </c>
    </row>
    <row r="138">
      <c r="A138" s="18" t="str">
        <f>IFERROR(__xludf.DUMMYFUNCTION("""COMPUTED_VALUE"""),"Sebastian Saiz")</f>
        <v>Sebastian Saiz</v>
      </c>
      <c r="B138" s="19" t="str">
        <f>IFERROR(__xludf.DUMMYFUNCTION("""COMPUTED_VALUE"""),"SPB")</f>
        <v>SPB</v>
      </c>
      <c r="C138" s="20">
        <f>IFERROR(__xludf.DUMMYFUNCTION("""COMPUTED_VALUE"""),612.2)</f>
        <v>612.2</v>
      </c>
      <c r="D138" s="21">
        <f>IFERROR(__xludf.DUMMYFUNCTION("""COMPUTED_VALUE"""),-2.1209614529147376)</f>
        <v>-2.120961453</v>
      </c>
      <c r="E138" s="21">
        <f>IFERROR(__xludf.DUMMYFUNCTION("""COMPUTED_VALUE"""),1.798852710655898)</f>
        <v>1.798852711</v>
      </c>
      <c r="F138" s="21">
        <f>IFERROR(__xludf.DUMMYFUNCTION("""COMPUTED_VALUE"""),-0.3221087422588396)</f>
        <v>-0.3221087423</v>
      </c>
      <c r="G138" s="23">
        <f>IFERROR(__xludf.DUMMYFUNCTION("""COMPUTED_VALUE"""),0.3108817972715255)</f>
        <v>0.3108817973</v>
      </c>
      <c r="H138" s="4"/>
      <c r="I138" s="5" t="s">
        <v>308</v>
      </c>
      <c r="J138" s="5" t="s">
        <v>41</v>
      </c>
      <c r="K138" s="5">
        <v>6.0</v>
      </c>
      <c r="L138" s="5">
        <v>-0.20273</v>
      </c>
      <c r="M138" s="5">
        <v>-0.072</v>
      </c>
      <c r="N138" s="5">
        <v>-0.27473</v>
      </c>
      <c r="O138" s="5">
        <v>0.00305</v>
      </c>
    </row>
    <row r="139">
      <c r="A139" s="12" t="str">
        <f>IFERROR(__xludf.DUMMYFUNCTION("""COMPUTED_VALUE"""),"Mikel Sanz")</f>
        <v>Mikel Sanz</v>
      </c>
      <c r="B139" s="13" t="str">
        <f>IFERROR(__xludf.DUMMYFUNCTION("""COMPUTED_VALUE"""),"GBC")</f>
        <v>GBC</v>
      </c>
      <c r="C139" s="14">
        <f>IFERROR(__xludf.DUMMYFUNCTION("""COMPUTED_VALUE"""),8.2)</f>
        <v>8.2</v>
      </c>
      <c r="D139" s="15">
        <f>IFERROR(__xludf.DUMMYFUNCTION("""COMPUTED_VALUE"""),-0.15144443509440583)</f>
        <v>-0.1514444351</v>
      </c>
      <c r="E139" s="15">
        <f>IFERROR(__xludf.DUMMYFUNCTION("""COMPUTED_VALUE"""),-0.17518360854576173)</f>
        <v>-0.1751836085</v>
      </c>
      <c r="F139" s="15">
        <f>IFERROR(__xludf.DUMMYFUNCTION("""COMPUTED_VALUE"""),-0.32662804364016756)</f>
        <v>-0.3266280436</v>
      </c>
      <c r="G139" s="17">
        <f>IFERROR(__xludf.DUMMYFUNCTION("""COMPUTED_VALUE"""),0.004168044901630328)</f>
        <v>0.004168044902</v>
      </c>
      <c r="H139" s="4"/>
      <c r="I139" s="5" t="s">
        <v>446</v>
      </c>
      <c r="J139" s="5" t="s">
        <v>89</v>
      </c>
      <c r="K139" s="5">
        <v>464.0</v>
      </c>
      <c r="L139" s="5">
        <v>-0.88661</v>
      </c>
      <c r="M139" s="5">
        <v>0.58835</v>
      </c>
      <c r="N139" s="5">
        <v>-0.29827</v>
      </c>
      <c r="O139" s="5">
        <v>0.25839</v>
      </c>
    </row>
    <row r="140">
      <c r="A140" s="18" t="str">
        <f>IFERROR(__xludf.DUMMYFUNCTION("""COMPUTED_VALUE"""),"Ian O'Leary")</f>
        <v>Ian O'Leary</v>
      </c>
      <c r="B140" s="19" t="str">
        <f>IFERROR(__xludf.DUMMYFUNCTION("""COMPUTED_VALUE"""),"MON")</f>
        <v>MON</v>
      </c>
      <c r="C140" s="20">
        <f>IFERROR(__xludf.DUMMYFUNCTION("""COMPUTED_VALUE"""),792.3)</f>
        <v>792.3</v>
      </c>
      <c r="D140" s="21">
        <f>IFERROR(__xludf.DUMMYFUNCTION("""COMPUTED_VALUE"""),-0.22784022949704408)</f>
        <v>-0.2278402295</v>
      </c>
      <c r="E140" s="21">
        <f>IFERROR(__xludf.DUMMYFUNCTION("""COMPUTED_VALUE"""),-0.0999278806958035)</f>
        <v>-0.0999278807</v>
      </c>
      <c r="F140" s="21">
        <f>IFERROR(__xludf.DUMMYFUNCTION("""COMPUTED_VALUE"""),-0.3277681101928476)</f>
        <v>-0.3277681102</v>
      </c>
      <c r="G140" s="23">
        <f>IFERROR(__xludf.DUMMYFUNCTION("""COMPUTED_VALUE"""),0.39879541461009316)</f>
        <v>0.3987954146</v>
      </c>
      <c r="H140" s="4"/>
      <c r="I140" s="5" t="s">
        <v>234</v>
      </c>
      <c r="J140" s="5" t="s">
        <v>22</v>
      </c>
      <c r="K140" s="5">
        <v>4.0</v>
      </c>
      <c r="L140" s="5">
        <v>-0.20733</v>
      </c>
      <c r="M140" s="5">
        <v>-0.09327</v>
      </c>
      <c r="N140" s="5">
        <v>-0.30061</v>
      </c>
      <c r="O140" s="5">
        <v>0.00191</v>
      </c>
    </row>
    <row r="141">
      <c r="A141" s="12" t="str">
        <f>IFERROR(__xludf.DUMMYFUNCTION("""COMPUTED_VALUE"""),"Shaquielle McKissic")</f>
        <v>Shaquielle McKissic</v>
      </c>
      <c r="B141" s="13" t="str">
        <f>IFERROR(__xludf.DUMMYFUNCTION("""COMPUTED_VALUE"""),"GCN")</f>
        <v>GCN</v>
      </c>
      <c r="C141" s="14">
        <f>IFERROR(__xludf.DUMMYFUNCTION("""COMPUTED_VALUE"""),174.2)</f>
        <v>174.2</v>
      </c>
      <c r="D141" s="15">
        <f>IFERROR(__xludf.DUMMYFUNCTION("""COMPUTED_VALUE"""),-3.175018725829854)</f>
        <v>-3.175018726</v>
      </c>
      <c r="E141" s="15">
        <f>IFERROR(__xludf.DUMMYFUNCTION("""COMPUTED_VALUE"""),2.8382153497608904)</f>
        <v>2.83821535</v>
      </c>
      <c r="F141" s="15">
        <f>IFERROR(__xludf.DUMMYFUNCTION("""COMPUTED_VALUE"""),-0.3368033760689639)</f>
        <v>-0.3368033761</v>
      </c>
      <c r="G141" s="17">
        <f>IFERROR(__xludf.DUMMYFUNCTION("""COMPUTED_VALUE"""),0.0877745983398064)</f>
        <v>0.08777459834</v>
      </c>
      <c r="H141" s="4"/>
      <c r="I141" s="5" t="s">
        <v>449</v>
      </c>
      <c r="J141" s="5" t="s">
        <v>59</v>
      </c>
      <c r="K141" s="5">
        <v>6.0</v>
      </c>
      <c r="L141" s="5">
        <v>-0.17798</v>
      </c>
      <c r="M141" s="5">
        <v>-0.13053</v>
      </c>
      <c r="N141" s="5">
        <v>-0.30852</v>
      </c>
      <c r="O141" s="5">
        <v>0.00288</v>
      </c>
    </row>
    <row r="142">
      <c r="A142" s="18" t="str">
        <f>IFERROR(__xludf.DUMMYFUNCTION("""COMPUTED_VALUE"""),"Asier de la Iglesia")</f>
        <v>Asier de la Iglesia</v>
      </c>
      <c r="B142" s="19" t="str">
        <f>IFERROR(__xludf.DUMMYFUNCTION("""COMPUTED_VALUE"""),"GBC")</f>
        <v>GBC</v>
      </c>
      <c r="C142" s="20">
        <f>IFERROR(__xludf.DUMMYFUNCTION("""COMPUTED_VALUE"""),2.8)</f>
        <v>2.8</v>
      </c>
      <c r="D142" s="21">
        <f>IFERROR(__xludf.DUMMYFUNCTION("""COMPUTED_VALUE"""),-0.2618868008573026)</f>
        <v>-0.2618868009</v>
      </c>
      <c r="E142" s="21">
        <f>IFERROR(__xludf.DUMMYFUNCTION("""COMPUTED_VALUE"""),-0.08201760690680426)</f>
        <v>-0.08201760691</v>
      </c>
      <c r="F142" s="21">
        <f>IFERROR(__xludf.DUMMYFUNCTION("""COMPUTED_VALUE"""),-0.34390440776410686)</f>
        <v>-0.3439044078</v>
      </c>
      <c r="G142" s="23">
        <f>IFERROR(__xludf.DUMMYFUNCTION("""COMPUTED_VALUE"""),0.0014085409664403828)</f>
        <v>0.001408540966</v>
      </c>
      <c r="H142" s="4"/>
      <c r="I142" s="5" t="s">
        <v>451</v>
      </c>
      <c r="J142" s="5" t="s">
        <v>89</v>
      </c>
      <c r="K142" s="5">
        <v>54.0</v>
      </c>
      <c r="L142" s="5">
        <v>-0.14465</v>
      </c>
      <c r="M142" s="5">
        <v>-0.1697</v>
      </c>
      <c r="N142" s="5">
        <v>-0.31435</v>
      </c>
      <c r="O142" s="5">
        <v>0.02995</v>
      </c>
    </row>
    <row r="143">
      <c r="A143" s="12" t="str">
        <f>IFERROR(__xludf.DUMMYFUNCTION("""COMPUTED_VALUE"""),"Jon Urtxulutegui")</f>
        <v>Jon Urtxulutegui</v>
      </c>
      <c r="B143" s="13" t="str">
        <f>IFERROR(__xludf.DUMMYFUNCTION("""COMPUTED_VALUE"""),"GBC")</f>
        <v>GBC</v>
      </c>
      <c r="C143" s="14">
        <f>IFERROR(__xludf.DUMMYFUNCTION("""COMPUTED_VALUE"""),5.2)</f>
        <v>5.2</v>
      </c>
      <c r="D143" s="15">
        <f>IFERROR(__xludf.DUMMYFUNCTION("""COMPUTED_VALUE"""),-0.18535492086128427)</f>
        <v>-0.1853549209</v>
      </c>
      <c r="E143" s="15">
        <f>IFERROR(__xludf.DUMMYFUNCTION("""COMPUTED_VALUE"""),-0.20541765429834916)</f>
        <v>-0.2054176543</v>
      </c>
      <c r="F143" s="15">
        <f>IFERROR(__xludf.DUMMYFUNCTION("""COMPUTED_VALUE"""),-0.39077257515963343)</f>
        <v>-0.3907725752</v>
      </c>
      <c r="G143" s="17">
        <f>IFERROR(__xludf.DUMMYFUNCTION("""COMPUTED_VALUE"""),0.002541831860158368)</f>
        <v>0.00254183186</v>
      </c>
      <c r="H143" s="4"/>
      <c r="I143" s="5" t="s">
        <v>454</v>
      </c>
      <c r="J143" s="5" t="s">
        <v>267</v>
      </c>
      <c r="K143" s="5">
        <v>130.0</v>
      </c>
      <c r="L143" s="5">
        <v>-0.06411</v>
      </c>
      <c r="M143" s="5">
        <v>-0.27052</v>
      </c>
      <c r="N143" s="5">
        <v>-0.33462</v>
      </c>
      <c r="O143" s="5">
        <v>0.0658</v>
      </c>
    </row>
    <row r="144">
      <c r="A144" s="18" t="str">
        <f>IFERROR(__xludf.DUMMYFUNCTION("""COMPUTED_VALUE"""),"Danny Agbelese")</f>
        <v>Danny Agbelese</v>
      </c>
      <c r="B144" s="19" t="str">
        <f>IFERROR(__xludf.DUMMYFUNCTION("""COMPUTED_VALUE"""),"GBC")</f>
        <v>GBC</v>
      </c>
      <c r="C144" s="20">
        <f>IFERROR(__xludf.DUMMYFUNCTION("""COMPUTED_VALUE"""),554.9)</f>
        <v>554.9</v>
      </c>
      <c r="D144" s="21">
        <f>IFERROR(__xludf.DUMMYFUNCTION("""COMPUTED_VALUE"""),-2.0047844295310115)</f>
        <v>-2.00478443</v>
      </c>
      <c r="E144" s="21">
        <f>IFERROR(__xludf.DUMMYFUNCTION("""COMPUTED_VALUE"""),1.601463379951383)</f>
        <v>1.60146338</v>
      </c>
      <c r="F144" s="21">
        <f>IFERROR(__xludf.DUMMYFUNCTION("""COMPUTED_VALUE"""),-0.40332104957962833)</f>
        <v>-0.4033210496</v>
      </c>
      <c r="G144" s="23">
        <f>IFERROR(__xludf.DUMMYFUNCTION("""COMPUTED_VALUE"""),0.2691276844152465)</f>
        <v>0.2691276844</v>
      </c>
      <c r="H144" s="4"/>
      <c r="I144" s="5" t="s">
        <v>406</v>
      </c>
      <c r="J144" s="5" t="s">
        <v>267</v>
      </c>
      <c r="K144" s="5">
        <v>147.0</v>
      </c>
      <c r="L144" s="5">
        <v>0.08113</v>
      </c>
      <c r="M144" s="5">
        <v>-0.42063</v>
      </c>
      <c r="N144" s="5">
        <v>-0.33949</v>
      </c>
      <c r="O144" s="5">
        <v>0.0741</v>
      </c>
    </row>
    <row r="145">
      <c r="A145" s="12" t="str">
        <f>IFERROR(__xludf.DUMMYFUNCTION("""COMPUTED_VALUE"""),"Phil Pressey")</f>
        <v>Phil Pressey</v>
      </c>
      <c r="B145" s="13" t="str">
        <f>IFERROR(__xludf.DUMMYFUNCTION("""COMPUTED_VALUE"""),"FCB")</f>
        <v>FCB</v>
      </c>
      <c r="C145" s="14">
        <f>IFERROR(__xludf.DUMMYFUNCTION("""COMPUTED_VALUE"""),264.8)</f>
        <v>264.8</v>
      </c>
      <c r="D145" s="15">
        <f>IFERROR(__xludf.DUMMYFUNCTION("""COMPUTED_VALUE"""),0.0668843347215625)</f>
        <v>0.06688433472</v>
      </c>
      <c r="E145" s="15">
        <f>IFERROR(__xludf.DUMMYFUNCTION("""COMPUTED_VALUE"""),-0.503211324756898)</f>
        <v>-0.5032113248</v>
      </c>
      <c r="F145" s="15">
        <f>IFERROR(__xludf.DUMMYFUNCTION("""COMPUTED_VALUE"""),-0.4363269900353355)</f>
        <v>-0.43632699</v>
      </c>
      <c r="G145" s="17">
        <f>IFERROR(__xludf.DUMMYFUNCTION("""COMPUTED_VALUE"""),0.12509232910739543)</f>
        <v>0.1250923291</v>
      </c>
      <c r="H145" s="4"/>
      <c r="I145" s="5" t="s">
        <v>457</v>
      </c>
      <c r="J145" s="5" t="s">
        <v>74</v>
      </c>
      <c r="K145" s="5">
        <v>3.0</v>
      </c>
      <c r="L145" s="5">
        <v>-0.26224</v>
      </c>
      <c r="M145" s="5">
        <v>-0.08133</v>
      </c>
      <c r="N145" s="5">
        <v>-0.34357</v>
      </c>
      <c r="O145" s="5">
        <v>0.00143</v>
      </c>
    </row>
    <row r="146">
      <c r="A146" s="18" t="str">
        <f>IFERROR(__xludf.DUMMYFUNCTION("""COMPUTED_VALUE"""),"Julen Olaizola")</f>
        <v>Julen Olaizola</v>
      </c>
      <c r="B146" s="19" t="str">
        <f>IFERROR(__xludf.DUMMYFUNCTION("""COMPUTED_VALUE"""),"MUR")</f>
        <v>MUR</v>
      </c>
      <c r="C146" s="20">
        <f>IFERROR(__xludf.DUMMYFUNCTION("""COMPUTED_VALUE"""),10.8)</f>
        <v>10.8</v>
      </c>
      <c r="D146" s="21">
        <f>IFERROR(__xludf.DUMMYFUNCTION("""COMPUTED_VALUE"""),-0.32043189653048165)</f>
        <v>-0.3204318965</v>
      </c>
      <c r="E146" s="21">
        <f>IFERROR(__xludf.DUMMYFUNCTION("""COMPUTED_VALUE"""),-0.12945201919037652)</f>
        <v>-0.1294520192</v>
      </c>
      <c r="F146" s="21">
        <f>IFERROR(__xludf.DUMMYFUNCTION("""COMPUTED_VALUE"""),-0.4498839157208582)</f>
        <v>-0.4498839157</v>
      </c>
      <c r="G146" s="23">
        <f>IFERROR(__xludf.DUMMYFUNCTION("""COMPUTED_VALUE"""),0.00506671102671548)</f>
        <v>0.005066711027</v>
      </c>
      <c r="H146" s="4"/>
      <c r="I146" s="5" t="s">
        <v>459</v>
      </c>
      <c r="J146" s="5" t="s">
        <v>113</v>
      </c>
      <c r="K146" s="5">
        <v>646.0</v>
      </c>
      <c r="L146" s="5">
        <v>1.2345</v>
      </c>
      <c r="M146" s="5">
        <v>-1.61432</v>
      </c>
      <c r="N146" s="5">
        <v>-0.37982</v>
      </c>
      <c r="O146" s="5">
        <v>0.319</v>
      </c>
    </row>
    <row r="147">
      <c r="A147" s="12" t="str">
        <f>IFERROR(__xludf.DUMMYFUNCTION("""COMPUTED_VALUE"""),"Augusto Cesar Lima")</f>
        <v>Augusto Cesar Lima</v>
      </c>
      <c r="B147" s="13" t="str">
        <f>IFERROR(__xludf.DUMMYFUNCTION("""COMPUTED_VALUE"""),"MUR")</f>
        <v>MUR</v>
      </c>
      <c r="C147" s="14">
        <f>IFERROR(__xludf.DUMMYFUNCTION("""COMPUTED_VALUE"""),266.4)</f>
        <v>266.4</v>
      </c>
      <c r="D147" s="15">
        <f>IFERROR(__xludf.DUMMYFUNCTION("""COMPUTED_VALUE"""),-2.708556894851849)</f>
        <v>-2.708556895</v>
      </c>
      <c r="E147" s="15">
        <f>IFERROR(__xludf.DUMMYFUNCTION("""COMPUTED_VALUE"""),2.2497462119498093)</f>
        <v>2.249746212</v>
      </c>
      <c r="F147" s="15">
        <f>IFERROR(__xludf.DUMMYFUNCTION("""COMPUTED_VALUE"""),-0.45881068290203936)</f>
        <v>-0.4588106829</v>
      </c>
      <c r="G147" s="17">
        <f>IFERROR(__xludf.DUMMYFUNCTION("""COMPUTED_VALUE"""),0.12425914699613151)</f>
        <v>0.124259147</v>
      </c>
      <c r="H147" s="4"/>
      <c r="I147" s="5" t="s">
        <v>462</v>
      </c>
      <c r="J147" s="5" t="s">
        <v>74</v>
      </c>
      <c r="K147" s="5">
        <v>5.0</v>
      </c>
      <c r="L147" s="5">
        <v>-0.18621</v>
      </c>
      <c r="M147" s="5">
        <v>-0.20416</v>
      </c>
      <c r="N147" s="5">
        <v>-0.39038</v>
      </c>
      <c r="O147" s="5">
        <v>0.00258</v>
      </c>
    </row>
    <row r="148">
      <c r="A148" s="18" t="str">
        <f>IFERROR(__xludf.DUMMYFUNCTION("""COMPUTED_VALUE"""),"Ignacio Rosa")</f>
        <v>Ignacio Rosa</v>
      </c>
      <c r="B148" s="19" t="str">
        <f>IFERROR(__xludf.DUMMYFUNCTION("""COMPUTED_VALUE"""),"UNI")</f>
        <v>UNI</v>
      </c>
      <c r="C148" s="20">
        <f>IFERROR(__xludf.DUMMYFUNCTION("""COMPUTED_VALUE"""),4.8)</f>
        <v>4.8</v>
      </c>
      <c r="D148" s="21">
        <f>IFERROR(__xludf.DUMMYFUNCTION("""COMPUTED_VALUE"""),-0.28109373181943637)</f>
        <v>-0.2810937318</v>
      </c>
      <c r="E148" s="21">
        <f>IFERROR(__xludf.DUMMYFUNCTION("""COMPUTED_VALUE"""),-0.18250959070613343)</f>
        <v>-0.1825095907</v>
      </c>
      <c r="F148" s="21">
        <f>IFERROR(__xludf.DUMMYFUNCTION("""COMPUTED_VALUE"""),-0.4636033225255698)</f>
        <v>-0.4636033225</v>
      </c>
      <c r="G148" s="23">
        <f>IFERROR(__xludf.DUMMYFUNCTION("""COMPUTED_VALUE"""),0.0022405124697968616)</f>
        <v>0.00224051247</v>
      </c>
      <c r="H148" s="4"/>
      <c r="I148" s="5" t="s">
        <v>465</v>
      </c>
      <c r="J148" s="5" t="s">
        <v>85</v>
      </c>
      <c r="K148" s="5">
        <v>11.0</v>
      </c>
      <c r="L148" s="5">
        <v>-0.39253</v>
      </c>
      <c r="M148" s="5">
        <v>-0.05614</v>
      </c>
      <c r="N148" s="5">
        <v>-0.44867</v>
      </c>
      <c r="O148" s="5">
        <v>0.00507</v>
      </c>
    </row>
    <row r="149">
      <c r="A149" s="12" t="str">
        <f>IFERROR(__xludf.DUMMYFUNCTION("""COMPUTED_VALUE"""),"Arturs Zagars")</f>
        <v>Arturs Zagars</v>
      </c>
      <c r="B149" s="13" t="str">
        <f>IFERROR(__xludf.DUMMYFUNCTION("""COMPUTED_VALUE"""),"JOV")</f>
        <v>JOV</v>
      </c>
      <c r="C149" s="14">
        <f>IFERROR(__xludf.DUMMYFUNCTION("""COMPUTED_VALUE"""),19.6)</f>
        <v>19.6</v>
      </c>
      <c r="D149" s="15">
        <f>IFERROR(__xludf.DUMMYFUNCTION("""COMPUTED_VALUE"""),-0.2585219061920687)</f>
        <v>-0.2585219062</v>
      </c>
      <c r="E149" s="15">
        <f>IFERROR(__xludf.DUMMYFUNCTION("""COMPUTED_VALUE"""),-0.22372420994201547)</f>
        <v>-0.2237242099</v>
      </c>
      <c r="F149" s="15">
        <f>IFERROR(__xludf.DUMMYFUNCTION("""COMPUTED_VALUE"""),-0.4822461161340842)</f>
        <v>-0.4822461161</v>
      </c>
      <c r="G149" s="17">
        <f>IFERROR(__xludf.DUMMYFUNCTION("""COMPUTED_VALUE"""),0.008938321897349501)</f>
        <v>0.008938321897</v>
      </c>
      <c r="H149" s="4"/>
      <c r="I149" s="5" t="s">
        <v>468</v>
      </c>
      <c r="J149" s="5" t="s">
        <v>290</v>
      </c>
      <c r="K149" s="5">
        <v>768.0</v>
      </c>
      <c r="L149" s="5">
        <v>-0.2708</v>
      </c>
      <c r="M149" s="5">
        <v>-0.1865</v>
      </c>
      <c r="N149" s="5">
        <v>-0.4573</v>
      </c>
      <c r="O149" s="5">
        <v>0.35659</v>
      </c>
    </row>
    <row r="150">
      <c r="A150" s="18" t="str">
        <f>IFERROR(__xludf.DUMMYFUNCTION("""COMPUTED_VALUE"""),"Marc Garcia")</f>
        <v>Marc Garcia</v>
      </c>
      <c r="B150" s="19" t="str">
        <f>IFERROR(__xludf.DUMMYFUNCTION("""COMPUTED_VALUE"""),"FCB")</f>
        <v>FCB</v>
      </c>
      <c r="C150" s="20">
        <f>IFERROR(__xludf.DUMMYFUNCTION("""COMPUTED_VALUE"""),12.2)</f>
        <v>12.2</v>
      </c>
      <c r="D150" s="21">
        <f>IFERROR(__xludf.DUMMYFUNCTION("""COMPUTED_VALUE"""),-0.20530039753261123)</f>
        <v>-0.2053003975</v>
      </c>
      <c r="E150" s="21">
        <f>IFERROR(__xludf.DUMMYFUNCTION("""COMPUTED_VALUE"""),-0.286841215801526)</f>
        <v>-0.2868412158</v>
      </c>
      <c r="F150" s="21">
        <f>IFERROR(__xludf.DUMMYFUNCTION("""COMPUTED_VALUE"""),-0.4921416133341372)</f>
        <v>-0.4921416133</v>
      </c>
      <c r="G150" s="23">
        <f>IFERROR(__xludf.DUMMYFUNCTION("""COMPUTED_VALUE"""),0.005557598191358269)</f>
        <v>0.005557598191</v>
      </c>
      <c r="H150" s="4"/>
      <c r="I150" s="5" t="s">
        <v>207</v>
      </c>
      <c r="J150" s="5" t="s">
        <v>24</v>
      </c>
      <c r="K150" s="5">
        <v>12.0</v>
      </c>
      <c r="L150" s="5">
        <v>-0.26826</v>
      </c>
      <c r="M150" s="5">
        <v>-0.20687</v>
      </c>
      <c r="N150" s="5">
        <v>-0.47513</v>
      </c>
      <c r="O150" s="5">
        <v>0.00563</v>
      </c>
    </row>
    <row r="151">
      <c r="A151" s="12" t="str">
        <f>IFERROR(__xludf.DUMMYFUNCTION("""COMPUTED_VALUE"""),"Jose Angel Antelo")</f>
        <v>Jose Angel Antelo</v>
      </c>
      <c r="B151" s="13" t="str">
        <f>IFERROR(__xludf.DUMMYFUNCTION("""COMPUTED_VALUE"""),"MUR")</f>
        <v>MUR</v>
      </c>
      <c r="C151" s="14">
        <f>IFERROR(__xludf.DUMMYFUNCTION("""COMPUTED_VALUE"""),34.9)</f>
        <v>34.9</v>
      </c>
      <c r="D151" s="15">
        <f>IFERROR(__xludf.DUMMYFUNCTION("""COMPUTED_VALUE"""),-0.3698364083064979)</f>
        <v>-0.3698364083</v>
      </c>
      <c r="E151" s="15">
        <f>IFERROR(__xludf.DUMMYFUNCTION("""COMPUTED_VALUE"""),-0.1326090500373578)</f>
        <v>-0.13260905</v>
      </c>
      <c r="F151" s="15">
        <f>IFERROR(__xludf.DUMMYFUNCTION("""COMPUTED_VALUE"""),-0.5024454583438557)</f>
        <v>-0.5024454583</v>
      </c>
      <c r="G151" s="17">
        <f>IFERROR(__xludf.DUMMYFUNCTION("""COMPUTED_VALUE"""),0.015817805571729068)</f>
        <v>0.01581780557</v>
      </c>
      <c r="H151" s="4"/>
      <c r="I151" s="5" t="s">
        <v>473</v>
      </c>
      <c r="J151" s="5" t="s">
        <v>267</v>
      </c>
      <c r="K151" s="5">
        <v>257.0</v>
      </c>
      <c r="L151" s="5">
        <v>-1.92385</v>
      </c>
      <c r="M151" s="5">
        <v>1.44706</v>
      </c>
      <c r="N151" s="5">
        <v>-0.47679</v>
      </c>
      <c r="O151" s="5">
        <v>0.11926</v>
      </c>
    </row>
    <row r="152">
      <c r="A152" s="18" t="str">
        <f>IFERROR(__xludf.DUMMYFUNCTION("""COMPUTED_VALUE"""),"Alberto Martin")</f>
        <v>Alberto Martin</v>
      </c>
      <c r="B152" s="19" t="str">
        <f>IFERROR(__xludf.DUMMYFUNCTION("""COMPUTED_VALUE"""),"MUR")</f>
        <v>MUR</v>
      </c>
      <c r="C152" s="20">
        <f>IFERROR(__xludf.DUMMYFUNCTION("""COMPUTED_VALUE"""),30.7)</f>
        <v>30.7</v>
      </c>
      <c r="D152" s="21">
        <f>IFERROR(__xludf.DUMMYFUNCTION("""COMPUTED_VALUE"""),-0.5208105528900034)</f>
        <v>-0.5208105529</v>
      </c>
      <c r="E152" s="21">
        <f>IFERROR(__xludf.DUMMYFUNCTION("""COMPUTED_VALUE"""),0.01462996267331429)</f>
        <v>0.01462996267</v>
      </c>
      <c r="F152" s="21">
        <f>IFERROR(__xludf.DUMMYFUNCTION("""COMPUTED_VALUE"""),-0.5061805902166892)</f>
        <v>-0.5061805902</v>
      </c>
      <c r="G152" s="23">
        <f>IFERROR(__xludf.DUMMYFUNCTION("""COMPUTED_VALUE"""),0.013879525881336785)</f>
        <v>0.01387952588</v>
      </c>
      <c r="H152" s="4"/>
      <c r="I152" s="5" t="s">
        <v>476</v>
      </c>
      <c r="J152" s="5" t="s">
        <v>267</v>
      </c>
      <c r="K152" s="5">
        <v>440.0</v>
      </c>
      <c r="L152" s="5">
        <v>-3.86742</v>
      </c>
      <c r="M152" s="5">
        <v>3.39021</v>
      </c>
      <c r="N152" s="5">
        <v>-0.47721</v>
      </c>
      <c r="O152" s="5">
        <v>0.20377</v>
      </c>
    </row>
    <row r="153">
      <c r="A153" s="12" t="str">
        <f>IFERROR(__xludf.DUMMYFUNCTION("""COMPUTED_VALUE"""),"Juan Jose Triguero")</f>
        <v>Juan Jose Triguero</v>
      </c>
      <c r="B153" s="13" t="str">
        <f>IFERROR(__xludf.DUMMYFUNCTION("""COMPUTED_VALUE"""),"ZAR")</f>
        <v>ZAR</v>
      </c>
      <c r="C153" s="14">
        <f>IFERROR(__xludf.DUMMYFUNCTION("""COMPUTED_VALUE"""),275.0)</f>
        <v>275</v>
      </c>
      <c r="D153" s="15">
        <f>IFERROR(__xludf.DUMMYFUNCTION("""COMPUTED_VALUE"""),-2.9235760129322332)</f>
        <v>-2.923576013</v>
      </c>
      <c r="E153" s="15">
        <f>IFERROR(__xludf.DUMMYFUNCTION("""COMPUTED_VALUE"""),2.3928850753351663)</f>
        <v>2.392885075</v>
      </c>
      <c r="F153" s="15">
        <f>IFERROR(__xludf.DUMMYFUNCTION("""COMPUTED_VALUE"""),-0.530690937597067)</f>
        <v>-0.5306909376</v>
      </c>
      <c r="G153" s="17">
        <f>IFERROR(__xludf.DUMMYFUNCTION("""COMPUTED_VALUE"""),0.12293862494796216)</f>
        <v>0.1229386249</v>
      </c>
      <c r="H153" s="4"/>
      <c r="I153" s="5" t="s">
        <v>478</v>
      </c>
      <c r="J153" s="5" t="s">
        <v>233</v>
      </c>
      <c r="K153" s="5">
        <v>20.0</v>
      </c>
      <c r="L153" s="5">
        <v>-0.26134</v>
      </c>
      <c r="M153" s="5">
        <v>-0.22319</v>
      </c>
      <c r="N153" s="5">
        <v>-0.48453</v>
      </c>
      <c r="O153" s="5">
        <v>0.00892</v>
      </c>
    </row>
    <row r="154">
      <c r="A154" s="18" t="str">
        <f>IFERROR(__xludf.DUMMYFUNCTION("""COMPUTED_VALUE"""),"Jarvis Varnado")</f>
        <v>Jarvis Varnado</v>
      </c>
      <c r="B154" s="19" t="str">
        <f>IFERROR(__xludf.DUMMYFUNCTION("""COMPUTED_VALUE"""),"ZAR")</f>
        <v>ZAR</v>
      </c>
      <c r="C154" s="20">
        <f>IFERROR(__xludf.DUMMYFUNCTION("""COMPUTED_VALUE"""),439.6)</f>
        <v>439.6</v>
      </c>
      <c r="D154" s="21">
        <f>IFERROR(__xludf.DUMMYFUNCTION("""COMPUTED_VALUE"""),-5.249226175229672)</f>
        <v>-5.249226175</v>
      </c>
      <c r="E154" s="21">
        <f>IFERROR(__xludf.DUMMYFUNCTION("""COMPUTED_VALUE"""),4.699601131310235)</f>
        <v>4.699601131</v>
      </c>
      <c r="F154" s="21">
        <f>IFERROR(__xludf.DUMMYFUNCTION("""COMPUTED_VALUE"""),-0.5496250439194368)</f>
        <v>-0.5496250439</v>
      </c>
      <c r="G154" s="23">
        <f>IFERROR(__xludf.DUMMYFUNCTION("""COMPUTED_VALUE"""),0.1939905060976283)</f>
        <v>0.1939905061</v>
      </c>
      <c r="H154" s="4"/>
      <c r="I154" s="5" t="s">
        <v>481</v>
      </c>
      <c r="J154" s="5" t="s">
        <v>85</v>
      </c>
      <c r="K154" s="5">
        <v>31.0</v>
      </c>
      <c r="L154" s="5">
        <v>-0.72499</v>
      </c>
      <c r="M154" s="5">
        <v>0.22308</v>
      </c>
      <c r="N154" s="5">
        <v>-0.50191</v>
      </c>
      <c r="O154" s="5">
        <v>0.01392</v>
      </c>
    </row>
    <row r="155">
      <c r="A155" s="12" t="str">
        <f>IFERROR(__xludf.DUMMYFUNCTION("""COMPUTED_VALUE"""),"Atoumane Diagne")</f>
        <v>Atoumane Diagne</v>
      </c>
      <c r="B155" s="13" t="str">
        <f>IFERROR(__xludf.DUMMYFUNCTION("""COMPUTED_VALUE"""),"FCB")</f>
        <v>FCB</v>
      </c>
      <c r="C155" s="14">
        <f>IFERROR(__xludf.DUMMYFUNCTION("""COMPUTED_VALUE"""),9.8)</f>
        <v>9.8</v>
      </c>
      <c r="D155" s="15">
        <f>IFERROR(__xludf.DUMMYFUNCTION("""COMPUTED_VALUE"""),-0.3704498039130764)</f>
        <v>-0.3704498039</v>
      </c>
      <c r="E155" s="15">
        <f>IFERROR(__xludf.DUMMYFUNCTION("""COMPUTED_VALUE"""),-0.22057930697736422)</f>
        <v>-0.220579307</v>
      </c>
      <c r="F155" s="15">
        <f>IFERROR(__xludf.DUMMYFUNCTION("""COMPUTED_VALUE"""),-0.5910291108904406)</f>
        <v>-0.5910291109</v>
      </c>
      <c r="G155" s="17">
        <f>IFERROR(__xludf.DUMMYFUNCTION("""COMPUTED_VALUE"""),0.00417152503089802)</f>
        <v>0.004171525031</v>
      </c>
      <c r="H155" s="4"/>
      <c r="I155" s="5" t="s">
        <v>483</v>
      </c>
      <c r="J155" s="5" t="s">
        <v>85</v>
      </c>
      <c r="K155" s="5">
        <v>35.0</v>
      </c>
      <c r="L155" s="5">
        <v>-0.60715</v>
      </c>
      <c r="M155" s="5">
        <v>0.10406</v>
      </c>
      <c r="N155" s="5">
        <v>-0.50309</v>
      </c>
      <c r="O155" s="5">
        <v>0.01581</v>
      </c>
    </row>
    <row r="156">
      <c r="A156" s="18" t="str">
        <f>IFERROR(__xludf.DUMMYFUNCTION("""COMPUTED_VALUE"""),"Rodrigo San Miguel")</f>
        <v>Rodrigo San Miguel</v>
      </c>
      <c r="B156" s="19" t="str">
        <f>IFERROR(__xludf.DUMMYFUNCTION("""COMPUTED_VALUE"""),"CAN")</f>
        <v>CAN</v>
      </c>
      <c r="C156" s="20">
        <f>IFERROR(__xludf.DUMMYFUNCTION("""COMPUTED_VALUE"""),823.9)</f>
        <v>823.9</v>
      </c>
      <c r="D156" s="21">
        <f>IFERROR(__xludf.DUMMYFUNCTION("""COMPUTED_VALUE"""),-0.28181954742042303)</f>
        <v>-0.2818195474</v>
      </c>
      <c r="E156" s="21">
        <f>IFERROR(__xludf.DUMMYFUNCTION("""COMPUTED_VALUE"""),-0.33965355604657965)</f>
        <v>-0.339653556</v>
      </c>
      <c r="F156" s="21">
        <f>IFERROR(__xludf.DUMMYFUNCTION("""COMPUTED_VALUE"""),-0.6214731034670027)</f>
        <v>-0.6214731035</v>
      </c>
      <c r="G156" s="23">
        <f>IFERROR(__xludf.DUMMYFUNCTION("""COMPUTED_VALUE"""),0.3445957082098144)</f>
        <v>0.3445957082</v>
      </c>
      <c r="H156" s="4"/>
      <c r="I156" s="5" t="s">
        <v>158</v>
      </c>
      <c r="J156" s="5" t="s">
        <v>14</v>
      </c>
      <c r="K156" s="5">
        <v>381.0</v>
      </c>
      <c r="L156" s="5">
        <v>-1.44522</v>
      </c>
      <c r="M156" s="5">
        <v>0.9065</v>
      </c>
      <c r="N156" s="5">
        <v>-0.53872</v>
      </c>
      <c r="O156" s="5">
        <v>0.16927</v>
      </c>
    </row>
    <row r="157">
      <c r="A157" s="12" t="str">
        <f>IFERROR(__xludf.DUMMYFUNCTION("""COMPUTED_VALUE"""),"Melwin Pantzar")</f>
        <v>Melwin Pantzar</v>
      </c>
      <c r="B157" s="13" t="str">
        <f>IFERROR(__xludf.DUMMYFUNCTION("""COMPUTED_VALUE"""),"RMB")</f>
        <v>RMB</v>
      </c>
      <c r="C157" s="14">
        <f>IFERROR(__xludf.DUMMYFUNCTION("""COMPUTED_VALUE"""),35.2)</f>
        <v>35.2</v>
      </c>
      <c r="D157" s="15">
        <f>IFERROR(__xludf.DUMMYFUNCTION("""COMPUTED_VALUE"""),-0.8343813669441931)</f>
        <v>-0.8343813669</v>
      </c>
      <c r="E157" s="15">
        <f>IFERROR(__xludf.DUMMYFUNCTION("""COMPUTED_VALUE"""),0.18916749578029624)</f>
        <v>0.1891674958</v>
      </c>
      <c r="F157" s="15">
        <f>IFERROR(__xludf.DUMMYFUNCTION("""COMPUTED_VALUE"""),-0.6452138711638968)</f>
        <v>-0.6452138712</v>
      </c>
      <c r="G157" s="17">
        <f>IFERROR(__xludf.DUMMYFUNCTION("""COMPUTED_VALUE"""),0.014497193778749543)</f>
        <v>0.01449719378</v>
      </c>
      <c r="H157" s="4"/>
      <c r="I157" s="5" t="s">
        <v>488</v>
      </c>
      <c r="J157" s="5" t="s">
        <v>14</v>
      </c>
      <c r="K157" s="5">
        <v>14.0</v>
      </c>
      <c r="L157" s="5">
        <v>-0.63128</v>
      </c>
      <c r="M157" s="5">
        <v>0.08775</v>
      </c>
      <c r="N157" s="5">
        <v>-0.54353</v>
      </c>
      <c r="O157" s="5">
        <v>0.00628</v>
      </c>
    </row>
    <row r="158">
      <c r="A158" s="18" t="str">
        <f>IFERROR(__xludf.DUMMYFUNCTION("""COMPUTED_VALUE"""),"Albert Ventura")</f>
        <v>Albert Ventura</v>
      </c>
      <c r="B158" s="19" t="str">
        <f>IFERROR(__xludf.DUMMYFUNCTION("""COMPUTED_VALUE"""),"JOV")</f>
        <v>JOV</v>
      </c>
      <c r="C158" s="20">
        <f>IFERROR(__xludf.DUMMYFUNCTION("""COMPUTED_VALUE"""),647.4)</f>
        <v>647.4</v>
      </c>
      <c r="D158" s="21">
        <f>IFERROR(__xludf.DUMMYFUNCTION("""COMPUTED_VALUE"""),-1.8829673220621383)</f>
        <v>-1.882967322</v>
      </c>
      <c r="E158" s="21">
        <f>IFERROR(__xludf.DUMMYFUNCTION("""COMPUTED_VALUE"""),1.2357985979677868)</f>
        <v>1.235798598</v>
      </c>
      <c r="F158" s="21">
        <f>IFERROR(__xludf.DUMMYFUNCTION("""COMPUTED_VALUE"""),-0.6471687240943517)</f>
        <v>-0.6471687241</v>
      </c>
      <c r="G158" s="23">
        <f>IFERROR(__xludf.DUMMYFUNCTION("""COMPUTED_VALUE"""),0.26315698186307246)</f>
        <v>0.2631569819</v>
      </c>
      <c r="H158" s="4"/>
      <c r="I158" s="5" t="s">
        <v>490</v>
      </c>
      <c r="J158" s="5" t="s">
        <v>184</v>
      </c>
      <c r="K158" s="5">
        <v>581.0</v>
      </c>
      <c r="L158" s="5">
        <v>-0.71537</v>
      </c>
      <c r="M158" s="5">
        <v>0.16535</v>
      </c>
      <c r="N158" s="5">
        <v>-0.55002</v>
      </c>
      <c r="O158" s="5">
        <v>0.25343</v>
      </c>
    </row>
    <row r="159">
      <c r="A159" s="12" t="str">
        <f>IFERROR(__xludf.DUMMYFUNCTION("""COMPUTED_VALUE"""),"Nacho Llovet")</f>
        <v>Nacho Llovet</v>
      </c>
      <c r="B159" s="13" t="str">
        <f>IFERROR(__xludf.DUMMYFUNCTION("""COMPUTED_VALUE"""),"OBR")</f>
        <v>OBR</v>
      </c>
      <c r="C159" s="14">
        <f>IFERROR(__xludf.DUMMYFUNCTION("""COMPUTED_VALUE"""),708.5)</f>
        <v>708.5</v>
      </c>
      <c r="D159" s="15">
        <f>IFERROR(__xludf.DUMMYFUNCTION("""COMPUTED_VALUE"""),-0.5982806986722542)</f>
        <v>-0.5982806987</v>
      </c>
      <c r="E159" s="15">
        <f>IFERROR(__xludf.DUMMYFUNCTION("""COMPUTED_VALUE"""),-0.057220625573009)</f>
        <v>-0.05722062557</v>
      </c>
      <c r="F159" s="15">
        <f>IFERROR(__xludf.DUMMYFUNCTION("""COMPUTED_VALUE"""),-0.6555013242452632)</f>
        <v>-0.6555013242</v>
      </c>
      <c r="G159" s="17">
        <f>IFERROR(__xludf.DUMMYFUNCTION("""COMPUTED_VALUE"""),0.2945947404474498)</f>
        <v>0.2945947404</v>
      </c>
      <c r="H159" s="4"/>
      <c r="I159" s="5" t="s">
        <v>493</v>
      </c>
      <c r="J159" s="5" t="s">
        <v>54</v>
      </c>
      <c r="K159" s="5">
        <v>815.0</v>
      </c>
      <c r="L159" s="5">
        <v>-1.05238</v>
      </c>
      <c r="M159" s="5">
        <v>0.4877</v>
      </c>
      <c r="N159" s="5">
        <v>-0.56467</v>
      </c>
      <c r="O159" s="5">
        <v>0.35458</v>
      </c>
    </row>
    <row r="160">
      <c r="A160" s="18" t="str">
        <f>IFERROR(__xludf.DUMMYFUNCTION("""COMPUTED_VALUE"""),"Felipe Dos Anjos")</f>
        <v>Felipe Dos Anjos</v>
      </c>
      <c r="B160" s="19" t="str">
        <f>IFERROR(__xludf.DUMMYFUNCTION("""COMPUTED_VALUE"""),"SPB")</f>
        <v>SPB</v>
      </c>
      <c r="C160" s="20">
        <f>IFERROR(__xludf.DUMMYFUNCTION("""COMPUTED_VALUE"""),16.4)</f>
        <v>16.4</v>
      </c>
      <c r="D160" s="21">
        <f>IFERROR(__xludf.DUMMYFUNCTION("""COMPUTED_VALUE"""),-0.5039795865502412)</f>
        <v>-0.5039795866</v>
      </c>
      <c r="E160" s="21">
        <f>IFERROR(__xludf.DUMMYFUNCTION("""COMPUTED_VALUE"""),-0.16041308494027162)</f>
        <v>-0.1604130849</v>
      </c>
      <c r="F160" s="21">
        <f>IFERROR(__xludf.DUMMYFUNCTION("""COMPUTED_VALUE"""),-0.6643926714905128)</f>
        <v>-0.6643926715</v>
      </c>
      <c r="G160" s="23">
        <f>IFERROR(__xludf.DUMMYFUNCTION("""COMPUTED_VALUE"""),0.006629195072965731)</f>
        <v>0.006629195073</v>
      </c>
      <c r="H160" s="4"/>
      <c r="I160" s="5" t="s">
        <v>495</v>
      </c>
      <c r="J160" s="5" t="s">
        <v>184</v>
      </c>
      <c r="K160" s="5">
        <v>438.0</v>
      </c>
      <c r="L160" s="5">
        <v>2.0624</v>
      </c>
      <c r="M160" s="5">
        <v>-2.63798</v>
      </c>
      <c r="N160" s="5">
        <v>-0.57558</v>
      </c>
      <c r="O160" s="5">
        <v>0.18772</v>
      </c>
    </row>
    <row r="161">
      <c r="A161" s="12" t="str">
        <f>IFERROR(__xludf.DUMMYFUNCTION("""COMPUTED_VALUE"""),"Vitor Faverani")</f>
        <v>Vitor Faverani</v>
      </c>
      <c r="B161" s="13" t="str">
        <f>IFERROR(__xludf.DUMMYFUNCTION("""COMPUTED_VALUE"""),"MUR")</f>
        <v>MUR</v>
      </c>
      <c r="C161" s="14">
        <f>IFERROR(__xludf.DUMMYFUNCTION("""COMPUTED_VALUE"""),14.5)</f>
        <v>14.5</v>
      </c>
      <c r="D161" s="15">
        <f>IFERROR(__xludf.DUMMYFUNCTION("""COMPUTED_VALUE"""),-0.341968415670429)</f>
        <v>-0.3419684157</v>
      </c>
      <c r="E161" s="15">
        <f>IFERROR(__xludf.DUMMYFUNCTION("""COMPUTED_VALUE"""),-0.3372234440240235)</f>
        <v>-0.337223444</v>
      </c>
      <c r="F161" s="15">
        <f>IFERROR(__xludf.DUMMYFUNCTION("""COMPUTED_VALUE"""),-0.6791918596944525)</f>
        <v>-0.6791918597</v>
      </c>
      <c r="G161" s="17">
        <f>IFERROR(__xludf.DUMMYFUNCTION("""COMPUTED_VALUE"""),0.005796233820074505)</f>
        <v>0.00579623382</v>
      </c>
      <c r="H161" s="4"/>
      <c r="I161" s="5" t="s">
        <v>497</v>
      </c>
      <c r="J161" s="5" t="s">
        <v>74</v>
      </c>
      <c r="K161" s="5">
        <v>750.0</v>
      </c>
      <c r="L161" s="5">
        <v>-0.92132</v>
      </c>
      <c r="M161" s="5">
        <v>0.34147</v>
      </c>
      <c r="N161" s="5">
        <v>-0.57985</v>
      </c>
      <c r="O161" s="5">
        <v>0.32872</v>
      </c>
    </row>
    <row r="162">
      <c r="A162" s="18" t="str">
        <f>IFERROR(__xludf.DUMMYFUNCTION("""COMPUTED_VALUE"""),"Dino Radoncic")</f>
        <v>Dino Radoncic</v>
      </c>
      <c r="B162" s="19" t="str">
        <f>IFERROR(__xludf.DUMMYFUNCTION("""COMPUTED_VALUE"""),"RMB")</f>
        <v>RMB</v>
      </c>
      <c r="C162" s="20">
        <f>IFERROR(__xludf.DUMMYFUNCTION("""COMPUTED_VALUE"""),286.2)</f>
        <v>286.2</v>
      </c>
      <c r="D162" s="21">
        <f>IFERROR(__xludf.DUMMYFUNCTION("""COMPUTED_VALUE"""),-1.0184904924079514)</f>
        <v>-1.018490492</v>
      </c>
      <c r="E162" s="21">
        <f>IFERROR(__xludf.DUMMYFUNCTION("""COMPUTED_VALUE"""),0.33383822084496506)</f>
        <v>0.3338382208</v>
      </c>
      <c r="F162" s="21">
        <f>IFERROR(__xludf.DUMMYFUNCTION("""COMPUTED_VALUE"""),-0.6846522715629864)</f>
        <v>-0.6846522716</v>
      </c>
      <c r="G162" s="23">
        <f>IFERROR(__xludf.DUMMYFUNCTION("""COMPUTED_VALUE"""),0.11444076378674843)</f>
        <v>0.1144407638</v>
      </c>
      <c r="H162" s="4"/>
      <c r="I162" s="5" t="s">
        <v>499</v>
      </c>
      <c r="J162" s="5" t="s">
        <v>85</v>
      </c>
      <c r="K162" s="5">
        <v>565.0</v>
      </c>
      <c r="L162" s="5">
        <v>-4.79666</v>
      </c>
      <c r="M162" s="5">
        <v>4.18446</v>
      </c>
      <c r="N162" s="5">
        <v>-0.6122</v>
      </c>
      <c r="O162" s="5">
        <v>0.23739</v>
      </c>
    </row>
    <row r="163">
      <c r="A163" s="12" t="str">
        <f>IFERROR(__xludf.DUMMYFUNCTION("""COMPUTED_VALUE"""),"Guillem Colom")</f>
        <v>Guillem Colom</v>
      </c>
      <c r="B163" s="13" t="str">
        <f>IFERROR(__xludf.DUMMYFUNCTION("""COMPUTED_VALUE"""),"AND")</f>
        <v>AND</v>
      </c>
      <c r="C163" s="14">
        <f>IFERROR(__xludf.DUMMYFUNCTION("""COMPUTED_VALUE"""),60.1)</f>
        <v>60.1</v>
      </c>
      <c r="D163" s="15">
        <f>IFERROR(__xludf.DUMMYFUNCTION("""COMPUTED_VALUE"""),-0.644785532929232)</f>
        <v>-0.6447855329</v>
      </c>
      <c r="E163" s="15">
        <f>IFERROR(__xludf.DUMMYFUNCTION("""COMPUTED_VALUE"""),-0.053902070549296854)</f>
        <v>-0.05390207055</v>
      </c>
      <c r="F163" s="15">
        <f>IFERROR(__xludf.DUMMYFUNCTION("""COMPUTED_VALUE"""),-0.6986876034785289)</f>
        <v>-0.6986876035</v>
      </c>
      <c r="G163" s="17">
        <f>IFERROR(__xludf.DUMMYFUNCTION("""COMPUTED_VALUE"""),0.025511371841413298)</f>
        <v>0.02551137184</v>
      </c>
      <c r="H163" s="4"/>
      <c r="I163" s="5" t="s">
        <v>502</v>
      </c>
      <c r="J163" s="5" t="s">
        <v>225</v>
      </c>
      <c r="K163" s="5">
        <v>16.0</v>
      </c>
      <c r="L163" s="5">
        <v>-0.43431</v>
      </c>
      <c r="M163" s="5">
        <v>-0.23178</v>
      </c>
      <c r="N163" s="5">
        <v>-0.66609</v>
      </c>
      <c r="O163" s="5">
        <v>0.00662</v>
      </c>
    </row>
    <row r="164">
      <c r="A164" s="18" t="str">
        <f>IFERROR(__xludf.DUMMYFUNCTION("""COMPUTED_VALUE"""),"Nicolas Richotti")</f>
        <v>Nicolas Richotti</v>
      </c>
      <c r="B164" s="19" t="str">
        <f>IFERROR(__xludf.DUMMYFUNCTION("""COMPUTED_VALUE"""),"CAN")</f>
        <v>CAN</v>
      </c>
      <c r="C164" s="20">
        <f>IFERROR(__xludf.DUMMYFUNCTION("""COMPUTED_VALUE"""),311.2)</f>
        <v>311.2</v>
      </c>
      <c r="D164" s="21">
        <f>IFERROR(__xludf.DUMMYFUNCTION("""COMPUTED_VALUE"""),-0.11561386995236733)</f>
        <v>-0.11561387</v>
      </c>
      <c r="E164" s="21">
        <f>IFERROR(__xludf.DUMMYFUNCTION("""COMPUTED_VALUE"""),-0.6198330405444173)</f>
        <v>-0.6198330405</v>
      </c>
      <c r="F164" s="21">
        <f>IFERROR(__xludf.DUMMYFUNCTION("""COMPUTED_VALUE"""),-0.7354469104967847)</f>
        <v>-0.7354469105</v>
      </c>
      <c r="G164" s="23">
        <f>IFERROR(__xludf.DUMMYFUNCTION("""COMPUTED_VALUE"""),0.11939792314058036)</f>
        <v>0.1193979231</v>
      </c>
      <c r="H164" s="4"/>
      <c r="I164" s="5" t="s">
        <v>504</v>
      </c>
      <c r="J164" s="5" t="s">
        <v>85</v>
      </c>
      <c r="K164" s="5">
        <v>15.0</v>
      </c>
      <c r="L164" s="5">
        <v>-0.4405</v>
      </c>
      <c r="M164" s="5">
        <v>-0.23889</v>
      </c>
      <c r="N164" s="5">
        <v>-0.67939</v>
      </c>
      <c r="O164" s="5">
        <v>0.00579</v>
      </c>
    </row>
    <row r="165">
      <c r="A165" s="12" t="str">
        <f>IFERROR(__xludf.DUMMYFUNCTION("""COMPUTED_VALUE"""),"Jeff Brooks")</f>
        <v>Jeff Brooks</v>
      </c>
      <c r="B165" s="13" t="str">
        <f>IFERROR(__xludf.DUMMYFUNCTION("""COMPUTED_VALUE"""),"UNI")</f>
        <v>UNI</v>
      </c>
      <c r="C165" s="14">
        <f>IFERROR(__xludf.DUMMYFUNCTION("""COMPUTED_VALUE"""),680.2)</f>
        <v>680.2</v>
      </c>
      <c r="D165" s="15">
        <f>IFERROR(__xludf.DUMMYFUNCTION("""COMPUTED_VALUE"""),1.0981182339822717)</f>
        <v>1.098118234</v>
      </c>
      <c r="E165" s="15">
        <f>IFERROR(__xludf.DUMMYFUNCTION("""COMPUTED_VALUE"""),-1.849268665857732)</f>
        <v>-1.849268666</v>
      </c>
      <c r="F165" s="15">
        <f>IFERROR(__xludf.DUMMYFUNCTION("""COMPUTED_VALUE"""),-0.7511504318754603)</f>
        <v>-0.7511504319</v>
      </c>
      <c r="G165" s="17">
        <f>IFERROR(__xludf.DUMMYFUNCTION("""COMPUTED_VALUE"""),0.2580771322903904)</f>
        <v>0.2580771323</v>
      </c>
      <c r="H165" s="4"/>
      <c r="I165" s="5" t="s">
        <v>384</v>
      </c>
      <c r="J165" s="5" t="s">
        <v>59</v>
      </c>
      <c r="K165" s="5">
        <v>453.0</v>
      </c>
      <c r="L165" s="5">
        <v>-2.1507</v>
      </c>
      <c r="M165" s="5">
        <v>1.46351</v>
      </c>
      <c r="N165" s="5">
        <v>-0.68719</v>
      </c>
      <c r="O165" s="5">
        <v>0.18367</v>
      </c>
    </row>
    <row r="166">
      <c r="A166" s="18" t="str">
        <f>IFERROR(__xludf.DUMMYFUNCTION("""COMPUTED_VALUE"""),"Chema Gonzalez")</f>
        <v>Chema Gonzalez</v>
      </c>
      <c r="B166" s="19" t="str">
        <f>IFERROR(__xludf.DUMMYFUNCTION("""COMPUTED_VALUE"""),"MON")</f>
        <v>MON</v>
      </c>
      <c r="C166" s="20">
        <f>IFERROR(__xludf.DUMMYFUNCTION("""COMPUTED_VALUE"""),30.1)</f>
        <v>30.1</v>
      </c>
      <c r="D166" s="21">
        <f>IFERROR(__xludf.DUMMYFUNCTION("""COMPUTED_VALUE"""),-0.4494968762207044)</f>
        <v>-0.4494968762</v>
      </c>
      <c r="E166" s="21">
        <f>IFERROR(__xludf.DUMMYFUNCTION("""COMPUTED_VALUE"""),-0.3084530152774602)</f>
        <v>-0.3084530153</v>
      </c>
      <c r="F166" s="21">
        <f>IFERROR(__xludf.DUMMYFUNCTION("""COMPUTED_VALUE"""),-0.7579498914981646)</f>
        <v>-0.7579498915</v>
      </c>
      <c r="G166" s="23">
        <f>IFERROR(__xludf.DUMMYFUNCTION("""COMPUTED_VALUE"""),0.011253033496333735)</f>
        <v>0.0112530335</v>
      </c>
      <c r="H166" s="4"/>
      <c r="I166" s="5" t="s">
        <v>463</v>
      </c>
      <c r="J166" s="5" t="s">
        <v>22</v>
      </c>
      <c r="K166" s="5">
        <v>628.0</v>
      </c>
      <c r="L166" s="5">
        <v>-0.05445</v>
      </c>
      <c r="M166" s="5">
        <v>-0.64406</v>
      </c>
      <c r="N166" s="5">
        <v>-0.69851</v>
      </c>
      <c r="O166" s="5">
        <v>0.24808</v>
      </c>
    </row>
    <row r="167">
      <c r="A167" s="12" t="str">
        <f>IFERROR(__xludf.DUMMYFUNCTION("""COMPUTED_VALUE"""),"Rakim Sanders")</f>
        <v>Rakim Sanders</v>
      </c>
      <c r="B167" s="13" t="str">
        <f>IFERROR(__xludf.DUMMYFUNCTION("""COMPUTED_VALUE"""),"FCB")</f>
        <v>FCB</v>
      </c>
      <c r="C167" s="14">
        <f>IFERROR(__xludf.DUMMYFUNCTION("""COMPUTED_VALUE"""),337.2)</f>
        <v>337.2</v>
      </c>
      <c r="D167" s="15">
        <f>IFERROR(__xludf.DUMMYFUNCTION("""COMPUTED_VALUE"""),0.00541120188190547)</f>
        <v>0.005411201882</v>
      </c>
      <c r="E167" s="15">
        <f>IFERROR(__xludf.DUMMYFUNCTION("""COMPUTED_VALUE"""),-0.7791977758437425)</f>
        <v>-0.7791977758</v>
      </c>
      <c r="F167" s="15">
        <f>IFERROR(__xludf.DUMMYFUNCTION("""COMPUTED_VALUE"""),-0.773786573961837)</f>
        <v>-0.773786574</v>
      </c>
      <c r="G167" s="17">
        <f>IFERROR(__xludf.DUMMYFUNCTION("""COMPUTED_VALUE"""),0.12491666785297716)</f>
        <v>0.1249166679</v>
      </c>
      <c r="H167" s="4"/>
      <c r="I167" s="5" t="s">
        <v>510</v>
      </c>
      <c r="J167" s="5" t="s">
        <v>24</v>
      </c>
      <c r="K167" s="5">
        <v>14.0</v>
      </c>
      <c r="L167" s="5">
        <v>-0.55275</v>
      </c>
      <c r="M167" s="5">
        <v>-0.15521</v>
      </c>
      <c r="N167" s="5">
        <v>-0.70796</v>
      </c>
      <c r="O167" s="5">
        <v>0.0054</v>
      </c>
    </row>
    <row r="168">
      <c r="A168" s="18" t="str">
        <f>IFERROR(__xludf.DUMMYFUNCTION("""COMPUTED_VALUE"""),"Colton Iverson")</f>
        <v>Colton Iverson</v>
      </c>
      <c r="B168" s="19" t="str">
        <f>IFERROR(__xludf.DUMMYFUNCTION("""COMPUTED_VALUE"""),"AND")</f>
        <v>AND</v>
      </c>
      <c r="C168" s="20">
        <f>IFERROR(__xludf.DUMMYFUNCTION("""COMPUTED_VALUE"""),253.8)</f>
        <v>253.8</v>
      </c>
      <c r="D168" s="21">
        <f>IFERROR(__xludf.DUMMYFUNCTION("""COMPUTED_VALUE"""),-2.869621018264217)</f>
        <v>-2.869621018</v>
      </c>
      <c r="E168" s="21">
        <f>IFERROR(__xludf.DUMMYFUNCTION("""COMPUTED_VALUE"""),2.0588381956561395)</f>
        <v>2.058838196</v>
      </c>
      <c r="F168" s="21">
        <f>IFERROR(__xludf.DUMMYFUNCTION("""COMPUTED_VALUE"""),-0.8107828226080774)</f>
        <v>-0.8107828226</v>
      </c>
      <c r="G168" s="23">
        <f>IFERROR(__xludf.DUMMYFUNCTION("""COMPUTED_VALUE"""),0.09845336522539386)</f>
        <v>0.09845336523</v>
      </c>
      <c r="H168" s="4"/>
      <c r="I168" s="5" t="s">
        <v>512</v>
      </c>
      <c r="J168" s="5" t="s">
        <v>184</v>
      </c>
      <c r="K168" s="5">
        <v>700.0</v>
      </c>
      <c r="L168" s="5">
        <v>-1.93219</v>
      </c>
      <c r="M168" s="5">
        <v>1.20264</v>
      </c>
      <c r="N168" s="5">
        <v>-0.72955</v>
      </c>
      <c r="O168" s="5">
        <v>0.26755</v>
      </c>
    </row>
    <row r="169">
      <c r="A169" s="12" t="str">
        <f>IFERROR(__xludf.DUMMYFUNCTION("""COMPUTED_VALUE"""),"David Navarro")</f>
        <v>David Navarro</v>
      </c>
      <c r="B169" s="13" t="str">
        <f>IFERROR(__xludf.DUMMYFUNCTION("""COMPUTED_VALUE"""),"OBR")</f>
        <v>OBR</v>
      </c>
      <c r="C169" s="14">
        <f>IFERROR(__xludf.DUMMYFUNCTION("""COMPUTED_VALUE"""),566.9)</f>
        <v>566.9</v>
      </c>
      <c r="D169" s="15">
        <f>IFERROR(__xludf.DUMMYFUNCTION("""COMPUTED_VALUE"""),0.22944221687821487)</f>
        <v>0.2294422169</v>
      </c>
      <c r="E169" s="15">
        <f>IFERROR(__xludf.DUMMYFUNCTION("""COMPUTED_VALUE"""),-1.0815502255127514)</f>
        <v>-1.081550226</v>
      </c>
      <c r="F169" s="15">
        <f>IFERROR(__xludf.DUMMYFUNCTION("""COMPUTED_VALUE"""),-0.8521080086345365)</f>
        <v>-0.8521080086</v>
      </c>
      <c r="G169" s="17">
        <f>IFERROR(__xludf.DUMMYFUNCTION("""COMPUTED_VALUE"""),0.20124830831453483)</f>
        <v>0.2012483083</v>
      </c>
      <c r="H169" s="4"/>
      <c r="I169" s="5" t="s">
        <v>514</v>
      </c>
      <c r="J169" s="5" t="s">
        <v>290</v>
      </c>
      <c r="K169" s="5">
        <v>30.0</v>
      </c>
      <c r="L169" s="5">
        <v>-0.45569</v>
      </c>
      <c r="M169" s="5">
        <v>-0.31051</v>
      </c>
      <c r="N169" s="5">
        <v>-0.7662</v>
      </c>
      <c r="O169" s="5">
        <v>0.01117</v>
      </c>
    </row>
    <row r="170">
      <c r="A170" s="18" t="str">
        <f>IFERROR(__xludf.DUMMYFUNCTION("""COMPUTED_VALUE"""),"Ferran Bassas")</f>
        <v>Ferran Bassas</v>
      </c>
      <c r="B170" s="19" t="str">
        <f>IFERROR(__xludf.DUMMYFUNCTION("""COMPUTED_VALUE"""),"CAN")</f>
        <v>CAN</v>
      </c>
      <c r="C170" s="20">
        <f>IFERROR(__xludf.DUMMYFUNCTION("""COMPUTED_VALUE"""),492.4)</f>
        <v>492.4</v>
      </c>
      <c r="D170" s="21">
        <f>IFERROR(__xludf.DUMMYFUNCTION("""COMPUTED_VALUE"""),0.6721903738906755)</f>
        <v>0.6721903739</v>
      </c>
      <c r="E170" s="21">
        <f>IFERROR(__xludf.DUMMYFUNCTION("""COMPUTED_VALUE"""),-1.5310259524752685)</f>
        <v>-1.531025952</v>
      </c>
      <c r="F170" s="21">
        <f>IFERROR(__xludf.DUMMYFUNCTION("""COMPUTED_VALUE"""),-0.8588355785845931)</f>
        <v>-0.8588355786</v>
      </c>
      <c r="G170" s="23">
        <f>IFERROR(__xludf.DUMMYFUNCTION("""COMPUTED_VALUE"""),0.17048508267549403)</f>
        <v>0.1704850827</v>
      </c>
      <c r="H170" s="4"/>
      <c r="I170" s="5" t="s">
        <v>516</v>
      </c>
      <c r="J170" s="5" t="s">
        <v>113</v>
      </c>
      <c r="K170" s="5">
        <v>780.0</v>
      </c>
      <c r="L170" s="5">
        <v>0.85353</v>
      </c>
      <c r="M170" s="5">
        <v>-1.63842</v>
      </c>
      <c r="N170" s="5">
        <v>-0.7849</v>
      </c>
      <c r="O170" s="5">
        <v>0.28877</v>
      </c>
    </row>
    <row r="171">
      <c r="A171" s="12" t="str">
        <f>IFERROR(__xludf.DUMMYFUNCTION("""COMPUTED_VALUE"""),"Adin Vrabac")</f>
        <v>Adin Vrabac</v>
      </c>
      <c r="B171" s="13" t="str">
        <f>IFERROR(__xludf.DUMMYFUNCTION("""COMPUTED_VALUE"""),"CAN")</f>
        <v>CAN</v>
      </c>
      <c r="C171" s="14">
        <f>IFERROR(__xludf.DUMMYFUNCTION("""COMPUTED_VALUE"""),28.3)</f>
        <v>28.3</v>
      </c>
      <c r="D171" s="15">
        <f>IFERROR(__xludf.DUMMYFUNCTION("""COMPUTED_VALUE"""),-0.6922481943947486)</f>
        <v>-0.6922481944</v>
      </c>
      <c r="E171" s="15">
        <f>IFERROR(__xludf.DUMMYFUNCTION("""COMPUTED_VALUE"""),-0.22116802405417424)</f>
        <v>-0.2211680241</v>
      </c>
      <c r="F171" s="15">
        <f>IFERROR(__xludf.DUMMYFUNCTION("""COMPUTED_VALUE"""),-0.9134162184489228)</f>
        <v>-0.9134162184</v>
      </c>
      <c r="G171" s="17">
        <f>IFERROR(__xludf.DUMMYFUNCTION("""COMPUTED_VALUE"""),0.009329744944496078)</f>
        <v>0.009329744944</v>
      </c>
      <c r="H171" s="4"/>
      <c r="I171" s="5" t="s">
        <v>411</v>
      </c>
      <c r="J171" s="5" t="s">
        <v>41</v>
      </c>
      <c r="K171" s="5">
        <v>583.0</v>
      </c>
      <c r="L171" s="5">
        <v>-0.97513</v>
      </c>
      <c r="M171" s="5">
        <v>0.15665</v>
      </c>
      <c r="N171" s="5">
        <v>-0.81848</v>
      </c>
      <c r="O171" s="5">
        <v>0.20993</v>
      </c>
    </row>
    <row r="172">
      <c r="A172" s="18" t="str">
        <f>IFERROR(__xludf.DUMMYFUNCTION("""COMPUTED_VALUE"""),"Dario Brizuela")</f>
        <v>Dario Brizuela</v>
      </c>
      <c r="B172" s="19" t="str">
        <f>IFERROR(__xludf.DUMMYFUNCTION("""COMPUTED_VALUE"""),"EST")</f>
        <v>EST</v>
      </c>
      <c r="C172" s="20">
        <f>IFERROR(__xludf.DUMMYFUNCTION("""COMPUTED_VALUE"""),598.5)</f>
        <v>598.5</v>
      </c>
      <c r="D172" s="21">
        <f>IFERROR(__xludf.DUMMYFUNCTION("""COMPUTED_VALUE"""),-1.1680730099850882)</f>
        <v>-1.16807301</v>
      </c>
      <c r="E172" s="21">
        <f>IFERROR(__xludf.DUMMYFUNCTION("""COMPUTED_VALUE"""),0.2443210370603902)</f>
        <v>0.2443210371</v>
      </c>
      <c r="F172" s="21">
        <f>IFERROR(__xludf.DUMMYFUNCTION("""COMPUTED_VALUE"""),-0.923751972924698)</f>
        <v>-0.9237519729</v>
      </c>
      <c r="G172" s="23">
        <f>IFERROR(__xludf.DUMMYFUNCTION("""COMPUTED_VALUE"""),0.19922857500141294)</f>
        <v>0.199228575</v>
      </c>
      <c r="H172" s="4"/>
      <c r="I172" s="5" t="s">
        <v>519</v>
      </c>
      <c r="J172" s="5" t="s">
        <v>233</v>
      </c>
      <c r="K172" s="5">
        <v>632.0</v>
      </c>
      <c r="L172" s="5">
        <v>-2.00643</v>
      </c>
      <c r="M172" s="5">
        <v>1.18359</v>
      </c>
      <c r="N172" s="5">
        <v>-0.82284</v>
      </c>
      <c r="O172" s="5">
        <v>0.2233</v>
      </c>
    </row>
    <row r="173">
      <c r="A173" s="12" t="str">
        <f>IFERROR(__xludf.DUMMYFUNCTION("""COMPUTED_VALUE"""),"Borja Mendia")</f>
        <v>Borja Mendia</v>
      </c>
      <c r="B173" s="13" t="str">
        <f>IFERROR(__xludf.DUMMYFUNCTION("""COMPUTED_VALUE"""),"BBB")</f>
        <v>BBB</v>
      </c>
      <c r="C173" s="14">
        <f>IFERROR(__xludf.DUMMYFUNCTION("""COMPUTED_VALUE"""),10.4)</f>
        <v>10.4</v>
      </c>
      <c r="D173" s="15">
        <f>IFERROR(__xludf.DUMMYFUNCTION("""COMPUTED_VALUE"""),-0.6698787089644259)</f>
        <v>-0.669878709</v>
      </c>
      <c r="E173" s="15">
        <f>IFERROR(__xludf.DUMMYFUNCTION("""COMPUTED_VALUE"""),-0.26457740177291666)</f>
        <v>-0.2645774018</v>
      </c>
      <c r="F173" s="15">
        <f>IFERROR(__xludf.DUMMYFUNCTION("""COMPUTED_VALUE"""),-0.9344561107373426)</f>
        <v>-0.9344561107</v>
      </c>
      <c r="G173" s="17">
        <f>IFERROR(__xludf.DUMMYFUNCTION("""COMPUTED_VALUE"""),0.003378653167375042)</f>
        <v>0.003378653167</v>
      </c>
      <c r="H173" s="4"/>
      <c r="I173" s="5" t="s">
        <v>522</v>
      </c>
      <c r="J173" s="5" t="s">
        <v>221</v>
      </c>
      <c r="K173" s="5">
        <v>294.0</v>
      </c>
      <c r="L173" s="5">
        <v>-2.84654</v>
      </c>
      <c r="M173" s="5">
        <v>2.00043</v>
      </c>
      <c r="N173" s="5">
        <v>-0.84612</v>
      </c>
      <c r="O173" s="5">
        <v>0.10483</v>
      </c>
    </row>
    <row r="174">
      <c r="A174" s="18" t="str">
        <f>IFERROR(__xludf.DUMMYFUNCTION("""COMPUTED_VALUE"""),"Pedro Llompart")</f>
        <v>Pedro Llompart</v>
      </c>
      <c r="B174" s="19" t="str">
        <f>IFERROR(__xludf.DUMMYFUNCTION("""COMPUTED_VALUE"""),"CAN")</f>
        <v>CAN</v>
      </c>
      <c r="C174" s="20">
        <f>IFERROR(__xludf.DUMMYFUNCTION("""COMPUTED_VALUE"""),16.4)</f>
        <v>16.4</v>
      </c>
      <c r="D174" s="21">
        <f>IFERROR(__xludf.DUMMYFUNCTION("""COMPUTED_VALUE"""),-0.7828093314668209)</f>
        <v>-0.7828093315</v>
      </c>
      <c r="E174" s="21">
        <f>IFERROR(__xludf.DUMMYFUNCTION("""COMPUTED_VALUE"""),-0.15821590901065397)</f>
        <v>-0.158215909</v>
      </c>
      <c r="F174" s="21">
        <f>IFERROR(__xludf.DUMMYFUNCTION("""COMPUTED_VALUE"""),-0.9410252404774748)</f>
        <v>-0.9410252405</v>
      </c>
      <c r="G174" s="23">
        <f>IFERROR(__xludf.DUMMYFUNCTION("""COMPUTED_VALUE"""),0.005269259342475592)</f>
        <v>0.005269259342</v>
      </c>
      <c r="H174" s="4"/>
      <c r="I174" s="5" t="s">
        <v>523</v>
      </c>
      <c r="J174" s="5" t="s">
        <v>85</v>
      </c>
      <c r="K174" s="5">
        <v>244.0</v>
      </c>
      <c r="L174" s="5">
        <v>-4.55402</v>
      </c>
      <c r="M174" s="5">
        <v>3.62957</v>
      </c>
      <c r="N174" s="5">
        <v>-0.92444</v>
      </c>
      <c r="O174" s="5">
        <v>0.07938</v>
      </c>
    </row>
    <row r="175">
      <c r="A175" s="12" t="str">
        <f>IFERROR(__xludf.DUMMYFUNCTION("""COMPUTED_VALUE"""),"Tadas Sedekerskis")</f>
        <v>Tadas Sedekerskis</v>
      </c>
      <c r="B175" s="13" t="str">
        <f>IFERROR(__xludf.DUMMYFUNCTION("""COMPUTED_VALUE"""),"SPB")</f>
        <v>SPB</v>
      </c>
      <c r="C175" s="14">
        <f>IFERROR(__xludf.DUMMYFUNCTION("""COMPUTED_VALUE"""),85.0)</f>
        <v>85</v>
      </c>
      <c r="D175" s="15">
        <f>IFERROR(__xludf.DUMMYFUNCTION("""COMPUTED_VALUE"""),-1.774280881169124)</f>
        <v>-1.774280881</v>
      </c>
      <c r="E175" s="15">
        <f>IFERROR(__xludf.DUMMYFUNCTION("""COMPUTED_VALUE"""),0.825287048065193)</f>
        <v>0.8252870481</v>
      </c>
      <c r="F175" s="15">
        <f>IFERROR(__xludf.DUMMYFUNCTION("""COMPUTED_VALUE"""),-0.9489938331039309)</f>
        <v>-0.9489938331</v>
      </c>
      <c r="G175" s="17">
        <f>IFERROR(__xludf.DUMMYFUNCTION("""COMPUTED_VALUE"""),0.02703723946285312)</f>
        <v>0.02703723946</v>
      </c>
      <c r="H175" s="4"/>
      <c r="I175" s="5" t="s">
        <v>524</v>
      </c>
      <c r="J175" s="5" t="s">
        <v>74</v>
      </c>
      <c r="K175" s="5">
        <v>554.0</v>
      </c>
      <c r="L175" s="5">
        <v>-2.01925</v>
      </c>
      <c r="M175" s="5">
        <v>1.08693</v>
      </c>
      <c r="N175" s="5">
        <v>-0.93232</v>
      </c>
      <c r="O175" s="5">
        <v>0.18244</v>
      </c>
    </row>
    <row r="176">
      <c r="A176" s="18" t="str">
        <f>IFERROR(__xludf.DUMMYFUNCTION("""COMPUTED_VALUE"""),"Ray McCallum")</f>
        <v>Ray McCallum</v>
      </c>
      <c r="B176" s="19" t="str">
        <f>IFERROR(__xludf.DUMMYFUNCTION("""COMPUTED_VALUE"""),"UNI")</f>
        <v>UNI</v>
      </c>
      <c r="C176" s="20">
        <f>IFERROR(__xludf.DUMMYFUNCTION("""COMPUTED_VALUE"""),676.0)</f>
        <v>676</v>
      </c>
      <c r="D176" s="21">
        <f>IFERROR(__xludf.DUMMYFUNCTION("""COMPUTED_VALUE"""),1.9913791820994586)</f>
        <v>1.991379182</v>
      </c>
      <c r="E176" s="21">
        <f>IFERROR(__xludf.DUMMYFUNCTION("""COMPUTED_VALUE"""),-2.976719653306623)</f>
        <v>-2.976719653</v>
      </c>
      <c r="F176" s="21">
        <f>IFERROR(__xludf.DUMMYFUNCTION("""COMPUTED_VALUE"""),-0.9853404712071643)</f>
        <v>-0.9853404712</v>
      </c>
      <c r="G176" s="23">
        <f>IFERROR(__xludf.DUMMYFUNCTION("""COMPUTED_VALUE"""),0.20838660672290807)</f>
        <v>0.2083866067</v>
      </c>
      <c r="H176" s="4"/>
      <c r="I176" s="5" t="s">
        <v>525</v>
      </c>
      <c r="J176" s="5" t="s">
        <v>54</v>
      </c>
      <c r="K176" s="5">
        <v>28.0</v>
      </c>
      <c r="L176" s="5">
        <v>-0.7679</v>
      </c>
      <c r="M176" s="5">
        <v>-0.16487</v>
      </c>
      <c r="N176" s="5">
        <v>-0.93276</v>
      </c>
      <c r="O176" s="5">
        <v>0.00916</v>
      </c>
    </row>
    <row r="177">
      <c r="A177" s="12" t="str">
        <f>IFERROR(__xludf.DUMMYFUNCTION("""COMPUTED_VALUE"""),"Dago Pena")</f>
        <v>Dago Pena</v>
      </c>
      <c r="B177" s="13" t="str">
        <f>IFERROR(__xludf.DUMMYFUNCTION("""COMPUTED_VALUE"""),"EST")</f>
        <v>EST</v>
      </c>
      <c r="C177" s="14">
        <f>IFERROR(__xludf.DUMMYFUNCTION("""COMPUTED_VALUE"""),207.6)</f>
        <v>207.6</v>
      </c>
      <c r="D177" s="15">
        <f>IFERROR(__xludf.DUMMYFUNCTION("""COMPUTED_VALUE"""),-0.4439079870524871)</f>
        <v>-0.4439079871</v>
      </c>
      <c r="E177" s="15">
        <f>IFERROR(__xludf.DUMMYFUNCTION("""COMPUTED_VALUE"""),-0.5584243041130925)</f>
        <v>-0.5584243041</v>
      </c>
      <c r="F177" s="15">
        <f>IFERROR(__xludf.DUMMYFUNCTION("""COMPUTED_VALUE"""),-1.0023322911655796)</f>
        <v>-1.002332291</v>
      </c>
      <c r="G177" s="17">
        <f>IFERROR(__xludf.DUMMYFUNCTION("""COMPUTED_VALUE"""),0.06406021184509453)</f>
        <v>0.06406021185</v>
      </c>
      <c r="H177" s="4"/>
      <c r="I177" s="5" t="s">
        <v>526</v>
      </c>
      <c r="J177" s="5" t="s">
        <v>113</v>
      </c>
      <c r="K177" s="5">
        <v>10.0</v>
      </c>
      <c r="L177" s="5">
        <v>-0.68139</v>
      </c>
      <c r="M177" s="5">
        <v>-0.25362</v>
      </c>
      <c r="N177" s="5">
        <v>-0.93501</v>
      </c>
      <c r="O177" s="5">
        <v>0.00338</v>
      </c>
    </row>
    <row r="178">
      <c r="A178" s="18" t="str">
        <f>IFERROR(__xludf.DUMMYFUNCTION("""COMPUTED_VALUE"""),"Nikola Radicevic")</f>
        <v>Nikola Radicevic</v>
      </c>
      <c r="B178" s="19" t="str">
        <f>IFERROR(__xludf.DUMMYFUNCTION("""COMPUTED_VALUE"""),"GCN")</f>
        <v>GCN</v>
      </c>
      <c r="C178" s="20">
        <f>IFERROR(__xludf.DUMMYFUNCTION("""COMPUTED_VALUE"""),404.5)</f>
        <v>404.5</v>
      </c>
      <c r="D178" s="21">
        <f>IFERROR(__xludf.DUMMYFUNCTION("""COMPUTED_VALUE"""),-3.6177276123839612)</f>
        <v>-3.617727612</v>
      </c>
      <c r="E178" s="21">
        <f>IFERROR(__xludf.DUMMYFUNCTION("""COMPUTED_VALUE"""),2.6059932344589947)</f>
        <v>2.605993234</v>
      </c>
      <c r="F178" s="21">
        <f>IFERROR(__xludf.DUMMYFUNCTION("""COMPUTED_VALUE"""),-1.0117343779249666)</f>
        <v>-1.011734378</v>
      </c>
      <c r="G178" s="23">
        <f>IFERROR(__xludf.DUMMYFUNCTION("""COMPUTED_VALUE"""),0.12110702045951835)</f>
        <v>0.1211070205</v>
      </c>
      <c r="H178" s="4"/>
      <c r="I178" s="5" t="s">
        <v>527</v>
      </c>
      <c r="J178" s="5" t="s">
        <v>221</v>
      </c>
      <c r="K178" s="5">
        <v>599.0</v>
      </c>
      <c r="L178" s="5">
        <v>-0.39449</v>
      </c>
      <c r="M178" s="5">
        <v>-0.55145</v>
      </c>
      <c r="N178" s="5">
        <v>-0.94594</v>
      </c>
      <c r="O178" s="5">
        <v>0.1952</v>
      </c>
    </row>
    <row r="179">
      <c r="A179" s="12" t="str">
        <f>IFERROR(__xludf.DUMMYFUNCTION("""COMPUTED_VALUE"""),"Michael Fakuade")</f>
        <v>Michael Fakuade</v>
      </c>
      <c r="B179" s="13" t="str">
        <f>IFERROR(__xludf.DUMMYFUNCTION("""COMPUTED_VALUE"""),"GBC")</f>
        <v>GBC</v>
      </c>
      <c r="C179" s="14">
        <f>IFERROR(__xludf.DUMMYFUNCTION("""COMPUTED_VALUE"""),553.8)</f>
        <v>553.8</v>
      </c>
      <c r="D179" s="15">
        <f>IFERROR(__xludf.DUMMYFUNCTION("""COMPUTED_VALUE"""),-2.0228291641116605)</f>
        <v>-2.022829164</v>
      </c>
      <c r="E179" s="15">
        <f>IFERROR(__xludf.DUMMYFUNCTION("""COMPUTED_VALUE"""),1.0109926145841017)</f>
        <v>1.010992615</v>
      </c>
      <c r="F179" s="15">
        <f>IFERROR(__xludf.DUMMYFUNCTION("""COMPUTED_VALUE"""),-1.0118365495275587)</f>
        <v>-1.01183655</v>
      </c>
      <c r="G179" s="17">
        <f>IFERROR(__xludf.DUMMYFUNCTION("""COMPUTED_VALUE"""),0.1662293810904199)</f>
        <v>0.1662293811</v>
      </c>
      <c r="H179" s="4"/>
      <c r="I179" s="5" t="s">
        <v>528</v>
      </c>
      <c r="J179" s="5" t="s">
        <v>225</v>
      </c>
      <c r="K179" s="5">
        <v>85.0</v>
      </c>
      <c r="L179" s="5">
        <v>-1.41774</v>
      </c>
      <c r="M179" s="5">
        <v>0.4554</v>
      </c>
      <c r="N179" s="5">
        <v>-0.96235</v>
      </c>
      <c r="O179" s="5">
        <v>0.02669</v>
      </c>
    </row>
    <row r="180">
      <c r="A180" s="18" t="str">
        <f>IFERROR(__xludf.DUMMYFUNCTION("""COMPUTED_VALUE"""),"Kevin Tumba")</f>
        <v>Kevin Tumba</v>
      </c>
      <c r="B180" s="19" t="str">
        <f>IFERROR(__xludf.DUMMYFUNCTION("""COMPUTED_VALUE"""),"MUR")</f>
        <v>MUR</v>
      </c>
      <c r="C180" s="20">
        <f>IFERROR(__xludf.DUMMYFUNCTION("""COMPUTED_VALUE"""),580.7)</f>
        <v>580.7</v>
      </c>
      <c r="D180" s="21">
        <f>IFERROR(__xludf.DUMMYFUNCTION("""COMPUTED_VALUE"""),-2.9438565858022514)</f>
        <v>-2.943856586</v>
      </c>
      <c r="E180" s="21">
        <f>IFERROR(__xludf.DUMMYFUNCTION("""COMPUTED_VALUE"""),1.888301716266441)</f>
        <v>1.888301716</v>
      </c>
      <c r="F180" s="21">
        <f>IFERROR(__xludf.DUMMYFUNCTION("""COMPUTED_VALUE"""),-1.0555548695358103)</f>
        <v>-1.05555487</v>
      </c>
      <c r="G180" s="23">
        <f>IFERROR(__xludf.DUMMYFUNCTION("""COMPUTED_VALUE"""),0.16598418686836747)</f>
        <v>0.1659841869</v>
      </c>
      <c r="H180" s="4"/>
      <c r="I180" s="5" t="s">
        <v>529</v>
      </c>
      <c r="J180" s="5" t="s">
        <v>233</v>
      </c>
      <c r="K180" s="5">
        <v>450.0</v>
      </c>
      <c r="L180" s="5">
        <v>-2.43408</v>
      </c>
      <c r="M180" s="5">
        <v>1.44931</v>
      </c>
      <c r="N180" s="5">
        <v>-0.98477</v>
      </c>
      <c r="O180" s="5">
        <v>0.1373</v>
      </c>
    </row>
    <row r="181">
      <c r="A181" s="12" t="str">
        <f>IFERROR(__xludf.DUMMYFUNCTION("""COMPUTED_VALUE"""),"Edwin Jackson")</f>
        <v>Edwin Jackson</v>
      </c>
      <c r="B181" s="13" t="str">
        <f>IFERROR(__xludf.DUMMYFUNCTION("""COMPUTED_VALUE"""),"FCB")</f>
        <v>FCB</v>
      </c>
      <c r="C181" s="14">
        <f>IFERROR(__xludf.DUMMYFUNCTION("""COMPUTED_VALUE"""),334.8)</f>
        <v>334.8</v>
      </c>
      <c r="D181" s="15">
        <f>IFERROR(__xludf.DUMMYFUNCTION("""COMPUTED_VALUE"""),0.4334919346512951)</f>
        <v>0.4334919347</v>
      </c>
      <c r="E181" s="15">
        <f>IFERROR(__xludf.DUMMYFUNCTION("""COMPUTED_VALUE"""),-1.517524433694526)</f>
        <v>-1.517524434</v>
      </c>
      <c r="F181" s="15">
        <f>IFERROR(__xludf.DUMMYFUNCTION("""COMPUTED_VALUE"""),-1.0840324990432308)</f>
        <v>-1.084032499</v>
      </c>
      <c r="G181" s="17">
        <f>IFERROR(__xludf.DUMMYFUNCTION("""COMPUTED_VALUE"""),0.09264719439049869)</f>
        <v>0.09264719439</v>
      </c>
      <c r="H181" s="4"/>
      <c r="I181" s="5" t="s">
        <v>530</v>
      </c>
      <c r="J181" s="5" t="s">
        <v>54</v>
      </c>
      <c r="K181" s="5">
        <v>311.0</v>
      </c>
      <c r="L181" s="5">
        <v>-0.97407</v>
      </c>
      <c r="M181" s="5">
        <v>-0.02444</v>
      </c>
      <c r="N181" s="5">
        <v>-0.99851</v>
      </c>
      <c r="O181" s="5">
        <v>0.09451</v>
      </c>
    </row>
    <row r="182">
      <c r="A182" s="18" t="str">
        <f>IFERROR(__xludf.DUMMYFUNCTION("""COMPUTED_VALUE"""),"Josep Puerto")</f>
        <v>Josep Puerto</v>
      </c>
      <c r="B182" s="19" t="str">
        <f>IFERROR(__xludf.DUMMYFUNCTION("""COMPUTED_VALUE"""),"VAL")</f>
        <v>VAL</v>
      </c>
      <c r="C182" s="20">
        <f>IFERROR(__xludf.DUMMYFUNCTION("""COMPUTED_VALUE"""),39.0)</f>
        <v>39</v>
      </c>
      <c r="D182" s="21">
        <f>IFERROR(__xludf.DUMMYFUNCTION("""COMPUTED_VALUE"""),-0.6797892144531914)</f>
        <v>-0.6797892145</v>
      </c>
      <c r="E182" s="21">
        <f>IFERROR(__xludf.DUMMYFUNCTION("""COMPUTED_VALUE"""),-0.4210250322823301)</f>
        <v>-0.4210250323</v>
      </c>
      <c r="F182" s="21">
        <f>IFERROR(__xludf.DUMMYFUNCTION("""COMPUTED_VALUE"""),-1.1008142467355215)</f>
        <v>-1.100814247</v>
      </c>
      <c r="G182" s="23">
        <f>IFERROR(__xludf.DUMMYFUNCTION("""COMPUTED_VALUE"""),0.010798354070993646)</f>
        <v>0.01079835407</v>
      </c>
      <c r="H182" s="4"/>
      <c r="I182" s="5" t="s">
        <v>531</v>
      </c>
      <c r="J182" s="5" t="s">
        <v>54</v>
      </c>
      <c r="K182" s="5">
        <v>144.0</v>
      </c>
      <c r="L182" s="5">
        <v>1.9186</v>
      </c>
      <c r="M182" s="5">
        <v>-2.92364</v>
      </c>
      <c r="N182" s="5">
        <v>-1.00504</v>
      </c>
      <c r="O182" s="5">
        <v>0.04354</v>
      </c>
    </row>
    <row r="183">
      <c r="A183" s="12" t="str">
        <f>IFERROR(__xludf.DUMMYFUNCTION("""COMPUTED_VALUE"""),"Tibor Pleiss")</f>
        <v>Tibor Pleiss</v>
      </c>
      <c r="B183" s="13" t="str">
        <f>IFERROR(__xludf.DUMMYFUNCTION("""COMPUTED_VALUE"""),"VAL")</f>
        <v>VAL</v>
      </c>
      <c r="C183" s="14">
        <f>IFERROR(__xludf.DUMMYFUNCTION("""COMPUTED_VALUE"""),452.5)</f>
        <v>452.5</v>
      </c>
      <c r="D183" s="15">
        <f>IFERROR(__xludf.DUMMYFUNCTION("""COMPUTED_VALUE"""),0.5410836206240104)</f>
        <v>0.5410836206</v>
      </c>
      <c r="E183" s="15">
        <f>IFERROR(__xludf.DUMMYFUNCTION("""COMPUTED_VALUE"""),-1.673084726140893)</f>
        <v>-1.673084726</v>
      </c>
      <c r="F183" s="15">
        <f>IFERROR(__xludf.DUMMYFUNCTION("""COMPUTED_VALUE"""),-1.1320011055168826)</f>
        <v>-1.132001106</v>
      </c>
      <c r="G183" s="17">
        <f>IFERROR(__xludf.DUMMYFUNCTION("""COMPUTED_VALUE"""),0.1209431553228874)</f>
        <v>0.1209431553</v>
      </c>
      <c r="H183" s="4"/>
      <c r="I183" s="5" t="s">
        <v>532</v>
      </c>
      <c r="J183" s="5" t="s">
        <v>54</v>
      </c>
      <c r="K183" s="5">
        <v>16.0</v>
      </c>
      <c r="L183" s="5">
        <v>-0.88119</v>
      </c>
      <c r="M183" s="5">
        <v>-0.15412</v>
      </c>
      <c r="N183" s="5">
        <v>-1.03531</v>
      </c>
      <c r="O183" s="5">
        <v>0.0048</v>
      </c>
    </row>
    <row r="184">
      <c r="A184" s="18" t="str">
        <f>IFERROR(__xludf.DUMMYFUNCTION("""COMPUTED_VALUE"""),"Nikola Gacesa")</f>
        <v>Nikola Gacesa</v>
      </c>
      <c r="B184" s="19" t="str">
        <f>IFERROR(__xludf.DUMMYFUNCTION("""COMPUTED_VALUE"""),"ENER")</f>
        <v>ENER</v>
      </c>
      <c r="C184" s="20">
        <f>IFERROR(__xludf.DUMMYFUNCTION("""COMPUTED_VALUE"""),19.4)</f>
        <v>19.4</v>
      </c>
      <c r="D184" s="21">
        <f>IFERROR(__xludf.DUMMYFUNCTION("""COMPUTED_VALUE"""),-0.7052922632829574)</f>
        <v>-0.7052922633</v>
      </c>
      <c r="E184" s="21">
        <f>IFERROR(__xludf.DUMMYFUNCTION("""COMPUTED_VALUE"""),-0.4341419543433215)</f>
        <v>-0.4341419543</v>
      </c>
      <c r="F184" s="21">
        <f>IFERROR(__xludf.DUMMYFUNCTION("""COMPUTED_VALUE"""),-1.1394342176262788)</f>
        <v>-1.139434218</v>
      </c>
      <c r="G184" s="23">
        <f>IFERROR(__xludf.DUMMYFUNCTION("""COMPUTED_VALUE"""),0.00511252460932275)</f>
        <v>0.005112524609</v>
      </c>
      <c r="H184" s="4"/>
      <c r="I184" s="5" t="s">
        <v>311</v>
      </c>
      <c r="J184" s="5" t="s">
        <v>59</v>
      </c>
      <c r="K184" s="5">
        <v>39.0</v>
      </c>
      <c r="L184" s="5">
        <v>-1.02409</v>
      </c>
      <c r="M184" s="5">
        <v>-0.01313</v>
      </c>
      <c r="N184" s="5">
        <v>-1.03721</v>
      </c>
      <c r="O184" s="5">
        <v>0.01161</v>
      </c>
    </row>
    <row r="185">
      <c r="A185" s="12" t="str">
        <f>IFERROR(__xludf.DUMMYFUNCTION("""COMPUTED_VALUE"""),"Saul Blanco")</f>
        <v>Saul Blanco</v>
      </c>
      <c r="B185" s="13" t="str">
        <f>IFERROR(__xludf.DUMMYFUNCTION("""COMPUTED_VALUE"""),"ENER")</f>
        <v>ENER</v>
      </c>
      <c r="C185" s="14">
        <f>IFERROR(__xludf.DUMMYFUNCTION("""COMPUTED_VALUE"""),52.4)</f>
        <v>52.4</v>
      </c>
      <c r="D185" s="15">
        <f>IFERROR(__xludf.DUMMYFUNCTION("""COMPUTED_VALUE"""),-0.49474770527621026)</f>
        <v>-0.4947477053</v>
      </c>
      <c r="E185" s="15">
        <f>IFERROR(__xludf.DUMMYFUNCTION("""COMPUTED_VALUE"""),-0.658693685768491)</f>
        <v>-0.6586936858</v>
      </c>
      <c r="F185" s="15">
        <f>IFERROR(__xludf.DUMMYFUNCTION("""COMPUTED_VALUE"""),-1.1534413910447012)</f>
        <v>-1.153441391</v>
      </c>
      <c r="G185" s="17">
        <f>IFERROR(__xludf.DUMMYFUNCTION("""COMPUTED_VALUE"""),0.013584320683590815)</f>
        <v>0.01358432068</v>
      </c>
      <c r="H185" s="4"/>
      <c r="I185" s="5" t="s">
        <v>533</v>
      </c>
      <c r="J185" s="5" t="s">
        <v>423</v>
      </c>
      <c r="K185" s="5">
        <v>52.0</v>
      </c>
      <c r="L185" s="5">
        <v>-0.43474</v>
      </c>
      <c r="M185" s="5">
        <v>-0.69136</v>
      </c>
      <c r="N185" s="5">
        <v>-1.1261</v>
      </c>
      <c r="O185" s="5">
        <v>0.01399</v>
      </c>
    </row>
    <row r="186">
      <c r="A186" s="18" t="str">
        <f>IFERROR(__xludf.DUMMYFUNCTION("""COMPUTED_VALUE"""),"Federico Van Lacke")</f>
        <v>Federico Van Lacke</v>
      </c>
      <c r="B186" s="19" t="str">
        <f>IFERROR(__xludf.DUMMYFUNCTION("""COMPUTED_VALUE"""),"GBC")</f>
        <v>GBC</v>
      </c>
      <c r="C186" s="20">
        <f>IFERROR(__xludf.DUMMYFUNCTION("""COMPUTED_VALUE"""),728.8)</f>
        <v>728.8</v>
      </c>
      <c r="D186" s="21">
        <f>IFERROR(__xludf.DUMMYFUNCTION("""COMPUTED_VALUE"""),-1.4432383915640479)</f>
        <v>-1.443238392</v>
      </c>
      <c r="E186" s="21">
        <f>IFERROR(__xludf.DUMMYFUNCTION("""COMPUTED_VALUE"""),0.2881409721241024)</f>
        <v>0.2881409721</v>
      </c>
      <c r="F186" s="21">
        <f>IFERROR(__xludf.DUMMYFUNCTION("""COMPUTED_VALUE"""),-1.1550974194399455)</f>
        <v>-1.155097419</v>
      </c>
      <c r="G186" s="23">
        <f>IFERROR(__xludf.DUMMYFUNCTION("""COMPUTED_VALUE"""),0.18704282385403898)</f>
        <v>0.1870428239</v>
      </c>
      <c r="H186" s="4"/>
      <c r="I186" s="5" t="s">
        <v>534</v>
      </c>
      <c r="J186" s="5" t="s">
        <v>113</v>
      </c>
      <c r="K186" s="5">
        <v>692.0</v>
      </c>
      <c r="L186" s="5">
        <v>0.4481</v>
      </c>
      <c r="M186" s="5">
        <v>-1.67044</v>
      </c>
      <c r="N186" s="5">
        <v>-1.22234</v>
      </c>
      <c r="O186" s="5">
        <v>0.16407</v>
      </c>
    </row>
    <row r="187">
      <c r="A187" s="12" t="str">
        <f>IFERROR(__xludf.DUMMYFUNCTION("""COMPUTED_VALUE"""),"Przemek Karnowski")</f>
        <v>Przemek Karnowski</v>
      </c>
      <c r="B187" s="13" t="str">
        <f>IFERROR(__xludf.DUMMYFUNCTION("""COMPUTED_VALUE"""),"MON")</f>
        <v>MON</v>
      </c>
      <c r="C187" s="14">
        <f>IFERROR(__xludf.DUMMYFUNCTION("""COMPUTED_VALUE"""),147.95)</f>
        <v>147.95</v>
      </c>
      <c r="D187" s="15">
        <f>IFERROR(__xludf.DUMMYFUNCTION("""COMPUTED_VALUE"""),-2.2493011581133677)</f>
        <v>-2.249301158</v>
      </c>
      <c r="E187" s="15">
        <f>IFERROR(__xludf.DUMMYFUNCTION("""COMPUTED_VALUE"""),1.0849975771425768)</f>
        <v>1.084997577</v>
      </c>
      <c r="F187" s="15">
        <f>IFERROR(__xludf.DUMMYFUNCTION("""COMPUTED_VALUE"""),-1.164303580970791)</f>
        <v>-1.164303581</v>
      </c>
      <c r="G187" s="17">
        <f>IFERROR(__xludf.DUMMYFUNCTION("""COMPUTED_VALUE"""),0.037215812896665965)</f>
        <v>0.0372158129</v>
      </c>
      <c r="H187" s="4"/>
      <c r="I187" s="5" t="s">
        <v>535</v>
      </c>
      <c r="J187" s="5" t="s">
        <v>221</v>
      </c>
      <c r="K187" s="5">
        <v>490.0</v>
      </c>
      <c r="L187" s="5">
        <v>-0.62088</v>
      </c>
      <c r="M187" s="5">
        <v>-0.6047</v>
      </c>
      <c r="N187" s="5">
        <v>-1.22558</v>
      </c>
      <c r="O187" s="5">
        <v>0.11735</v>
      </c>
    </row>
    <row r="188">
      <c r="A188" s="18" t="str">
        <f>IFERROR(__xludf.DUMMYFUNCTION("""COMPUTED_VALUE"""),"Jalen Reynolds")</f>
        <v>Jalen Reynolds</v>
      </c>
      <c r="B188" s="19" t="str">
        <f>IFERROR(__xludf.DUMMYFUNCTION("""COMPUTED_VALUE"""),"FCB")</f>
        <v>FCB</v>
      </c>
      <c r="C188" s="20">
        <f>IFERROR(__xludf.DUMMYFUNCTION("""COMPUTED_VALUE"""),127.8)</f>
        <v>127.8</v>
      </c>
      <c r="D188" s="21">
        <f>IFERROR(__xludf.DUMMYFUNCTION("""COMPUTED_VALUE"""),-1.4606285947629496)</f>
        <v>-1.460628595</v>
      </c>
      <c r="E188" s="21">
        <f>IFERROR(__xludf.DUMMYFUNCTION("""COMPUTED_VALUE"""),0.2695077010885243)</f>
        <v>0.2695077011</v>
      </c>
      <c r="F188" s="21">
        <f>IFERROR(__xludf.DUMMYFUNCTION("""COMPUTED_VALUE"""),-1.1911208936744253)</f>
        <v>-1.191120894</v>
      </c>
      <c r="G188" s="23">
        <f>IFERROR(__xludf.DUMMYFUNCTION("""COMPUTED_VALUE"""),0.03123066482230077)</f>
        <v>0.03123066482</v>
      </c>
      <c r="H188" s="4"/>
      <c r="I188" s="5" t="s">
        <v>536</v>
      </c>
      <c r="J188" s="5" t="s">
        <v>22</v>
      </c>
      <c r="K188" s="5">
        <v>104.0</v>
      </c>
      <c r="L188" s="5">
        <v>-1.52075</v>
      </c>
      <c r="M188" s="5">
        <v>0.28673</v>
      </c>
      <c r="N188" s="5">
        <v>-1.23402</v>
      </c>
      <c r="O188" s="5">
        <v>0.02417</v>
      </c>
    </row>
    <row r="189">
      <c r="A189" s="12" t="str">
        <f>IFERROR(__xludf.DUMMYFUNCTION("""COMPUTED_VALUE"""),"Sitapha Savane")</f>
        <v>Sitapha Savane</v>
      </c>
      <c r="B189" s="13" t="str">
        <f>IFERROR(__xludf.DUMMYFUNCTION("""COMPUTED_VALUE"""),"EST")</f>
        <v>EST</v>
      </c>
      <c r="C189" s="14">
        <f>IFERROR(__xludf.DUMMYFUNCTION("""COMPUTED_VALUE"""),307.7)</f>
        <v>307.7</v>
      </c>
      <c r="D189" s="15">
        <f>IFERROR(__xludf.DUMMYFUNCTION("""COMPUTED_VALUE"""),-3.9400052429700407)</f>
        <v>-3.940005243</v>
      </c>
      <c r="E189" s="15">
        <f>IFERROR(__xludf.DUMMYFUNCTION("""COMPUTED_VALUE"""),2.7341803685879733)</f>
        <v>2.734180369</v>
      </c>
      <c r="F189" s="15">
        <f>IFERROR(__xludf.DUMMYFUNCTION("""COMPUTED_VALUE"""),-1.2058248743820674)</f>
        <v>-1.205824874</v>
      </c>
      <c r="G189" s="17">
        <f>IFERROR(__xludf.DUMMYFUNCTION("""COMPUTED_VALUE"""),0.07558208744558434)</f>
        <v>0.07558208745</v>
      </c>
      <c r="H189" s="4"/>
      <c r="I189" s="5" t="s">
        <v>537</v>
      </c>
      <c r="J189" s="5" t="s">
        <v>97</v>
      </c>
      <c r="K189" s="5">
        <v>211.0</v>
      </c>
      <c r="L189" s="5">
        <v>-1.00692</v>
      </c>
      <c r="M189" s="5">
        <v>-0.24222</v>
      </c>
      <c r="N189" s="5">
        <v>-1.24915</v>
      </c>
      <c r="O189" s="5">
        <v>0.04818</v>
      </c>
    </row>
    <row r="190">
      <c r="A190" s="18" t="str">
        <f>IFERROR(__xludf.DUMMYFUNCTION("""COMPUTED_VALUE"""),"Aleksandar Cvetkovic")</f>
        <v>Aleksandar Cvetkovic</v>
      </c>
      <c r="B190" s="19" t="str">
        <f>IFERROR(__xludf.DUMMYFUNCTION("""COMPUTED_VALUE"""),"EST")</f>
        <v>EST</v>
      </c>
      <c r="C190" s="20">
        <f>IFERROR(__xludf.DUMMYFUNCTION("""COMPUTED_VALUE"""),489.7)</f>
        <v>489.7</v>
      </c>
      <c r="D190" s="21">
        <f>IFERROR(__xludf.DUMMYFUNCTION("""COMPUTED_VALUE"""),-1.3992108813283166)</f>
        <v>-1.399210881</v>
      </c>
      <c r="E190" s="21">
        <f>IFERROR(__xludf.DUMMYFUNCTION("""COMPUTED_VALUE"""),0.19058074137864667)</f>
        <v>0.1905807414</v>
      </c>
      <c r="F190" s="21">
        <f>IFERROR(__xludf.DUMMYFUNCTION("""COMPUTED_VALUE"""),-1.20863013994967)</f>
        <v>-1.20863014</v>
      </c>
      <c r="G190" s="23">
        <f>IFERROR(__xludf.DUMMYFUNCTION("""COMPUTED_VALUE"""),0.11986288190467155)</f>
        <v>0.1198628819</v>
      </c>
      <c r="H190" s="4"/>
      <c r="I190" s="5" t="s">
        <v>538</v>
      </c>
      <c r="J190" s="5" t="s">
        <v>184</v>
      </c>
      <c r="K190" s="5">
        <v>29.0</v>
      </c>
      <c r="L190" s="5">
        <v>-0.75705</v>
      </c>
      <c r="M190" s="5">
        <v>-0.50148</v>
      </c>
      <c r="N190" s="5">
        <v>-1.25853</v>
      </c>
      <c r="O190" s="5">
        <v>0.00647</v>
      </c>
    </row>
    <row r="191">
      <c r="A191" s="12" t="str">
        <f>IFERROR(__xludf.DUMMYFUNCTION("""COMPUTED_VALUE"""),"Emir Sulejmanovic")</f>
        <v>Emir Sulejmanovic</v>
      </c>
      <c r="B191" s="13" t="str">
        <f>IFERROR(__xludf.DUMMYFUNCTION("""COMPUTED_VALUE"""),"MON")</f>
        <v>MON</v>
      </c>
      <c r="C191" s="14">
        <f>IFERROR(__xludf.DUMMYFUNCTION("""COMPUTED_VALUE"""),31.1)</f>
        <v>31.1</v>
      </c>
      <c r="D191" s="15">
        <f>IFERROR(__xludf.DUMMYFUNCTION("""COMPUTED_VALUE"""),-0.5422827672052276)</f>
        <v>-0.5422827672</v>
      </c>
      <c r="E191" s="15">
        <f>IFERROR(__xludf.DUMMYFUNCTION("""COMPUTED_VALUE"""),-0.7110378361778603)</f>
        <v>-0.7110378362</v>
      </c>
      <c r="F191" s="15">
        <f>IFERROR(__xludf.DUMMYFUNCTION("""COMPUTED_VALUE"""),-1.253320603383088)</f>
        <v>-1.253320603</v>
      </c>
      <c r="G191" s="17">
        <f>IFERROR(__xludf.DUMMYFUNCTION("""COMPUTED_VALUE"""),0.006989700317116928)</f>
        <v>0.006989700317</v>
      </c>
      <c r="H191" s="4"/>
      <c r="I191" s="5" t="s">
        <v>539</v>
      </c>
      <c r="J191" s="5" t="s">
        <v>290</v>
      </c>
      <c r="K191" s="5">
        <v>31.0</v>
      </c>
      <c r="L191" s="5">
        <v>-0.54865</v>
      </c>
      <c r="M191" s="5">
        <v>-0.71323</v>
      </c>
      <c r="N191" s="5">
        <v>-1.26188</v>
      </c>
      <c r="O191" s="5">
        <v>0.00691</v>
      </c>
    </row>
    <row r="192">
      <c r="A192" s="18" t="str">
        <f>IFERROR(__xludf.DUMMYFUNCTION("""COMPUTED_VALUE"""),"Adam Pechacek")</f>
        <v>Adam Pechacek</v>
      </c>
      <c r="B192" s="19" t="str">
        <f>IFERROR(__xludf.DUMMYFUNCTION("""COMPUTED_VALUE"""),"OBR")</f>
        <v>OBR</v>
      </c>
      <c r="C192" s="20">
        <f>IFERROR(__xludf.DUMMYFUNCTION("""COMPUTED_VALUE"""),29.0)</f>
        <v>29</v>
      </c>
      <c r="D192" s="21">
        <f>IFERROR(__xludf.DUMMYFUNCTION("""COMPUTED_VALUE"""),-0.6315627447030376)</f>
        <v>-0.6315627447</v>
      </c>
      <c r="E192" s="21">
        <f>IFERROR(__xludf.DUMMYFUNCTION("""COMPUTED_VALUE"""),-0.6316254944689239)</f>
        <v>-0.6316254945</v>
      </c>
      <c r="F192" s="21">
        <f>IFERROR(__xludf.DUMMYFUNCTION("""COMPUTED_VALUE"""),-1.2631882391719615)</f>
        <v>-1.263188239</v>
      </c>
      <c r="G192" s="23">
        <f>IFERROR(__xludf.DUMMYFUNCTION("""COMPUTED_VALUE"""),0.006608141025364143)</f>
        <v>0.006608141025</v>
      </c>
      <c r="H192" s="4"/>
      <c r="I192" s="5" t="s">
        <v>540</v>
      </c>
      <c r="J192" s="5" t="s">
        <v>233</v>
      </c>
      <c r="K192" s="5">
        <v>44.0</v>
      </c>
      <c r="L192" s="5">
        <v>-1.04181</v>
      </c>
      <c r="M192" s="5">
        <v>-0.24564</v>
      </c>
      <c r="N192" s="5">
        <v>-1.28745</v>
      </c>
      <c r="O192" s="5">
        <v>0.00937</v>
      </c>
    </row>
    <row r="193">
      <c r="A193" s="12" t="str">
        <f>IFERROR(__xludf.DUMMYFUNCTION("""COMPUTED_VALUE"""),"Jonathan Tabu")</f>
        <v>Jonathan Tabu</v>
      </c>
      <c r="B193" s="13" t="str">
        <f>IFERROR(__xludf.DUMMYFUNCTION("""COMPUTED_VALUE"""),"BBB")</f>
        <v>BBB</v>
      </c>
      <c r="C193" s="14">
        <f>IFERROR(__xludf.DUMMYFUNCTION("""COMPUTED_VALUE"""),712.6)</f>
        <v>712.6</v>
      </c>
      <c r="D193" s="15">
        <f>IFERROR(__xludf.DUMMYFUNCTION("""COMPUTED_VALUE"""),0.8328222173392075)</f>
        <v>0.8328222173</v>
      </c>
      <c r="E193" s="15">
        <f>IFERROR(__xludf.DUMMYFUNCTION("""COMPUTED_VALUE"""),-2.104766045823506)</f>
        <v>-2.104766046</v>
      </c>
      <c r="F193" s="15">
        <f>IFERROR(__xludf.DUMMYFUNCTION("""COMPUTED_VALUE"""),-1.2719438284842985)</f>
        <v>-1.271943828</v>
      </c>
      <c r="G193" s="17">
        <f>IFERROR(__xludf.DUMMYFUNCTION("""COMPUTED_VALUE"""),0.15817929496089037)</f>
        <v>0.158179295</v>
      </c>
      <c r="H193" s="4"/>
      <c r="I193" s="5" t="s">
        <v>505</v>
      </c>
      <c r="J193" s="5" t="s">
        <v>24</v>
      </c>
      <c r="K193" s="5">
        <v>367.0</v>
      </c>
      <c r="L193" s="5">
        <v>-0.11972</v>
      </c>
      <c r="M193" s="5">
        <v>-1.20334</v>
      </c>
      <c r="N193" s="5">
        <v>-1.32306</v>
      </c>
      <c r="O193" s="5">
        <v>0.07522</v>
      </c>
    </row>
    <row r="194">
      <c r="A194" s="18" t="str">
        <f>IFERROR(__xludf.DUMMYFUNCTION("""COMPUTED_VALUE"""),"Omari Gudul")</f>
        <v>Omari Gudul</v>
      </c>
      <c r="B194" s="19" t="str">
        <f>IFERROR(__xludf.DUMMYFUNCTION("""COMPUTED_VALUE"""),"JOV")</f>
        <v>JOV</v>
      </c>
      <c r="C194" s="20">
        <f>IFERROR(__xludf.DUMMYFUNCTION("""COMPUTED_VALUE"""),43.8)</f>
        <v>43.8</v>
      </c>
      <c r="D194" s="21">
        <f>IFERROR(__xludf.DUMMYFUNCTION("""COMPUTED_VALUE"""),-1.0351747295078229)</f>
        <v>-1.03517473</v>
      </c>
      <c r="E194" s="21">
        <f>IFERROR(__xludf.DUMMYFUNCTION("""COMPUTED_VALUE"""),-0.24687056608476587)</f>
        <v>-0.2468705661</v>
      </c>
      <c r="F194" s="21">
        <f>IFERROR(__xludf.DUMMYFUNCTION("""COMPUTED_VALUE"""),-1.2820452955925887)</f>
        <v>-1.282045296</v>
      </c>
      <c r="G194" s="23">
        <f>IFERROR(__xludf.DUMMYFUNCTION("""COMPUTED_VALUE"""),0.009448649146100354)</f>
        <v>0.009448649146</v>
      </c>
      <c r="H194" s="4"/>
      <c r="I194" s="5" t="s">
        <v>541</v>
      </c>
      <c r="J194" s="5" t="s">
        <v>221</v>
      </c>
      <c r="K194" s="5">
        <v>185.0</v>
      </c>
      <c r="L194" s="5">
        <v>-0.35096</v>
      </c>
      <c r="M194" s="5">
        <v>-0.99985</v>
      </c>
      <c r="N194" s="5">
        <v>-1.35081</v>
      </c>
      <c r="O194" s="5">
        <v>0.03708</v>
      </c>
    </row>
    <row r="195">
      <c r="A195" s="12" t="str">
        <f>IFERROR(__xludf.DUMMYFUNCTION("""COMPUTED_VALUE"""),"Ben Simons")</f>
        <v>Ben Simons</v>
      </c>
      <c r="B195" s="13" t="str">
        <f>IFERROR(__xludf.DUMMYFUNCTION("""COMPUTED_VALUE"""),"OBR")</f>
        <v>OBR</v>
      </c>
      <c r="C195" s="14">
        <f>IFERROR(__xludf.DUMMYFUNCTION("""COMPUTED_VALUE"""),457.7)</f>
        <v>457.7</v>
      </c>
      <c r="D195" s="15">
        <f>IFERROR(__xludf.DUMMYFUNCTION("""COMPUTED_VALUE"""),2.705571519701297)</f>
        <v>2.70557152</v>
      </c>
      <c r="E195" s="15">
        <f>IFERROR(__xludf.DUMMYFUNCTION("""COMPUTED_VALUE"""),-4.037899226106154)</f>
        <v>-4.037899226</v>
      </c>
      <c r="F195" s="15">
        <f>IFERROR(__xludf.DUMMYFUNCTION("""COMPUTED_VALUE"""),-1.332327706404857)</f>
        <v>-1.332327706</v>
      </c>
      <c r="G195" s="17">
        <f>IFERROR(__xludf.DUMMYFUNCTION("""COMPUTED_VALUE"""),0.09450809792331775)</f>
        <v>0.09450809792</v>
      </c>
      <c r="H195" s="4"/>
      <c r="I195" s="5" t="s">
        <v>317</v>
      </c>
      <c r="J195" s="5" t="s">
        <v>41</v>
      </c>
      <c r="K195" s="5">
        <v>52.0</v>
      </c>
      <c r="L195" s="5">
        <v>-1.35178</v>
      </c>
      <c r="M195" s="5">
        <v>-0.06001</v>
      </c>
      <c r="N195" s="5">
        <v>-1.41179</v>
      </c>
      <c r="O195" s="5">
        <v>0.00927</v>
      </c>
    </row>
    <row r="196">
      <c r="A196" s="18" t="str">
        <f>IFERROR(__xludf.DUMMYFUNCTION("""COMPUTED_VALUE"""),"Rinalds Malmanis")</f>
        <v>Rinalds Malmanis</v>
      </c>
      <c r="B196" s="19" t="str">
        <f>IFERROR(__xludf.DUMMYFUNCTION("""COMPUTED_VALUE"""),"CAJ")</f>
        <v>CAJ</v>
      </c>
      <c r="C196" s="20">
        <f>IFERROR(__xludf.DUMMYFUNCTION("""COMPUTED_VALUE"""),178.1)</f>
        <v>178.1</v>
      </c>
      <c r="D196" s="21">
        <f>IFERROR(__xludf.DUMMYFUNCTION("""COMPUTED_VALUE"""),-2.3670080131976206)</f>
        <v>-2.367008013</v>
      </c>
      <c r="E196" s="21">
        <f>IFERROR(__xludf.DUMMYFUNCTION("""COMPUTED_VALUE"""),1.0298271603689366)</f>
        <v>1.02982716</v>
      </c>
      <c r="F196" s="21">
        <f>IFERROR(__xludf.DUMMYFUNCTION("""COMPUTED_VALUE"""),-1.337180852828684)</f>
        <v>-1.337180853</v>
      </c>
      <c r="G196" s="23">
        <f>IFERROR(__xludf.DUMMYFUNCTION("""COMPUTED_VALUE"""),0.035888315932379615)</f>
        <v>0.03588831593</v>
      </c>
      <c r="H196" s="4"/>
      <c r="I196" s="5" t="s">
        <v>542</v>
      </c>
      <c r="J196" s="5" t="s">
        <v>267</v>
      </c>
      <c r="K196" s="5">
        <v>569.0</v>
      </c>
      <c r="L196" s="5">
        <v>-1.27324</v>
      </c>
      <c r="M196" s="5">
        <v>-0.17978</v>
      </c>
      <c r="N196" s="5">
        <v>-1.45303</v>
      </c>
      <c r="O196" s="5">
        <v>0.09474</v>
      </c>
    </row>
    <row r="197">
      <c r="A197" s="12" t="str">
        <f>IFERROR(__xludf.DUMMYFUNCTION("""COMPUTED_VALUE"""),"Nik Caner-Medley")</f>
        <v>Nik Caner-Medley</v>
      </c>
      <c r="B197" s="13" t="str">
        <f>IFERROR(__xludf.DUMMYFUNCTION("""COMPUTED_VALUE"""),"EST")</f>
        <v>EST</v>
      </c>
      <c r="C197" s="14">
        <f>IFERROR(__xludf.DUMMYFUNCTION("""COMPUTED_VALUE"""),675.4)</f>
        <v>675.4</v>
      </c>
      <c r="D197" s="15">
        <f>IFERROR(__xludf.DUMMYFUNCTION("""COMPUTED_VALUE"""),-2.3848384469091353)</f>
        <v>-2.384838447</v>
      </c>
      <c r="E197" s="15">
        <f>IFERROR(__xludf.DUMMYFUNCTION("""COMPUTED_VALUE"""),1.0389535010136766)</f>
        <v>1.038953501</v>
      </c>
      <c r="F197" s="15">
        <f>IFERROR(__xludf.DUMMYFUNCTION("""COMPUTED_VALUE"""),-1.3458849458954587)</f>
        <v>-1.345884946</v>
      </c>
      <c r="G197" s="17">
        <f>IFERROR(__xludf.DUMMYFUNCTION("""COMPUTED_VALUE"""),0.13664391802737053)</f>
        <v>0.136643918</v>
      </c>
      <c r="H197" s="4"/>
      <c r="I197" s="5" t="s">
        <v>543</v>
      </c>
      <c r="J197" s="5" t="s">
        <v>267</v>
      </c>
      <c r="K197" s="5">
        <v>57.0</v>
      </c>
      <c r="L197" s="5">
        <v>-1.12202</v>
      </c>
      <c r="M197" s="5">
        <v>-0.34762</v>
      </c>
      <c r="N197" s="5">
        <v>-1.46965</v>
      </c>
      <c r="O197" s="5">
        <v>0.00915</v>
      </c>
    </row>
    <row r="198">
      <c r="A198" s="18" t="str">
        <f>IFERROR(__xludf.DUMMYFUNCTION("""COMPUTED_VALUE"""),"Livio Jean-Charles")</f>
        <v>Livio Jean-Charles</v>
      </c>
      <c r="B198" s="19" t="str">
        <f>IFERROR(__xludf.DUMMYFUNCTION("""COMPUTED_VALUE"""),"UNI")</f>
        <v>UNI</v>
      </c>
      <c r="C198" s="20">
        <f>IFERROR(__xludf.DUMMYFUNCTION("""COMPUTED_VALUE"""),103.9)</f>
        <v>103.9</v>
      </c>
      <c r="D198" s="21">
        <f>IFERROR(__xludf.DUMMYFUNCTION("""COMPUTED_VALUE"""),-0.8103976783726947)</f>
        <v>-0.8103976784</v>
      </c>
      <c r="E198" s="21">
        <f>IFERROR(__xludf.DUMMYFUNCTION("""COMPUTED_VALUE"""),-0.5433386904621589)</f>
        <v>-0.5433386905</v>
      </c>
      <c r="F198" s="21">
        <f>IFERROR(__xludf.DUMMYFUNCTION("""COMPUTED_VALUE"""),-1.3537363688348536)</f>
        <v>-1.353736369</v>
      </c>
      <c r="G198" s="23">
        <f>IFERROR(__xludf.DUMMYFUNCTION("""COMPUTED_VALUE"""),0.020399899725744478)</f>
        <v>0.02039989973</v>
      </c>
      <c r="H198" s="4"/>
      <c r="I198" s="5" t="s">
        <v>475</v>
      </c>
      <c r="J198" s="5" t="s">
        <v>59</v>
      </c>
      <c r="K198" s="5">
        <v>102.0</v>
      </c>
      <c r="L198" s="5">
        <v>-0.9162</v>
      </c>
      <c r="M198" s="5">
        <v>-0.5569</v>
      </c>
      <c r="N198" s="5">
        <v>-1.47309</v>
      </c>
      <c r="O198" s="5">
        <v>0.01654</v>
      </c>
    </row>
    <row r="199">
      <c r="A199" s="12" t="str">
        <f>IFERROR(__xludf.DUMMYFUNCTION("""COMPUTED_VALUE"""),"Nicolas Brussino")</f>
        <v>Nicolas Brussino</v>
      </c>
      <c r="B199" s="13" t="str">
        <f>IFERROR(__xludf.DUMMYFUNCTION("""COMPUTED_VALUE"""),"GCN")</f>
        <v>GCN</v>
      </c>
      <c r="C199" s="14">
        <f>IFERROR(__xludf.DUMMYFUNCTION("""COMPUTED_VALUE"""),211.3)</f>
        <v>211.3</v>
      </c>
      <c r="D199" s="15">
        <f>IFERROR(__xludf.DUMMYFUNCTION("""COMPUTED_VALUE"""),-3.767538637558524)</f>
        <v>-3.767538638</v>
      </c>
      <c r="E199" s="15">
        <f>IFERROR(__xludf.DUMMYFUNCTION("""COMPUTED_VALUE"""),2.4023570510772796)</f>
        <v>2.402357051</v>
      </c>
      <c r="F199" s="15">
        <f>IFERROR(__xludf.DUMMYFUNCTION("""COMPUTED_VALUE"""),-1.365181586481244)</f>
        <v>-1.365181586</v>
      </c>
      <c r="G199" s="17">
        <f>IFERROR(__xludf.DUMMYFUNCTION("""COMPUTED_VALUE"""),0.04063741908894166)</f>
        <v>0.04063741909</v>
      </c>
      <c r="H199" s="4"/>
      <c r="I199" s="5" t="s">
        <v>271</v>
      </c>
      <c r="J199" s="5" t="s">
        <v>41</v>
      </c>
      <c r="K199" s="5">
        <v>164.0</v>
      </c>
      <c r="L199" s="5">
        <v>-1.47734</v>
      </c>
      <c r="M199" s="5">
        <v>-0.02949</v>
      </c>
      <c r="N199" s="5">
        <v>-1.50683</v>
      </c>
      <c r="O199" s="5">
        <v>0.02458</v>
      </c>
    </row>
    <row r="200">
      <c r="A200" s="18" t="str">
        <f>IFERROR(__xludf.DUMMYFUNCTION("""COMPUTED_VALUE"""),"Omar Cook")</f>
        <v>Omar Cook</v>
      </c>
      <c r="B200" s="19" t="str">
        <f>IFERROR(__xludf.DUMMYFUNCTION("""COMPUTED_VALUE"""),"EST")</f>
        <v>EST</v>
      </c>
      <c r="C200" s="20">
        <f>IFERROR(__xludf.DUMMYFUNCTION("""COMPUTED_VALUE"""),913.3)</f>
        <v>913.3</v>
      </c>
      <c r="D200" s="21">
        <f>IFERROR(__xludf.DUMMYFUNCTION("""COMPUTED_VALUE"""),-0.5143819325423097)</f>
        <v>-0.5143819325</v>
      </c>
      <c r="E200" s="21">
        <f>IFERROR(__xludf.DUMMYFUNCTION("""COMPUTED_VALUE"""),-0.8756303282795762)</f>
        <v>-0.8756303283</v>
      </c>
      <c r="F200" s="21">
        <f>IFERROR(__xludf.DUMMYFUNCTION("""COMPUTED_VALUE"""),-1.390012260821886)</f>
        <v>-1.390012261</v>
      </c>
      <c r="G200" s="23">
        <f>IFERROR(__xludf.DUMMYFUNCTION("""COMPUTED_VALUE"""),0.17230967724194068)</f>
        <v>0.1723096772</v>
      </c>
      <c r="H200" s="4"/>
      <c r="I200" s="5" t="s">
        <v>503</v>
      </c>
      <c r="J200" s="5" t="s">
        <v>97</v>
      </c>
      <c r="K200" s="5">
        <v>302.0</v>
      </c>
      <c r="L200" s="5">
        <v>-0.22444</v>
      </c>
      <c r="M200" s="5">
        <v>-1.28691</v>
      </c>
      <c r="N200" s="5">
        <v>-1.51135</v>
      </c>
      <c r="O200" s="5">
        <v>0.04479</v>
      </c>
    </row>
    <row r="201">
      <c r="A201" s="12" t="str">
        <f>IFERROR(__xludf.DUMMYFUNCTION("""COMPUTED_VALUE"""),"Anthony Randolph")</f>
        <v>Anthony Randolph</v>
      </c>
      <c r="B201" s="13" t="str">
        <f>IFERROR(__xludf.DUMMYFUNCTION("""COMPUTED_VALUE"""),"RMB")</f>
        <v>RMB</v>
      </c>
      <c r="C201" s="14">
        <f>IFERROR(__xludf.DUMMYFUNCTION("""COMPUTED_VALUE"""),474.2)</f>
        <v>474.2</v>
      </c>
      <c r="D201" s="15">
        <f>IFERROR(__xludf.DUMMYFUNCTION("""COMPUTED_VALUE"""),-2.1755732079117975)</f>
        <v>-2.175573208</v>
      </c>
      <c r="E201" s="15">
        <f>IFERROR(__xludf.DUMMYFUNCTION("""COMPUTED_VALUE"""),0.7538273738872934)</f>
        <v>0.7538273739</v>
      </c>
      <c r="F201" s="15">
        <f>IFERROR(__xludf.DUMMYFUNCTION("""COMPUTED_VALUE"""),-1.4217458340245042)</f>
        <v>-1.421745834</v>
      </c>
      <c r="G201" s="17">
        <f>IFERROR(__xludf.DUMMYFUNCTION("""COMPUTED_VALUE"""),0.08335868578992324)</f>
        <v>0.08335868579</v>
      </c>
      <c r="H201" s="4"/>
      <c r="I201" s="5" t="s">
        <v>486</v>
      </c>
      <c r="J201" s="5" t="s">
        <v>22</v>
      </c>
      <c r="K201" s="5">
        <v>101.0</v>
      </c>
      <c r="L201" s="5">
        <v>-2.00792</v>
      </c>
      <c r="M201" s="5">
        <v>0.48698</v>
      </c>
      <c r="N201" s="5">
        <v>-1.52094</v>
      </c>
      <c r="O201" s="5">
        <v>0.01468</v>
      </c>
    </row>
    <row r="202">
      <c r="A202" s="18" t="str">
        <f>IFERROR(__xludf.DUMMYFUNCTION("""COMPUTED_VALUE"""),"Xabier Lopez-Arostegui")</f>
        <v>Xabier Lopez-Arostegui</v>
      </c>
      <c r="B202" s="19" t="str">
        <f>IFERROR(__xludf.DUMMYFUNCTION("""COMPUTED_VALUE"""),"JOV")</f>
        <v>JOV</v>
      </c>
      <c r="C202" s="20">
        <f>IFERROR(__xludf.DUMMYFUNCTION("""COMPUTED_VALUE"""),476.2)</f>
        <v>476.2</v>
      </c>
      <c r="D202" s="21">
        <f>IFERROR(__xludf.DUMMYFUNCTION("""COMPUTED_VALUE"""),-0.8328725119458826)</f>
        <v>-0.8328725119</v>
      </c>
      <c r="E202" s="21">
        <f>IFERROR(__xludf.DUMMYFUNCTION("""COMPUTED_VALUE"""),-0.6033013644451848)</f>
        <v>-0.6033013644</v>
      </c>
      <c r="F202" s="21">
        <f>IFERROR(__xludf.DUMMYFUNCTION("""COMPUTED_VALUE"""),-1.4361738763910674)</f>
        <v>-1.436173876</v>
      </c>
      <c r="G202" s="23">
        <f>IFERROR(__xludf.DUMMYFUNCTION("""COMPUTED_VALUE"""),0.0806739184568756)</f>
        <v>0.08067391846</v>
      </c>
      <c r="H202" s="4"/>
      <c r="I202" s="5" t="s">
        <v>544</v>
      </c>
      <c r="J202" s="5" t="s">
        <v>233</v>
      </c>
      <c r="K202" s="5">
        <v>633.0</v>
      </c>
      <c r="L202" s="5">
        <v>-1.30985</v>
      </c>
      <c r="M202" s="5">
        <v>-0.23246</v>
      </c>
      <c r="N202" s="5">
        <v>-1.5423</v>
      </c>
      <c r="O202" s="5">
        <v>0.08699</v>
      </c>
    </row>
    <row r="203">
      <c r="A203" s="12" t="str">
        <f>IFERROR(__xludf.DUMMYFUNCTION("""COMPUTED_VALUE"""),"Carlos Delfino")</f>
        <v>Carlos Delfino</v>
      </c>
      <c r="B203" s="13" t="str">
        <f>IFERROR(__xludf.DUMMYFUNCTION("""COMPUTED_VALUE"""),"CAJ")</f>
        <v>CAJ</v>
      </c>
      <c r="C203" s="14">
        <f>IFERROR(__xludf.DUMMYFUNCTION("""COMPUTED_VALUE"""),51.7)</f>
        <v>51.7</v>
      </c>
      <c r="D203" s="15">
        <f>IFERROR(__xludf.DUMMYFUNCTION("""COMPUTED_VALUE"""),-1.656964360055839)</f>
        <v>-1.65696436</v>
      </c>
      <c r="E203" s="15">
        <f>IFERROR(__xludf.DUMMYFUNCTION("""COMPUTED_VALUE"""),0.21576505129749202)</f>
        <v>0.2157650513</v>
      </c>
      <c r="F203" s="15">
        <f>IFERROR(__xludf.DUMMYFUNCTION("""COMPUTED_VALUE"""),-1.441199308758347)</f>
        <v>-1.441199309</v>
      </c>
      <c r="G203" s="17">
        <f>IFERROR(__xludf.DUMMYFUNCTION("""COMPUTED_VALUE"""),0.008782973899236594)</f>
        <v>0.008782973899</v>
      </c>
      <c r="H203" s="4"/>
      <c r="I203" s="5" t="s">
        <v>545</v>
      </c>
      <c r="J203" s="5" t="s">
        <v>89</v>
      </c>
      <c r="K203" s="5">
        <v>82.0</v>
      </c>
      <c r="L203" s="5">
        <v>-1.51757</v>
      </c>
      <c r="M203" s="5">
        <v>-0.02775</v>
      </c>
      <c r="N203" s="5">
        <v>-1.54532</v>
      </c>
      <c r="O203" s="5">
        <v>0.01222</v>
      </c>
    </row>
    <row r="204">
      <c r="A204" s="18" t="str">
        <f>IFERROR(__xludf.DUMMYFUNCTION("""COMPUTED_VALUE"""),"Nick Spires")</f>
        <v>Nick Spires</v>
      </c>
      <c r="B204" s="19" t="str">
        <f>IFERROR(__xludf.DUMMYFUNCTION("""COMPUTED_VALUE"""),"OBR")</f>
        <v>OBR</v>
      </c>
      <c r="C204" s="20">
        <f>IFERROR(__xludf.DUMMYFUNCTION("""COMPUTED_VALUE"""),247.9)</f>
        <v>247.9</v>
      </c>
      <c r="D204" s="21">
        <f>IFERROR(__xludf.DUMMYFUNCTION("""COMPUTED_VALUE"""),-2.594520170728033)</f>
        <v>-2.594520171</v>
      </c>
      <c r="E204" s="21">
        <f>IFERROR(__xludf.DUMMYFUNCTION("""COMPUTED_VALUE"""),1.1424772825616918)</f>
        <v>1.142477283</v>
      </c>
      <c r="F204" s="21">
        <f>IFERROR(__xludf.DUMMYFUNCTION("""COMPUTED_VALUE"""),-1.4520428881663414)</f>
        <v>-1.452042888</v>
      </c>
      <c r="G204" s="23">
        <f>IFERROR(__xludf.DUMMYFUNCTION("""COMPUTED_VALUE"""),0.04200953265956386)</f>
        <v>0.04200953266</v>
      </c>
      <c r="H204" s="4"/>
      <c r="I204" s="5" t="s">
        <v>546</v>
      </c>
      <c r="J204" s="5" t="s">
        <v>221</v>
      </c>
      <c r="K204" s="5">
        <v>651.0</v>
      </c>
      <c r="L204" s="5">
        <v>-1.8774</v>
      </c>
      <c r="M204" s="5">
        <v>0.32097</v>
      </c>
      <c r="N204" s="5">
        <v>-1.55643</v>
      </c>
      <c r="O204" s="5">
        <v>0.08939</v>
      </c>
    </row>
    <row r="205">
      <c r="A205" s="12" t="str">
        <f>IFERROR(__xludf.DUMMYFUNCTION("""COMPUTED_VALUE"""),"Carlos Alocen")</f>
        <v>Carlos Alocen</v>
      </c>
      <c r="B205" s="13" t="str">
        <f>IFERROR(__xludf.DUMMYFUNCTION("""COMPUTED_VALUE"""),"ZAR")</f>
        <v>ZAR</v>
      </c>
      <c r="C205" s="14">
        <f>IFERROR(__xludf.DUMMYFUNCTION("""COMPUTED_VALUE"""),56.7)</f>
        <v>56.7</v>
      </c>
      <c r="D205" s="15">
        <f>IFERROR(__xludf.DUMMYFUNCTION("""COMPUTED_VALUE"""),-1.3817956720329534)</f>
        <v>-1.381795672</v>
      </c>
      <c r="E205" s="15">
        <f>IFERROR(__xludf.DUMMYFUNCTION("""COMPUTED_VALUE"""),-0.10019045371525048)</f>
        <v>-0.1001904537</v>
      </c>
      <c r="F205" s="15">
        <f>IFERROR(__xludf.DUMMYFUNCTION("""COMPUTED_VALUE"""),-1.4819861257482039)</f>
        <v>-1.481986126</v>
      </c>
      <c r="G205" s="17">
        <f>IFERROR(__xludf.DUMMYFUNCTION("""COMPUTED_VALUE"""),0.008936489531478053)</f>
        <v>0.008936489531</v>
      </c>
      <c r="H205" s="4"/>
      <c r="I205" s="5" t="s">
        <v>547</v>
      </c>
      <c r="J205" s="5" t="s">
        <v>221</v>
      </c>
      <c r="K205" s="5">
        <v>879.0</v>
      </c>
      <c r="L205" s="5">
        <v>0.31127</v>
      </c>
      <c r="M205" s="5">
        <v>-1.90567</v>
      </c>
      <c r="N205" s="5">
        <v>-1.5944</v>
      </c>
      <c r="O205" s="5">
        <v>0.11036</v>
      </c>
    </row>
    <row r="206">
      <c r="A206" s="18" t="str">
        <f>IFERROR(__xludf.DUMMYFUNCTION("""COMPUTED_VALUE"""),"Jayson Granger")</f>
        <v>Jayson Granger</v>
      </c>
      <c r="B206" s="19" t="str">
        <f>IFERROR(__xludf.DUMMYFUNCTION("""COMPUTED_VALUE"""),"CAJ")</f>
        <v>CAJ</v>
      </c>
      <c r="C206" s="20">
        <f>IFERROR(__xludf.DUMMYFUNCTION("""COMPUTED_VALUE"""),689.3)</f>
        <v>689.3</v>
      </c>
      <c r="D206" s="21">
        <f>IFERROR(__xludf.DUMMYFUNCTION("""COMPUTED_VALUE"""),-2.966564955704166)</f>
        <v>-2.966564956</v>
      </c>
      <c r="E206" s="21">
        <f>IFERROR(__xludf.DUMMYFUNCTION("""COMPUTED_VALUE"""),1.4742711910413635)</f>
        <v>1.474271191</v>
      </c>
      <c r="F206" s="21">
        <f>IFERROR(__xludf.DUMMYFUNCTION("""COMPUTED_VALUE"""),-1.4922937646628025)</f>
        <v>-1.492293765</v>
      </c>
      <c r="G206" s="23">
        <f>IFERROR(__xludf.DUMMYFUNCTION("""COMPUTED_VALUE"""),0.1063934495459748)</f>
        <v>0.1063934495</v>
      </c>
      <c r="H206" s="4"/>
      <c r="I206" s="5" t="s">
        <v>548</v>
      </c>
      <c r="J206" s="5" t="s">
        <v>59</v>
      </c>
      <c r="K206" s="5">
        <v>30.0</v>
      </c>
      <c r="L206" s="5">
        <v>-0.58228</v>
      </c>
      <c r="M206" s="5">
        <v>-1.01363</v>
      </c>
      <c r="N206" s="5">
        <v>-1.5959</v>
      </c>
      <c r="O206" s="5">
        <v>0.00372</v>
      </c>
    </row>
    <row r="207">
      <c r="A207" s="12" t="str">
        <f>IFERROR(__xludf.DUMMYFUNCTION("""COMPUTED_VALUE"""),"Christian Eyenga")</f>
        <v>Christian Eyenga</v>
      </c>
      <c r="B207" s="13" t="str">
        <f>IFERROR(__xludf.DUMMYFUNCTION("""COMPUTED_VALUE"""),"MON")</f>
        <v>MON</v>
      </c>
      <c r="C207" s="14">
        <f>IFERROR(__xludf.DUMMYFUNCTION("""COMPUTED_VALUE"""),891.6)</f>
        <v>891.6</v>
      </c>
      <c r="D207" s="15">
        <f>IFERROR(__xludf.DUMMYFUNCTION("""COMPUTED_VALUE"""),-2.2509235807410946)</f>
        <v>-2.250923581</v>
      </c>
      <c r="E207" s="15">
        <f>IFERROR(__xludf.DUMMYFUNCTION("""COMPUTED_VALUE"""),0.7042208687506832)</f>
        <v>0.7042208688</v>
      </c>
      <c r="F207" s="15">
        <f>IFERROR(__xludf.DUMMYFUNCTION("""COMPUTED_VALUE"""),-1.5467027119904113)</f>
        <v>-1.546702712</v>
      </c>
      <c r="G207" s="17">
        <f>IFERROR(__xludf.DUMMYFUNCTION("""COMPUTED_VALUE"""),0.12165141910625354)</f>
        <v>0.1216514191</v>
      </c>
      <c r="H207" s="4"/>
      <c r="I207" s="5" t="s">
        <v>186</v>
      </c>
      <c r="J207" s="5" t="s">
        <v>59</v>
      </c>
      <c r="K207" s="5">
        <v>62.0</v>
      </c>
      <c r="L207" s="5">
        <v>-0.72986</v>
      </c>
      <c r="M207" s="5">
        <v>-0.89901</v>
      </c>
      <c r="N207" s="5">
        <v>-1.62887</v>
      </c>
      <c r="O207" s="5">
        <v>0.00713</v>
      </c>
    </row>
    <row r="208">
      <c r="A208" s="18" t="str">
        <f>IFERROR(__xludf.DUMMYFUNCTION("""COMPUTED_VALUE"""),"Sergi Vidal")</f>
        <v>Sergi Vidal</v>
      </c>
      <c r="B208" s="19" t="str">
        <f>IFERROR(__xludf.DUMMYFUNCTION("""COMPUTED_VALUE"""),"JOV")</f>
        <v>JOV</v>
      </c>
      <c r="C208" s="20">
        <f>IFERROR(__xludf.DUMMYFUNCTION("""COMPUTED_VALUE"""),634.7)</f>
        <v>634.7</v>
      </c>
      <c r="D208" s="21">
        <f>IFERROR(__xludf.DUMMYFUNCTION("""COMPUTED_VALUE"""),-1.3167713778187802)</f>
        <v>-1.316771378</v>
      </c>
      <c r="E208" s="21">
        <f>IFERROR(__xludf.DUMMYFUNCTION("""COMPUTED_VALUE"""),-0.23185925437057553)</f>
        <v>-0.2318592544</v>
      </c>
      <c r="F208" s="21">
        <f>IFERROR(__xludf.DUMMYFUNCTION("""COMPUTED_VALUE"""),-1.5486306321893557)</f>
        <v>-1.548630632</v>
      </c>
      <c r="G208" s="23">
        <f>IFERROR(__xludf.DUMMYFUNCTION("""COMPUTED_VALUE"""),0.08607938338509759)</f>
        <v>0.08607938339</v>
      </c>
      <c r="H208" s="4"/>
      <c r="I208" s="5" t="s">
        <v>549</v>
      </c>
      <c r="J208" s="5" t="s">
        <v>85</v>
      </c>
      <c r="K208" s="5">
        <v>721.0</v>
      </c>
      <c r="L208" s="5">
        <v>-3.8584</v>
      </c>
      <c r="M208" s="5">
        <v>2.20451</v>
      </c>
      <c r="N208" s="5">
        <v>-1.65388</v>
      </c>
      <c r="O208" s="5">
        <v>0.07554</v>
      </c>
    </row>
    <row r="209">
      <c r="A209" s="12" t="str">
        <f>IFERROR(__xludf.DUMMYFUNCTION("""COMPUTED_VALUE"""),"Chris Copeland")</f>
        <v>Chris Copeland</v>
      </c>
      <c r="B209" s="13" t="str">
        <f>IFERROR(__xludf.DUMMYFUNCTION("""COMPUTED_VALUE"""),"AND")</f>
        <v>AND</v>
      </c>
      <c r="C209" s="14">
        <f>IFERROR(__xludf.DUMMYFUNCTION("""COMPUTED_VALUE"""),82.1)</f>
        <v>82.1</v>
      </c>
      <c r="D209" s="15">
        <f>IFERROR(__xludf.DUMMYFUNCTION("""COMPUTED_VALUE"""),-1.7979270676833627)</f>
        <v>-1.797927068</v>
      </c>
      <c r="E209" s="15">
        <f>IFERROR(__xludf.DUMMYFUNCTION("""COMPUTED_VALUE"""),0.18590921724550902)</f>
        <v>0.1859092172</v>
      </c>
      <c r="F209" s="15">
        <f>IFERROR(__xludf.DUMMYFUNCTION("""COMPUTED_VALUE"""),-1.6120178504378537)</f>
        <v>-1.61201785</v>
      </c>
      <c r="G209" s="17">
        <f>IFERROR(__xludf.DUMMYFUNCTION("""COMPUTED_VALUE"""),0.010390409783576714)</f>
        <v>0.01039040978</v>
      </c>
      <c r="H209" s="4"/>
      <c r="I209" s="5" t="s">
        <v>550</v>
      </c>
      <c r="J209" s="5" t="s">
        <v>267</v>
      </c>
      <c r="K209" s="5">
        <v>676.0</v>
      </c>
      <c r="L209" s="5">
        <v>-1.67178</v>
      </c>
      <c r="M209" s="5">
        <v>0.00717</v>
      </c>
      <c r="N209" s="5">
        <v>-1.66461</v>
      </c>
      <c r="O209" s="5">
        <v>0.06903</v>
      </c>
    </row>
    <row r="210">
      <c r="A210" s="18" t="str">
        <f>IFERROR(__xludf.DUMMYFUNCTION("""COMPUTED_VALUE"""),"Damjan Rudez")</f>
        <v>Damjan Rudez</v>
      </c>
      <c r="B210" s="19" t="str">
        <f>IFERROR(__xludf.DUMMYFUNCTION("""COMPUTED_VALUE"""),"VAL")</f>
        <v>VAL</v>
      </c>
      <c r="C210" s="20">
        <f>IFERROR(__xludf.DUMMYFUNCTION("""COMPUTED_VALUE"""),101.5)</f>
        <v>101.5</v>
      </c>
      <c r="D210" s="21">
        <f>IFERROR(__xludf.DUMMYFUNCTION("""COMPUTED_VALUE"""),-0.02564301360197018)</f>
        <v>-0.0256430136</v>
      </c>
      <c r="E210" s="21">
        <f>IFERROR(__xludf.DUMMYFUNCTION("""COMPUTED_VALUE"""),-1.6187693941753794)</f>
        <v>-1.618769394</v>
      </c>
      <c r="F210" s="21">
        <f>IFERROR(__xludf.DUMMYFUNCTION("""COMPUTED_VALUE"""),-1.6444124077773494)</f>
        <v>-1.644412408</v>
      </c>
      <c r="G210" s="23">
        <f>IFERROR(__xludf.DUMMYFUNCTION("""COMPUTED_VALUE"""),0.01111363629442065)</f>
        <v>0.01111363629</v>
      </c>
      <c r="H210" s="4"/>
      <c r="I210" s="5" t="s">
        <v>437</v>
      </c>
      <c r="J210" s="5" t="s">
        <v>22</v>
      </c>
      <c r="K210" s="5">
        <v>51.0</v>
      </c>
      <c r="L210" s="5">
        <v>-1.30624</v>
      </c>
      <c r="M210" s="5">
        <v>-0.37524</v>
      </c>
      <c r="N210" s="5">
        <v>-1.68147</v>
      </c>
      <c r="O210" s="5">
        <v>0.00491</v>
      </c>
    </row>
    <row r="211">
      <c r="A211" s="12" t="str">
        <f>IFERROR(__xludf.DUMMYFUNCTION("""COMPUTED_VALUE"""),"Tomasz Gielo")</f>
        <v>Tomasz Gielo</v>
      </c>
      <c r="B211" s="13" t="str">
        <f>IFERROR(__xludf.DUMMYFUNCTION("""COMPUTED_VALUE"""),"JOV")</f>
        <v>JOV</v>
      </c>
      <c r="C211" s="14">
        <f>IFERROR(__xludf.DUMMYFUNCTION("""COMPUTED_VALUE"""),741.2)</f>
        <v>741.2</v>
      </c>
      <c r="D211" s="15">
        <f>IFERROR(__xludf.DUMMYFUNCTION("""COMPUTED_VALUE"""),-0.6413702293210941)</f>
        <v>-0.6413702293</v>
      </c>
      <c r="E211" s="15">
        <f>IFERROR(__xludf.DUMMYFUNCTION("""COMPUTED_VALUE"""),-1.055912262124546)</f>
        <v>-1.055912262</v>
      </c>
      <c r="F211" s="15">
        <f>IFERROR(__xludf.DUMMYFUNCTION("""COMPUTED_VALUE"""),-1.6972824914456401)</f>
        <v>-1.697282491</v>
      </c>
      <c r="G211" s="17">
        <f>IFERROR(__xludf.DUMMYFUNCTION("""COMPUTED_VALUE"""),0.0674173251891422)</f>
        <v>0.06741732519</v>
      </c>
      <c r="H211" s="4"/>
      <c r="I211" s="5" t="s">
        <v>551</v>
      </c>
      <c r="J211" s="5" t="s">
        <v>290</v>
      </c>
      <c r="K211" s="5">
        <v>868.0</v>
      </c>
      <c r="L211" s="5">
        <v>-2.499</v>
      </c>
      <c r="M211" s="5">
        <v>0.75464</v>
      </c>
      <c r="N211" s="5">
        <v>-1.74436</v>
      </c>
      <c r="O211" s="5">
        <v>0.06677</v>
      </c>
    </row>
    <row r="212">
      <c r="A212" s="18" t="str">
        <f>IFERROR(__xludf.DUMMYFUNCTION("""COMPUTED_VALUE"""),"Jonathan Barreiro")</f>
        <v>Jonathan Barreiro</v>
      </c>
      <c r="B212" s="19" t="str">
        <f>IFERROR(__xludf.DUMMYFUNCTION("""COMPUTED_VALUE"""),"ZAR")</f>
        <v>ZAR</v>
      </c>
      <c r="C212" s="20">
        <f>IFERROR(__xludf.DUMMYFUNCTION("""COMPUTED_VALUE"""),587.8)</f>
        <v>587.8</v>
      </c>
      <c r="D212" s="21">
        <f>IFERROR(__xludf.DUMMYFUNCTION("""COMPUTED_VALUE"""),-2.768258016620903)</f>
        <v>-2.768258017</v>
      </c>
      <c r="E212" s="21">
        <f>IFERROR(__xludf.DUMMYFUNCTION("""COMPUTED_VALUE"""),1.0486725009826094)</f>
        <v>1.048672501</v>
      </c>
      <c r="F212" s="21">
        <f>IFERROR(__xludf.DUMMYFUNCTION("""COMPUTED_VALUE"""),-1.7195855156382938)</f>
        <v>-1.719585516</v>
      </c>
      <c r="G212" s="23">
        <f>IFERROR(__xludf.DUMMYFUNCTION("""COMPUTED_VALUE"""),0.050150183287604226)</f>
        <v>0.05015018329</v>
      </c>
      <c r="H212" s="4"/>
      <c r="I212" s="5" t="s">
        <v>552</v>
      </c>
      <c r="J212" s="5" t="s">
        <v>233</v>
      </c>
      <c r="K212" s="5">
        <v>457.0</v>
      </c>
      <c r="L212" s="5">
        <v>-1.32485</v>
      </c>
      <c r="M212" s="5">
        <v>-0.51575</v>
      </c>
      <c r="N212" s="5">
        <v>-1.8406</v>
      </c>
      <c r="O212" s="5">
        <v>0.02188</v>
      </c>
    </row>
    <row r="213">
      <c r="A213" s="12" t="str">
        <f>IFERROR(__xludf.DUMMYFUNCTION("""COMPUTED_VALUE"""),"Nikola Dragovic")</f>
        <v>Nikola Dragovic</v>
      </c>
      <c r="B213" s="13" t="str">
        <f>IFERROR(__xludf.DUMMYFUNCTION("""COMPUTED_VALUE"""),"ZAR")</f>
        <v>ZAR</v>
      </c>
      <c r="C213" s="14">
        <f>IFERROR(__xludf.DUMMYFUNCTION("""COMPUTED_VALUE"""),676.2)</f>
        <v>676.2</v>
      </c>
      <c r="D213" s="15">
        <f>IFERROR(__xludf.DUMMYFUNCTION("""COMPUTED_VALUE"""),-3.0517472523201556)</f>
        <v>-3.051747252</v>
      </c>
      <c r="E213" s="15">
        <f>IFERROR(__xludf.DUMMYFUNCTION("""COMPUTED_VALUE"""),1.316413122479422)</f>
        <v>1.316413122</v>
      </c>
      <c r="F213" s="15">
        <f>IFERROR(__xludf.DUMMYFUNCTION("""COMPUTED_VALUE"""),-1.7353341298407337)</f>
        <v>-1.73533413</v>
      </c>
      <c r="G213" s="17">
        <f>IFERROR(__xludf.DUMMYFUNCTION("""COMPUTED_VALUE"""),0.05445222211197225)</f>
        <v>0.05445222211</v>
      </c>
      <c r="H213" s="4"/>
      <c r="I213" s="5" t="s">
        <v>553</v>
      </c>
      <c r="J213" s="5" t="s">
        <v>97</v>
      </c>
      <c r="K213" s="5">
        <v>522.0</v>
      </c>
      <c r="L213" s="5">
        <v>-1.72376</v>
      </c>
      <c r="M213" s="5">
        <v>-0.14873</v>
      </c>
      <c r="N213" s="5">
        <v>-1.87249</v>
      </c>
      <c r="O213" s="5">
        <v>0.02023</v>
      </c>
    </row>
    <row r="214">
      <c r="A214" s="18" t="str">
        <f>IFERROR(__xludf.DUMMYFUNCTION("""COMPUTED_VALUE"""),"Morayo Soluade")</f>
        <v>Morayo Soluade</v>
      </c>
      <c r="B214" s="19" t="str">
        <f>IFERROR(__xludf.DUMMYFUNCTION("""COMPUTED_VALUE"""),"UNI")</f>
        <v>UNI</v>
      </c>
      <c r="C214" s="20">
        <f>IFERROR(__xludf.DUMMYFUNCTION("""COMPUTED_VALUE"""),50.8)</f>
        <v>50.8</v>
      </c>
      <c r="D214" s="21">
        <f>IFERROR(__xludf.DUMMYFUNCTION("""COMPUTED_VALUE"""),-0.9582494168817661)</f>
        <v>-0.9582494169</v>
      </c>
      <c r="E214" s="21">
        <f>IFERROR(__xludf.DUMMYFUNCTION("""COMPUTED_VALUE"""),-0.7810531655313304)</f>
        <v>-0.7810531655</v>
      </c>
      <c r="F214" s="21">
        <f>IFERROR(__xludf.DUMMYFUNCTION("""COMPUTED_VALUE"""),-1.7393025824130965)</f>
        <v>-1.739302582</v>
      </c>
      <c r="G214" s="23">
        <f>IFERROR(__xludf.DUMMYFUNCTION("""COMPUTED_VALUE"""),0.004023492629750955)</f>
        <v>0.00402349263</v>
      </c>
      <c r="H214" s="4"/>
      <c r="I214" s="5" t="s">
        <v>554</v>
      </c>
      <c r="J214" s="5" t="s">
        <v>233</v>
      </c>
      <c r="K214" s="5">
        <v>720.0</v>
      </c>
      <c r="L214" s="5">
        <v>-0.8285</v>
      </c>
      <c r="M214" s="5">
        <v>-1.06587</v>
      </c>
      <c r="N214" s="5">
        <v>-1.89437</v>
      </c>
      <c r="O214" s="5">
        <v>0.02283</v>
      </c>
    </row>
    <row r="215">
      <c r="A215" s="12" t="str">
        <f>IFERROR(__xludf.DUMMYFUNCTION("""COMPUTED_VALUE"""),"Marcos Delia")</f>
        <v>Marcos Delia</v>
      </c>
      <c r="B215" s="13" t="str">
        <f>IFERROR(__xludf.DUMMYFUNCTION("""COMPUTED_VALUE"""),"MUR")</f>
        <v>MUR</v>
      </c>
      <c r="C215" s="14">
        <f>IFERROR(__xludf.DUMMYFUNCTION("""COMPUTED_VALUE"""),734.1)</f>
        <v>734.1</v>
      </c>
      <c r="D215" s="15">
        <f>IFERROR(__xludf.DUMMYFUNCTION("""COMPUTED_VALUE"""),-1.9435229028255046)</f>
        <v>-1.943522903</v>
      </c>
      <c r="E215" s="15">
        <f>IFERROR(__xludf.DUMMYFUNCTION("""COMPUTED_VALUE"""),0.18629121774204793)</f>
        <v>0.1862912177</v>
      </c>
      <c r="F215" s="15">
        <f>IFERROR(__xludf.DUMMYFUNCTION("""COMPUTED_VALUE"""),-1.7572316850834566)</f>
        <v>-1.757231685</v>
      </c>
      <c r="G215" s="17">
        <f>IFERROR(__xludf.DUMMYFUNCTION("""COMPUTED_VALUE"""),0.0539368259118166)</f>
        <v>0.05393682591</v>
      </c>
      <c r="H215" s="4"/>
      <c r="I215" s="5" t="s">
        <v>555</v>
      </c>
      <c r="J215" s="5" t="s">
        <v>113</v>
      </c>
      <c r="K215" s="5">
        <v>72.0</v>
      </c>
      <c r="L215" s="5">
        <v>-1.38131</v>
      </c>
      <c r="M215" s="5">
        <v>-0.54586</v>
      </c>
      <c r="N215" s="5">
        <v>-1.92717</v>
      </c>
      <c r="O215" s="5">
        <v>0.00161</v>
      </c>
    </row>
    <row r="216">
      <c r="A216" s="18" t="str">
        <f>IFERROR(__xludf.DUMMYFUNCTION("""COMPUTED_VALUE"""),"Miquel Salvo")</f>
        <v>Miquel Salvo</v>
      </c>
      <c r="B216" s="19" t="str">
        <f>IFERROR(__xludf.DUMMYFUNCTION("""COMPUTED_VALUE"""),"GBC")</f>
        <v>GBC</v>
      </c>
      <c r="C216" s="20">
        <f>IFERROR(__xludf.DUMMYFUNCTION("""COMPUTED_VALUE"""),619.0)</f>
        <v>619</v>
      </c>
      <c r="D216" s="21">
        <f>IFERROR(__xludf.DUMMYFUNCTION("""COMPUTED_VALUE"""),-2.363306248289561)</f>
        <v>-2.363306248</v>
      </c>
      <c r="E216" s="21">
        <f>IFERROR(__xludf.DUMMYFUNCTION("""COMPUTED_VALUE"""),0.45810577544013853)</f>
        <v>0.4581057754</v>
      </c>
      <c r="F216" s="21">
        <f>IFERROR(__xludf.DUMMYFUNCTION("""COMPUTED_VALUE"""),-1.9052004728494225)</f>
        <v>-1.905200473</v>
      </c>
      <c r="G216" s="23">
        <f>IFERROR(__xludf.DUMMYFUNCTION("""COMPUTED_VALUE"""),0.01782472630983566)</f>
        <v>0.01782472631</v>
      </c>
      <c r="H216" s="4"/>
      <c r="I216" s="5" t="s">
        <v>556</v>
      </c>
      <c r="J216" s="5" t="s">
        <v>225</v>
      </c>
      <c r="K216" s="5">
        <v>216.0</v>
      </c>
      <c r="L216" s="5">
        <v>-0.61457</v>
      </c>
      <c r="M216" s="5">
        <v>-1.36741</v>
      </c>
      <c r="N216" s="5">
        <v>-1.98198</v>
      </c>
      <c r="O216" s="5">
        <v>0.00118</v>
      </c>
    </row>
    <row r="217">
      <c r="A217" s="12" t="str">
        <f>IFERROR(__xludf.DUMMYFUNCTION("""COMPUTED_VALUE"""),"Nikola Rebic")</f>
        <v>Nikola Rebic</v>
      </c>
      <c r="B217" s="13" t="str">
        <f>IFERROR(__xludf.DUMMYFUNCTION("""COMPUTED_VALUE"""),"BBB")</f>
        <v>BBB</v>
      </c>
      <c r="C217" s="14">
        <f>IFERROR(__xludf.DUMMYFUNCTION("""COMPUTED_VALUE"""),76.7)</f>
        <v>76.7</v>
      </c>
      <c r="D217" s="15">
        <f>IFERROR(__xludf.DUMMYFUNCTION("""COMPUTED_VALUE"""),-1.1943165285346988)</f>
        <v>-1.194316529</v>
      </c>
      <c r="E217" s="15">
        <f>IFERROR(__xludf.DUMMYFUNCTION("""COMPUTED_VALUE"""),-0.7112599930643202)</f>
        <v>-0.7112599931</v>
      </c>
      <c r="F217" s="15">
        <f>IFERROR(__xludf.DUMMYFUNCTION("""COMPUTED_VALUE"""),-1.905576521599019)</f>
        <v>-1.905576522</v>
      </c>
      <c r="G217" s="17">
        <f>IFERROR(__xludf.DUMMYFUNCTION("""COMPUTED_VALUE"""),0.0022080773804509153)</f>
        <v>0.00220807738</v>
      </c>
      <c r="H217" s="4"/>
      <c r="I217" s="5" t="s">
        <v>316</v>
      </c>
      <c r="J217" s="5" t="s">
        <v>59</v>
      </c>
      <c r="K217" s="5">
        <v>60.0</v>
      </c>
      <c r="L217" s="5">
        <v>-1.2746</v>
      </c>
      <c r="M217" s="5">
        <v>-0.79612</v>
      </c>
      <c r="N217" s="5">
        <v>-2.07073</v>
      </c>
      <c r="O217" s="5">
        <v>-0.00132</v>
      </c>
    </row>
    <row r="218">
      <c r="A218" s="18" t="str">
        <f>IFERROR(__xludf.DUMMYFUNCTION("""COMPUTED_VALUE"""),"Juan Carlos Navarro")</f>
        <v>Juan Carlos Navarro</v>
      </c>
      <c r="B218" s="19" t="str">
        <f>IFERROR(__xludf.DUMMYFUNCTION("""COMPUTED_VALUE"""),"FCB")</f>
        <v>FCB</v>
      </c>
      <c r="C218" s="20">
        <f>IFERROR(__xludf.DUMMYFUNCTION("""COMPUTED_VALUE"""),462.4)</f>
        <v>462.4</v>
      </c>
      <c r="D218" s="21">
        <f>IFERROR(__xludf.DUMMYFUNCTION("""COMPUTED_VALUE"""),1.1621803137862647)</f>
        <v>1.162180314</v>
      </c>
      <c r="E218" s="21">
        <f>IFERROR(__xludf.DUMMYFUNCTION("""COMPUTED_VALUE"""),-3.1071747056665)</f>
        <v>-3.107174706</v>
      </c>
      <c r="F218" s="21">
        <f>IFERROR(__xludf.DUMMYFUNCTION("""COMPUTED_VALUE"""),-1.9449943918802353)</f>
        <v>-1.944994392</v>
      </c>
      <c r="G218" s="23">
        <f>IFERROR(__xludf.DUMMYFUNCTION("""COMPUTED_VALUE"""),0.0076840742693681085)</f>
        <v>0.007684074269</v>
      </c>
      <c r="H218" s="4"/>
      <c r="I218" s="5" t="s">
        <v>557</v>
      </c>
      <c r="J218" s="5" t="s">
        <v>54</v>
      </c>
      <c r="K218" s="5">
        <v>434.0</v>
      </c>
      <c r="L218" s="5">
        <v>-1.10721</v>
      </c>
      <c r="M218" s="5">
        <v>-0.99488</v>
      </c>
      <c r="N218" s="5">
        <v>-2.1021</v>
      </c>
      <c r="O218" s="5">
        <v>-0.01343</v>
      </c>
    </row>
    <row r="219">
      <c r="A219" s="12" t="str">
        <f>IFERROR(__xludf.DUMMYFUNCTION("""COMPUTED_VALUE"""),"Gal Mekel")</f>
        <v>Gal Mekel</v>
      </c>
      <c r="B219" s="13" t="str">
        <f>IFERROR(__xludf.DUMMYFUNCTION("""COMPUTED_VALUE"""),"GCN")</f>
        <v>GCN</v>
      </c>
      <c r="C219" s="14">
        <f>IFERROR(__xludf.DUMMYFUNCTION("""COMPUTED_VALUE"""),686.7)</f>
        <v>686.7</v>
      </c>
      <c r="D219" s="15">
        <f>IFERROR(__xludf.DUMMYFUNCTION("""COMPUTED_VALUE"""),-3.434096088506017)</f>
        <v>-3.434096089</v>
      </c>
      <c r="E219" s="15">
        <f>IFERROR(__xludf.DUMMYFUNCTION("""COMPUTED_VALUE"""),1.3666472071203497)</f>
        <v>1.366647207</v>
      </c>
      <c r="F219" s="15">
        <f>IFERROR(__xludf.DUMMYFUNCTION("""COMPUTED_VALUE"""),-2.0674488813856673)</f>
        <v>-2.067448881</v>
      </c>
      <c r="G219" s="17">
        <f>IFERROR(__xludf.DUMMYFUNCTION("""COMPUTED_VALUE"""),-0.014031978293791051)</f>
        <v>-0.01403197829</v>
      </c>
      <c r="H219" s="4"/>
      <c r="I219" s="5" t="s">
        <v>558</v>
      </c>
      <c r="J219" s="5" t="s">
        <v>423</v>
      </c>
      <c r="K219" s="5">
        <v>811.0</v>
      </c>
      <c r="L219" s="5">
        <v>0.82654</v>
      </c>
      <c r="M219" s="5">
        <v>-2.95697</v>
      </c>
      <c r="N219" s="5">
        <v>-2.13043</v>
      </c>
      <c r="O219" s="5">
        <v>-0.03234</v>
      </c>
    </row>
    <row r="220">
      <c r="A220" s="18" t="str">
        <f>IFERROR(__xludf.DUMMYFUNCTION("""COMPUTED_VALUE"""),"Mickell Gladness")</f>
        <v>Mickell Gladness</v>
      </c>
      <c r="B220" s="19" t="str">
        <f>IFERROR(__xludf.DUMMYFUNCTION("""COMPUTED_VALUE"""),"BBB")</f>
        <v>BBB</v>
      </c>
      <c r="C220" s="20">
        <f>IFERROR(__xludf.DUMMYFUNCTION("""COMPUTED_VALUE"""),541.0)</f>
        <v>541</v>
      </c>
      <c r="D220" s="21">
        <f>IFERROR(__xludf.DUMMYFUNCTION("""COMPUTED_VALUE"""),-3.8868570976686825)</f>
        <v>-3.886857098</v>
      </c>
      <c r="E220" s="21">
        <f>IFERROR(__xludf.DUMMYFUNCTION("""COMPUTED_VALUE"""),1.813008923983396)</f>
        <v>1.813008924</v>
      </c>
      <c r="F220" s="21">
        <f>IFERROR(__xludf.DUMMYFUNCTION("""COMPUTED_VALUE"""),-2.0738481736852865)</f>
        <v>-2.073848174</v>
      </c>
      <c r="G220" s="23">
        <f>IFERROR(__xludf.DUMMYFUNCTION("""COMPUTED_VALUE"""),-0.012180803979593017)</f>
        <v>-0.01218080398</v>
      </c>
      <c r="H220" s="4"/>
      <c r="I220" s="5" t="s">
        <v>559</v>
      </c>
      <c r="J220" s="5" t="s">
        <v>290</v>
      </c>
      <c r="K220" s="5">
        <v>714.0</v>
      </c>
      <c r="L220" s="5">
        <v>-2.2973</v>
      </c>
      <c r="M220" s="5">
        <v>0.15445</v>
      </c>
      <c r="N220" s="5">
        <v>-2.14285</v>
      </c>
      <c r="O220" s="5">
        <v>-0.03067</v>
      </c>
    </row>
    <row r="221">
      <c r="A221" s="12" t="str">
        <f>IFERROR(__xludf.DUMMYFUNCTION("""COMPUTED_VALUE"""),"Latavious Williams")</f>
        <v>Latavious Williams</v>
      </c>
      <c r="B221" s="13" t="str">
        <f>IFERROR(__xludf.DUMMYFUNCTION("""COMPUTED_VALUE"""),"VAL")</f>
        <v>VAL</v>
      </c>
      <c r="C221" s="14">
        <f>IFERROR(__xludf.DUMMYFUNCTION("""COMPUTED_VALUE"""),60.2)</f>
        <v>60.2</v>
      </c>
      <c r="D221" s="15">
        <f>IFERROR(__xludf.DUMMYFUNCTION("""COMPUTED_VALUE"""),-0.7476630234306549)</f>
        <v>-0.7476630234</v>
      </c>
      <c r="E221" s="15">
        <f>IFERROR(__xludf.DUMMYFUNCTION("""COMPUTED_VALUE"""),-1.4259710571270139)</f>
        <v>-1.425971057</v>
      </c>
      <c r="F221" s="15">
        <f>IFERROR(__xludf.DUMMYFUNCTION("""COMPUTED_VALUE"""),-2.173634080557669)</f>
        <v>-2.173634081</v>
      </c>
      <c r="G221" s="17">
        <f>IFERROR(__xludf.DUMMYFUNCTION("""COMPUTED_VALUE"""),-0.0032186592542492805)</f>
        <v>-0.003218659254</v>
      </c>
      <c r="H221" s="4"/>
      <c r="I221" s="5" t="s">
        <v>560</v>
      </c>
      <c r="J221" s="5" t="s">
        <v>290</v>
      </c>
      <c r="K221" s="5">
        <v>857.0</v>
      </c>
      <c r="L221" s="5">
        <v>-0.34068</v>
      </c>
      <c r="M221" s="5">
        <v>-1.81227</v>
      </c>
      <c r="N221" s="5">
        <v>-2.15295</v>
      </c>
      <c r="O221" s="5">
        <v>-0.03945</v>
      </c>
    </row>
    <row r="222">
      <c r="A222" s="18" t="str">
        <f>IFERROR(__xludf.DUMMYFUNCTION("""COMPUTED_VALUE"""),"Blake Schilb")</f>
        <v>Blake Schilb</v>
      </c>
      <c r="B222" s="19" t="str">
        <f>IFERROR(__xludf.DUMMYFUNCTION("""COMPUTED_VALUE"""),"ENER")</f>
        <v>ENER</v>
      </c>
      <c r="C222" s="20">
        <f>IFERROR(__xludf.DUMMYFUNCTION("""COMPUTED_VALUE"""),828.8)</f>
        <v>828.8</v>
      </c>
      <c r="D222" s="21">
        <f>IFERROR(__xludf.DUMMYFUNCTION("""COMPUTED_VALUE"""),0.5958604388842343)</f>
        <v>0.5958604389</v>
      </c>
      <c r="E222" s="21">
        <f>IFERROR(__xludf.DUMMYFUNCTION("""COMPUTED_VALUE"""),-2.7828880800313596)</f>
        <v>-2.78288808</v>
      </c>
      <c r="F222" s="21">
        <f>IFERROR(__xludf.DUMMYFUNCTION("""COMPUTED_VALUE"""),-2.1870276411471252)</f>
        <v>-2.187027641</v>
      </c>
      <c r="G222" s="23">
        <f>IFERROR(__xludf.DUMMYFUNCTION("""COMPUTED_VALUE"""),-0.04746846047439079)</f>
        <v>-0.04746846047</v>
      </c>
      <c r="H222" s="4"/>
      <c r="I222" s="5" t="s">
        <v>561</v>
      </c>
      <c r="J222" s="5" t="s">
        <v>225</v>
      </c>
      <c r="K222" s="5">
        <v>794.0</v>
      </c>
      <c r="L222" s="5">
        <v>0.57154</v>
      </c>
      <c r="M222" s="5">
        <v>-2.72606</v>
      </c>
      <c r="N222" s="5">
        <v>-2.15451</v>
      </c>
      <c r="O222" s="5">
        <v>-0.0371</v>
      </c>
    </row>
    <row r="223">
      <c r="A223" s="12" t="str">
        <f>IFERROR(__xludf.DUMMYFUNCTION("""COMPUTED_VALUE"""),"Vlatko Cancar")</f>
        <v>Vlatko Cancar</v>
      </c>
      <c r="B223" s="13" t="str">
        <f>IFERROR(__xludf.DUMMYFUNCTION("""COMPUTED_VALUE"""),"SPB")</f>
        <v>SPB</v>
      </c>
      <c r="C223" s="14">
        <f>IFERROR(__xludf.DUMMYFUNCTION("""COMPUTED_VALUE"""),234.2)</f>
        <v>234.2</v>
      </c>
      <c r="D223" s="15">
        <f>IFERROR(__xludf.DUMMYFUNCTION("""COMPUTED_VALUE"""),-1.5867925465300035)</f>
        <v>-1.586792547</v>
      </c>
      <c r="E223" s="15">
        <f>IFERROR(__xludf.DUMMYFUNCTION("""COMPUTED_VALUE"""),-0.6075129418793623)</f>
        <v>-0.6075129419</v>
      </c>
      <c r="F223" s="15">
        <f>IFERROR(__xludf.DUMMYFUNCTION("""COMPUTED_VALUE"""),-2.194305488409366)</f>
        <v>-2.194305488</v>
      </c>
      <c r="G223" s="17">
        <f>IFERROR(__xludf.DUMMYFUNCTION("""COMPUTED_VALUE"""),-0.013772415491763315)</f>
        <v>-0.01377241549</v>
      </c>
      <c r="H223" s="4"/>
      <c r="I223" s="5" t="s">
        <v>562</v>
      </c>
      <c r="J223" s="5" t="s">
        <v>54</v>
      </c>
      <c r="K223" s="5">
        <v>76.0</v>
      </c>
      <c r="L223" s="5">
        <v>-1.95183</v>
      </c>
      <c r="M223" s="5">
        <v>-0.20296</v>
      </c>
      <c r="N223" s="5">
        <v>-2.15479</v>
      </c>
      <c r="O223" s="5">
        <v>-0.00355</v>
      </c>
    </row>
    <row r="224">
      <c r="A224" s="18" t="str">
        <f>IFERROR(__xludf.DUMMYFUNCTION("""COMPUTED_VALUE"""),"Gregory Vargas")</f>
        <v>Gregory Vargas</v>
      </c>
      <c r="B224" s="19" t="str">
        <f>IFERROR(__xludf.DUMMYFUNCTION("""COMPUTED_VALUE"""),"MON")</f>
        <v>MON</v>
      </c>
      <c r="C224" s="20">
        <f>IFERROR(__xludf.DUMMYFUNCTION("""COMPUTED_VALUE"""),734.2)</f>
        <v>734.2</v>
      </c>
      <c r="D224" s="21">
        <f>IFERROR(__xludf.DUMMYFUNCTION("""COMPUTED_VALUE"""),-2.2677184384948914)</f>
        <v>-2.267718438</v>
      </c>
      <c r="E224" s="21">
        <f>IFERROR(__xludf.DUMMYFUNCTION("""COMPUTED_VALUE"""),0.06729619486212801)</f>
        <v>0.06729619486</v>
      </c>
      <c r="F224" s="21">
        <f>IFERROR(__xludf.DUMMYFUNCTION("""COMPUTED_VALUE"""),-2.2004222436327634)</f>
        <v>-2.200422244</v>
      </c>
      <c r="G224" s="23">
        <f>IFERROR(__xludf.DUMMYFUNCTION("""COMPUTED_VALUE"""),-0.04429189876751783)</f>
        <v>-0.04429189877</v>
      </c>
      <c r="H224" s="4"/>
      <c r="I224" s="5" t="s">
        <v>563</v>
      </c>
      <c r="J224" s="5" t="s">
        <v>113</v>
      </c>
      <c r="K224" s="5">
        <v>531.0</v>
      </c>
      <c r="L224" s="5">
        <v>-4.17502</v>
      </c>
      <c r="M224" s="5">
        <v>2.01188</v>
      </c>
      <c r="N224" s="5">
        <v>-2.16314</v>
      </c>
      <c r="O224" s="5">
        <v>-0.02641</v>
      </c>
    </row>
    <row r="225">
      <c r="A225" s="12" t="str">
        <f>IFERROR(__xludf.DUMMYFUNCTION("""COMPUTED_VALUE"""),"Paco Cruz")</f>
        <v>Paco Cruz</v>
      </c>
      <c r="B225" s="13" t="str">
        <f>IFERROR(__xludf.DUMMYFUNCTION("""COMPUTED_VALUE"""),"MON")</f>
        <v>MON</v>
      </c>
      <c r="C225" s="14">
        <f>IFERROR(__xludf.DUMMYFUNCTION("""COMPUTED_VALUE"""),882.1)</f>
        <v>882.1</v>
      </c>
      <c r="D225" s="15">
        <f>IFERROR(__xludf.DUMMYFUNCTION("""COMPUTED_VALUE"""),-0.3135239852635632)</f>
        <v>-0.3135239853</v>
      </c>
      <c r="E225" s="15">
        <f>IFERROR(__xludf.DUMMYFUNCTION("""COMPUTED_VALUE"""),-1.9049312261077809)</f>
        <v>-1.904931226</v>
      </c>
      <c r="F225" s="15">
        <f>IFERROR(__xludf.DUMMYFUNCTION("""COMPUTED_VALUE"""),-2.218455211371344)</f>
        <v>-2.218455211</v>
      </c>
      <c r="G225" s="17">
        <f>IFERROR(__xludf.DUMMYFUNCTION("""COMPUTED_VALUE"""),-0.05800216848291849)</f>
        <v>-0.05800216848</v>
      </c>
      <c r="H225" s="4"/>
      <c r="I225" s="5" t="s">
        <v>564</v>
      </c>
      <c r="J225" s="5" t="s">
        <v>89</v>
      </c>
      <c r="K225" s="5">
        <v>185.0</v>
      </c>
      <c r="L225" s="5">
        <v>-2.4253</v>
      </c>
      <c r="M225" s="5">
        <v>0.23929</v>
      </c>
      <c r="N225" s="5">
        <v>-2.186</v>
      </c>
      <c r="O225" s="5">
        <v>-0.01126</v>
      </c>
    </row>
    <row r="226">
      <c r="A226" s="18" t="str">
        <f>IFERROR(__xludf.DUMMYFUNCTION("""COMPUTED_VALUE"""),"Saulius Kulvietis")</f>
        <v>Saulius Kulvietis</v>
      </c>
      <c r="B226" s="19" t="str">
        <f>IFERROR(__xludf.DUMMYFUNCTION("""COMPUTED_VALUE"""),"JOV")</f>
        <v>JOV</v>
      </c>
      <c r="C226" s="20">
        <f>IFERROR(__xludf.DUMMYFUNCTION("""COMPUTED_VALUE"""),658.6)</f>
        <v>658.6</v>
      </c>
      <c r="D226" s="21">
        <f>IFERROR(__xludf.DUMMYFUNCTION("""COMPUTED_VALUE"""),-0.7097778225086011)</f>
        <v>-0.7097778225</v>
      </c>
      <c r="E226" s="21">
        <f>IFERROR(__xludf.DUMMYFUNCTION("""COMPUTED_VALUE"""),-1.5385275462771628)</f>
        <v>-1.538527546</v>
      </c>
      <c r="F226" s="21">
        <f>IFERROR(__xludf.DUMMYFUNCTION("""COMPUTED_VALUE"""),-2.248305368785764)</f>
        <v>-2.248305369</v>
      </c>
      <c r="G226" s="23">
        <f>IFERROR(__xludf.DUMMYFUNCTION("""COMPUTED_VALUE"""),-0.04913674715914654)</f>
        <v>-0.04913674716</v>
      </c>
      <c r="H226" s="4"/>
      <c r="I226" s="5" t="s">
        <v>565</v>
      </c>
      <c r="J226" s="5" t="s">
        <v>184</v>
      </c>
      <c r="K226" s="5">
        <v>638.0</v>
      </c>
      <c r="L226" s="5">
        <v>0.05128</v>
      </c>
      <c r="M226" s="5">
        <v>-2.23735</v>
      </c>
      <c r="N226" s="5">
        <v>-2.18607</v>
      </c>
      <c r="O226" s="5">
        <v>-0.03571</v>
      </c>
    </row>
    <row r="227">
      <c r="A227" s="12" t="str">
        <f>IFERROR(__xludf.DUMMYFUNCTION("""COMPUTED_VALUE"""),"Jaime Fernandez")</f>
        <v>Jaime Fernandez</v>
      </c>
      <c r="B227" s="13" t="str">
        <f>IFERROR(__xludf.DUMMYFUNCTION("""COMPUTED_VALUE"""),"AND")</f>
        <v>AND</v>
      </c>
      <c r="C227" s="14">
        <f>IFERROR(__xludf.DUMMYFUNCTION("""COMPUTED_VALUE"""),377.3)</f>
        <v>377.3</v>
      </c>
      <c r="D227" s="15">
        <f>IFERROR(__xludf.DUMMYFUNCTION("""COMPUTED_VALUE"""),-5.542693868717074)</f>
        <v>-5.542693869</v>
      </c>
      <c r="E227" s="15">
        <f>IFERROR(__xludf.DUMMYFUNCTION("""COMPUTED_VALUE"""),3.227118775122948)</f>
        <v>3.227118775</v>
      </c>
      <c r="F227" s="15">
        <f>IFERROR(__xludf.DUMMYFUNCTION("""COMPUTED_VALUE"""),-2.315575093594126)</f>
        <v>-2.315575094</v>
      </c>
      <c r="G227" s="17">
        <f>IFERROR(__xludf.DUMMYFUNCTION("""COMPUTED_VALUE"""),-0.03883893376156637)</f>
        <v>-0.03883893376</v>
      </c>
      <c r="H227" s="4"/>
      <c r="I227" s="5" t="s">
        <v>566</v>
      </c>
      <c r="J227" s="5" t="s">
        <v>74</v>
      </c>
      <c r="K227" s="5">
        <v>619.0</v>
      </c>
      <c r="L227" s="5">
        <v>-2.71055</v>
      </c>
      <c r="M227" s="5">
        <v>0.52002</v>
      </c>
      <c r="N227" s="5">
        <v>-2.19053</v>
      </c>
      <c r="O227" s="5">
        <v>-0.03639</v>
      </c>
    </row>
    <row r="228">
      <c r="A228" s="18" t="str">
        <f>IFERROR(__xludf.DUMMYFUNCTION("""COMPUTED_VALUE"""),"Dominik Mavra")</f>
        <v>Dominik Mavra</v>
      </c>
      <c r="B228" s="19" t="str">
        <f>IFERROR(__xludf.DUMMYFUNCTION("""COMPUTED_VALUE"""),"JOV")</f>
        <v>JOV</v>
      </c>
      <c r="C228" s="20">
        <f>IFERROR(__xludf.DUMMYFUNCTION("""COMPUTED_VALUE"""),58.9)</f>
        <v>58.9</v>
      </c>
      <c r="D228" s="21">
        <f>IFERROR(__xludf.DUMMYFUNCTION("""COMPUTED_VALUE"""),-1.6817109039570417)</f>
        <v>-1.681710904</v>
      </c>
      <c r="E228" s="21">
        <f>IFERROR(__xludf.DUMMYFUNCTION("""COMPUTED_VALUE"""),-0.6432002058481314)</f>
        <v>-0.6432002058</v>
      </c>
      <c r="F228" s="21">
        <f>IFERROR(__xludf.DUMMYFUNCTION("""COMPUTED_VALUE"""),-2.324911109805173)</f>
        <v>-2.32491111</v>
      </c>
      <c r="G228" s="23">
        <f>IFERROR(__xludf.DUMMYFUNCTION("""COMPUTED_VALUE"""),-0.005750140057928859)</f>
        <v>-0.005750140058</v>
      </c>
      <c r="H228" s="4"/>
      <c r="I228" s="5" t="s">
        <v>567</v>
      </c>
      <c r="J228" s="5" t="s">
        <v>74</v>
      </c>
      <c r="K228" s="5">
        <v>808.0</v>
      </c>
      <c r="L228" s="5">
        <v>-1.70182</v>
      </c>
      <c r="M228" s="5">
        <v>-0.49603</v>
      </c>
      <c r="N228" s="5">
        <v>-2.19786</v>
      </c>
      <c r="O228" s="5">
        <v>-0.04931</v>
      </c>
    </row>
    <row r="229">
      <c r="A229" s="12" t="str">
        <f>IFERROR(__xludf.DUMMYFUNCTION("""COMPUTED_VALUE"""),"Jordan Swing")</f>
        <v>Jordan Swing</v>
      </c>
      <c r="B229" s="13" t="str">
        <f>IFERROR(__xludf.DUMMYFUNCTION("""COMPUTED_VALUE"""),"GBC")</f>
        <v>GBC</v>
      </c>
      <c r="C229" s="14">
        <f>IFERROR(__xludf.DUMMYFUNCTION("""COMPUTED_VALUE"""),828.0)</f>
        <v>828</v>
      </c>
      <c r="D229" s="15">
        <f>IFERROR(__xludf.DUMMYFUNCTION("""COMPUTED_VALUE"""),-1.6563026258861167)</f>
        <v>-1.656302626</v>
      </c>
      <c r="E229" s="15">
        <f>IFERROR(__xludf.DUMMYFUNCTION("""COMPUTED_VALUE"""),-0.6939464662160881)</f>
        <v>-0.6939464662</v>
      </c>
      <c r="F229" s="15">
        <f>IFERROR(__xludf.DUMMYFUNCTION("""COMPUTED_VALUE"""),-2.350249092102205)</f>
        <v>-2.350249092</v>
      </c>
      <c r="G229" s="17">
        <f>IFERROR(__xludf.DUMMYFUNCTION("""COMPUTED_VALUE"""),-0.08809137828107645)</f>
        <v>-0.08809137828</v>
      </c>
      <c r="H229" s="4"/>
      <c r="I229" s="5" t="s">
        <v>568</v>
      </c>
      <c r="J229" s="5" t="s">
        <v>184</v>
      </c>
      <c r="K229" s="5">
        <v>242.0</v>
      </c>
      <c r="L229" s="5">
        <v>-3.82496</v>
      </c>
      <c r="M229" s="5">
        <v>1.56798</v>
      </c>
      <c r="N229" s="5">
        <v>-2.25698</v>
      </c>
      <c r="O229" s="5">
        <v>-0.01871</v>
      </c>
    </row>
    <row r="230">
      <c r="A230" s="18" t="str">
        <f>IFERROR(__xludf.DUMMYFUNCTION("""COMPUTED_VALUE"""),"Rade Zagorac")</f>
        <v>Rade Zagorac</v>
      </c>
      <c r="B230" s="19" t="str">
        <f>IFERROR(__xludf.DUMMYFUNCTION("""COMPUTED_VALUE"""),"ENER")</f>
        <v>ENER</v>
      </c>
      <c r="C230" s="20">
        <f>IFERROR(__xludf.DUMMYFUNCTION("""COMPUTED_VALUE"""),133.5)</f>
        <v>133.5</v>
      </c>
      <c r="D230" s="21">
        <f>IFERROR(__xludf.DUMMYFUNCTION("""COMPUTED_VALUE"""),-0.7211346721278273)</f>
        <v>-0.7211346721</v>
      </c>
      <c r="E230" s="21">
        <f>IFERROR(__xludf.DUMMYFUNCTION("""COMPUTED_VALUE"""),-1.673399275169789)</f>
        <v>-1.673399275</v>
      </c>
      <c r="F230" s="21">
        <f>IFERROR(__xludf.DUMMYFUNCTION("""COMPUTED_VALUE"""),-2.3945339472976164)</f>
        <v>-2.394533947</v>
      </c>
      <c r="G230" s="23">
        <f>IFERROR(__xludf.DUMMYFUNCTION("""COMPUTED_VALUE"""),-0.016129290024153375)</f>
        <v>-0.01612929002</v>
      </c>
      <c r="H230" s="4"/>
      <c r="I230" s="5" t="s">
        <v>418</v>
      </c>
      <c r="J230" s="5" t="s">
        <v>14</v>
      </c>
      <c r="K230" s="5">
        <v>256.0</v>
      </c>
      <c r="L230" s="5">
        <v>-0.91482</v>
      </c>
      <c r="M230" s="5">
        <v>-1.39092</v>
      </c>
      <c r="N230" s="5">
        <v>-2.30575</v>
      </c>
      <c r="O230" s="5">
        <v>-0.02381</v>
      </c>
    </row>
    <row r="231">
      <c r="A231" s="12" t="str">
        <f>IFERROR(__xludf.DUMMYFUNCTION("""COMPUTED_VALUE"""),"Corey Fisher")</f>
        <v>Corey Fisher</v>
      </c>
      <c r="B231" s="13" t="str">
        <f>IFERROR(__xludf.DUMMYFUNCTION("""COMPUTED_VALUE"""),"SPB")</f>
        <v>SPB</v>
      </c>
      <c r="C231" s="14">
        <f>IFERROR(__xludf.DUMMYFUNCTION("""COMPUTED_VALUE"""),813.0)</f>
        <v>813</v>
      </c>
      <c r="D231" s="15">
        <f>IFERROR(__xludf.DUMMYFUNCTION("""COMPUTED_VALUE"""),-0.8603057126731029)</f>
        <v>-0.8603057127</v>
      </c>
      <c r="E231" s="15">
        <f>IFERROR(__xludf.DUMMYFUNCTION("""COMPUTED_VALUE"""),-1.5509784859002032)</f>
        <v>-1.550978486</v>
      </c>
      <c r="F231" s="15">
        <f>IFERROR(__xludf.DUMMYFUNCTION("""COMPUTED_VALUE"""),-2.411284198573306)</f>
        <v>-2.411284199</v>
      </c>
      <c r="G231" s="17">
        <f>IFERROR(__xludf.DUMMYFUNCTION("""COMPUTED_VALUE"""),-0.10119771989231527)</f>
        <v>-0.1011977199</v>
      </c>
      <c r="H231" s="4"/>
      <c r="I231" s="5" t="s">
        <v>569</v>
      </c>
      <c r="J231" s="5" t="s">
        <v>97</v>
      </c>
      <c r="K231" s="5">
        <v>361.0</v>
      </c>
      <c r="L231" s="5">
        <v>-3.00534</v>
      </c>
      <c r="M231" s="5">
        <v>0.68256</v>
      </c>
      <c r="N231" s="5">
        <v>-2.32278</v>
      </c>
      <c r="O231" s="5">
        <v>-0.03535</v>
      </c>
    </row>
    <row r="232">
      <c r="A232" s="18" t="str">
        <f>IFERROR(__xludf.DUMMYFUNCTION("""COMPUTED_VALUE"""),"Viny Okouo")</f>
        <v>Viny Okouo</v>
      </c>
      <c r="B232" s="19" t="str">
        <f>IFERROR(__xludf.DUMMYFUNCTION("""COMPUTED_VALUE"""),"UNI")</f>
        <v>UNI</v>
      </c>
      <c r="C232" s="20">
        <f>IFERROR(__xludf.DUMMYFUNCTION("""COMPUTED_VALUE"""),110.2)</f>
        <v>110.2</v>
      </c>
      <c r="D232" s="21">
        <f>IFERROR(__xludf.DUMMYFUNCTION("""COMPUTED_VALUE"""),-1.7423312686177685)</f>
        <v>-1.742331269</v>
      </c>
      <c r="E232" s="21">
        <f>IFERROR(__xludf.DUMMYFUNCTION("""COMPUTED_VALUE"""),-0.6749155955453112)</f>
        <v>-0.6749155955</v>
      </c>
      <c r="F232" s="21">
        <f>IFERROR(__xludf.DUMMYFUNCTION("""COMPUTED_VALUE"""),-2.4172468641630798)</f>
        <v>-2.417246864</v>
      </c>
      <c r="G232" s="23">
        <f>IFERROR(__xludf.DUMMYFUNCTION("""COMPUTED_VALUE"""),-0.013969390076028326)</f>
        <v>-0.01396939008</v>
      </c>
      <c r="H232" s="4"/>
      <c r="I232" s="5" t="s">
        <v>570</v>
      </c>
      <c r="J232" s="5" t="s">
        <v>233</v>
      </c>
      <c r="K232" s="5">
        <v>59.0</v>
      </c>
      <c r="L232" s="5">
        <v>-1.69063</v>
      </c>
      <c r="M232" s="5">
        <v>-0.64155</v>
      </c>
      <c r="N232" s="5">
        <v>-2.33218</v>
      </c>
      <c r="O232" s="5">
        <v>-0.00588</v>
      </c>
    </row>
    <row r="233">
      <c r="A233" s="12" t="str">
        <f>IFERROR(__xludf.DUMMYFUNCTION("""COMPUTED_VALUE"""),"Edu Martinez")</f>
        <v>Edu Martinez</v>
      </c>
      <c r="B233" s="13" t="str">
        <f>IFERROR(__xludf.DUMMYFUNCTION("""COMPUTED_VALUE"""),"SPB")</f>
        <v>SPB</v>
      </c>
      <c r="C233" s="14">
        <f>IFERROR(__xludf.DUMMYFUNCTION("""COMPUTED_VALUE"""),346.8)</f>
        <v>346.8</v>
      </c>
      <c r="D233" s="15">
        <f>IFERROR(__xludf.DUMMYFUNCTION("""COMPUTED_VALUE"""),0.021463621937731103)</f>
        <v>0.02146362194</v>
      </c>
      <c r="E233" s="15">
        <f>IFERROR(__xludf.DUMMYFUNCTION("""COMPUTED_VALUE"""),-2.451152604698027)</f>
        <v>-2.451152605</v>
      </c>
      <c r="F233" s="15">
        <f>IFERROR(__xludf.DUMMYFUNCTION("""COMPUTED_VALUE"""),-2.429688982760296)</f>
        <v>-2.429688983</v>
      </c>
      <c r="G233" s="17">
        <f>IFERROR(__xludf.DUMMYFUNCTION("""COMPUTED_VALUE"""),-0.045099472764713065)</f>
        <v>-0.04509947276</v>
      </c>
      <c r="H233" s="4"/>
      <c r="I233" s="5" t="s">
        <v>571</v>
      </c>
      <c r="J233" s="5" t="s">
        <v>423</v>
      </c>
      <c r="K233" s="5">
        <v>134.0</v>
      </c>
      <c r="L233" s="5">
        <v>-0.58524</v>
      </c>
      <c r="M233" s="5">
        <v>-1.75751</v>
      </c>
      <c r="N233" s="5">
        <v>-2.34275</v>
      </c>
      <c r="O233" s="5">
        <v>-0.01398</v>
      </c>
    </row>
    <row r="234">
      <c r="A234" s="18" t="str">
        <f>IFERROR(__xludf.DUMMYFUNCTION("""COMPUTED_VALUE"""),"Dontaye Draper")</f>
        <v>Dontaye Draper</v>
      </c>
      <c r="B234" s="19" t="str">
        <f>IFERROR(__xludf.DUMMYFUNCTION("""COMPUTED_VALUE"""),"ENER")</f>
        <v>ENER</v>
      </c>
      <c r="C234" s="20">
        <f>IFERROR(__xludf.DUMMYFUNCTION("""COMPUTED_VALUE"""),155.8)</f>
        <v>155.8</v>
      </c>
      <c r="D234" s="21">
        <f>IFERROR(__xludf.DUMMYFUNCTION("""COMPUTED_VALUE"""),-1.2516759251170368)</f>
        <v>-1.251675925</v>
      </c>
      <c r="E234" s="21">
        <f>IFERROR(__xludf.DUMMYFUNCTION("""COMPUTED_VALUE"""),-1.183400629146254)</f>
        <v>-1.183400629</v>
      </c>
      <c r="F234" s="21">
        <f>IFERROR(__xludf.DUMMYFUNCTION("""COMPUTED_VALUE"""),-2.435076554263291)</f>
        <v>-2.435076554</v>
      </c>
      <c r="G234" s="23">
        <f>IFERROR(__xludf.DUMMYFUNCTION("""COMPUTED_VALUE"""),-0.020757867787360756)</f>
        <v>-0.02075786779</v>
      </c>
      <c r="H234" s="4"/>
      <c r="I234" s="5" t="s">
        <v>572</v>
      </c>
      <c r="J234" s="5" t="s">
        <v>423</v>
      </c>
      <c r="K234" s="5">
        <v>156.0</v>
      </c>
      <c r="L234" s="5">
        <v>-1.08432</v>
      </c>
      <c r="M234" s="5">
        <v>-1.28102</v>
      </c>
      <c r="N234" s="5">
        <v>-2.36534</v>
      </c>
      <c r="O234" s="5">
        <v>-0.01739</v>
      </c>
    </row>
    <row r="235">
      <c r="A235" s="12" t="str">
        <f>IFERROR(__xludf.DUMMYFUNCTION("""COMPUTED_VALUE"""),"Maalik Wayns")</f>
        <v>Maalik Wayns</v>
      </c>
      <c r="B235" s="13" t="str">
        <f>IFERROR(__xludf.DUMMYFUNCTION("""COMPUTED_VALUE"""),"JOV")</f>
        <v>JOV</v>
      </c>
      <c r="C235" s="14">
        <f>IFERROR(__xludf.DUMMYFUNCTION("""COMPUTED_VALUE"""),325.0)</f>
        <v>325</v>
      </c>
      <c r="D235" s="15">
        <f>IFERROR(__xludf.DUMMYFUNCTION("""COMPUTED_VALUE"""),-0.49840069625108463)</f>
        <v>-0.4984006963</v>
      </c>
      <c r="E235" s="15">
        <f>IFERROR(__xludf.DUMMYFUNCTION("""COMPUTED_VALUE"""),-1.946232636532855)</f>
        <v>-1.946232637</v>
      </c>
      <c r="F235" s="15">
        <f>IFERROR(__xludf.DUMMYFUNCTION("""COMPUTED_VALUE"""),-2.4446333327839396)</f>
        <v>-2.444633333</v>
      </c>
      <c r="G235" s="17">
        <f>IFERROR(__xludf.DUMMYFUNCTION("""COMPUTED_VALUE"""),-0.043419412715944156)</f>
        <v>-0.04341941272</v>
      </c>
      <c r="H235" s="4"/>
      <c r="I235" s="5" t="s">
        <v>573</v>
      </c>
      <c r="J235" s="5" t="s">
        <v>233</v>
      </c>
      <c r="K235" s="5">
        <v>640.0</v>
      </c>
      <c r="L235" s="5">
        <v>-0.85828</v>
      </c>
      <c r="M235" s="5">
        <v>-1.52872</v>
      </c>
      <c r="N235" s="5">
        <v>-2.38701</v>
      </c>
      <c r="O235" s="5">
        <v>-0.0744</v>
      </c>
    </row>
    <row r="236">
      <c r="A236" s="18" t="str">
        <f>IFERROR(__xludf.DUMMYFUNCTION("""COMPUTED_VALUE"""),"Chasson Randle")</f>
        <v>Chasson Randle</v>
      </c>
      <c r="B236" s="19" t="str">
        <f>IFERROR(__xludf.DUMMYFUNCTION("""COMPUTED_VALUE"""),"RMB")</f>
        <v>RMB</v>
      </c>
      <c r="C236" s="20">
        <f>IFERROR(__xludf.DUMMYFUNCTION("""COMPUTED_VALUE"""),274.6)</f>
        <v>274.6</v>
      </c>
      <c r="D236" s="21">
        <f>IFERROR(__xludf.DUMMYFUNCTION("""COMPUTED_VALUE"""),-0.9853887494958025)</f>
        <v>-0.9853887495</v>
      </c>
      <c r="E236" s="21">
        <f>IFERROR(__xludf.DUMMYFUNCTION("""COMPUTED_VALUE"""),-1.5383729136840347)</f>
        <v>-1.538372914</v>
      </c>
      <c r="F236" s="21">
        <f>IFERROR(__xludf.DUMMYFUNCTION("""COMPUTED_VALUE"""),-2.523761663179837)</f>
        <v>-2.523761663</v>
      </c>
      <c r="G236" s="23">
        <f>IFERROR(__xludf.DUMMYFUNCTION("""COMPUTED_VALUE"""),-0.04372247911884508)</f>
        <v>-0.04372247912</v>
      </c>
      <c r="H236" s="4"/>
      <c r="I236" s="5" t="s">
        <v>574</v>
      </c>
      <c r="J236" s="5" t="s">
        <v>267</v>
      </c>
      <c r="K236" s="5">
        <v>392.0</v>
      </c>
      <c r="L236" s="5">
        <v>-1.00973</v>
      </c>
      <c r="M236" s="5">
        <v>-1.4532</v>
      </c>
      <c r="N236" s="5">
        <v>-2.46293</v>
      </c>
      <c r="O236" s="5">
        <v>-0.05518</v>
      </c>
    </row>
    <row r="237">
      <c r="A237" s="12" t="str">
        <f>IFERROR(__xludf.DUMMYFUNCTION("""COMPUTED_VALUE"""),"Alex Suarez")</f>
        <v>Alex Suarez</v>
      </c>
      <c r="B237" s="13" t="str">
        <f>IFERROR(__xludf.DUMMYFUNCTION("""COMPUTED_VALUE"""),"ZAR")</f>
        <v>ZAR</v>
      </c>
      <c r="C237" s="14">
        <f>IFERROR(__xludf.DUMMYFUNCTION("""COMPUTED_VALUE"""),391.6)</f>
        <v>391.6</v>
      </c>
      <c r="D237" s="15">
        <f>IFERROR(__xludf.DUMMYFUNCTION("""COMPUTED_VALUE"""),-2.38714038115008)</f>
        <v>-2.387140381</v>
      </c>
      <c r="E237" s="15">
        <f>IFERROR(__xludf.DUMMYFUNCTION("""COMPUTED_VALUE"""),-0.14389926060660008)</f>
        <v>-0.1438992606</v>
      </c>
      <c r="F237" s="15">
        <f>IFERROR(__xludf.DUMMYFUNCTION("""COMPUTED_VALUE"""),-2.53103964175668)</f>
        <v>-2.531039642</v>
      </c>
      <c r="G237" s="17">
        <f>IFERROR(__xludf.DUMMYFUNCTION("""COMPUTED_VALUE"""),-0.0632720820076929)</f>
        <v>-0.06327208201</v>
      </c>
      <c r="H237" s="4"/>
      <c r="I237" s="5" t="s">
        <v>575</v>
      </c>
      <c r="J237" s="5" t="s">
        <v>233</v>
      </c>
      <c r="K237" s="5">
        <v>325.0</v>
      </c>
      <c r="L237" s="5">
        <v>-0.54201</v>
      </c>
      <c r="M237" s="5">
        <v>-1.93832</v>
      </c>
      <c r="N237" s="5">
        <v>-2.48033</v>
      </c>
      <c r="O237" s="5">
        <v>-0.04688</v>
      </c>
    </row>
    <row r="238">
      <c r="A238" s="18" t="str">
        <f>IFERROR(__xludf.DUMMYFUNCTION("""COMPUTED_VALUE"""),"Lovro Mazalin")</f>
        <v>Lovro Mazalin</v>
      </c>
      <c r="B238" s="19" t="str">
        <f>IFERROR(__xludf.DUMMYFUNCTION("""COMPUTED_VALUE"""),"ZAR")</f>
        <v>ZAR</v>
      </c>
      <c r="C238" s="20">
        <f>IFERROR(__xludf.DUMMYFUNCTION("""COMPUTED_VALUE"""),69.1)</f>
        <v>69.1</v>
      </c>
      <c r="D238" s="21">
        <f>IFERROR(__xludf.DUMMYFUNCTION("""COMPUTED_VALUE"""),-2.3266581419969983)</f>
        <v>-2.326658142</v>
      </c>
      <c r="E238" s="21">
        <f>IFERROR(__xludf.DUMMYFUNCTION("""COMPUTED_VALUE"""),-0.24700619342027874)</f>
        <v>-0.2470061934</v>
      </c>
      <c r="F238" s="21">
        <f>IFERROR(__xludf.DUMMYFUNCTION("""COMPUTED_VALUE"""),-2.573664335417277)</f>
        <v>-2.573664335</v>
      </c>
      <c r="G238" s="23">
        <f>IFERROR(__xludf.DUMMYFUNCTION("""COMPUTED_VALUE"""),-0.012060863388802167)</f>
        <v>-0.01206086339</v>
      </c>
      <c r="H238" s="4"/>
      <c r="I238" s="5" t="s">
        <v>576</v>
      </c>
      <c r="J238" s="5" t="s">
        <v>423</v>
      </c>
      <c r="K238" s="5">
        <v>933.0</v>
      </c>
      <c r="L238" s="5">
        <v>-1.82486</v>
      </c>
      <c r="M238" s="5">
        <v>-0.67509</v>
      </c>
      <c r="N238" s="5">
        <v>-2.49995</v>
      </c>
      <c r="O238" s="5">
        <v>-0.14251</v>
      </c>
    </row>
    <row r="239">
      <c r="A239" s="12" t="str">
        <f>IFERROR(__xludf.DUMMYFUNCTION("""COMPUTED_VALUE"""),"Anzejs Pasecniks")</f>
        <v>Anzejs Pasecniks</v>
      </c>
      <c r="B239" s="13" t="str">
        <f>IFERROR(__xludf.DUMMYFUNCTION("""COMPUTED_VALUE"""),"GCN")</f>
        <v>GCN</v>
      </c>
      <c r="C239" s="14">
        <f>IFERROR(__xludf.DUMMYFUNCTION("""COMPUTED_VALUE"""),583.9)</f>
        <v>583.9</v>
      </c>
      <c r="D239" s="15">
        <f>IFERROR(__xludf.DUMMYFUNCTION("""COMPUTED_VALUE"""),-5.781548626903435)</f>
        <v>-5.781548627</v>
      </c>
      <c r="E239" s="15">
        <f>IFERROR(__xludf.DUMMYFUNCTION("""COMPUTED_VALUE"""),3.1989050766623635)</f>
        <v>3.198905077</v>
      </c>
      <c r="F239" s="15">
        <f>IFERROR(__xludf.DUMMYFUNCTION("""COMPUTED_VALUE"""),-2.5826435502410714)</f>
        <v>-2.58264355</v>
      </c>
      <c r="G239" s="17">
        <f>IFERROR(__xludf.DUMMYFUNCTION("""COMPUTED_VALUE"""),-0.10306673628124868)</f>
        <v>-0.1030667363</v>
      </c>
      <c r="H239" s="4"/>
      <c r="I239" s="5" t="s">
        <v>577</v>
      </c>
      <c r="J239" s="5" t="s">
        <v>233</v>
      </c>
      <c r="K239" s="5">
        <v>117.0</v>
      </c>
      <c r="L239" s="5">
        <v>-1.95405</v>
      </c>
      <c r="M239" s="5">
        <v>-0.56647</v>
      </c>
      <c r="N239" s="5">
        <v>-2.52052</v>
      </c>
      <c r="O239" s="5">
        <v>-0.01821</v>
      </c>
    </row>
    <row r="240">
      <c r="A240" s="18" t="str">
        <f>IFERROR(__xludf.DUMMYFUNCTION("""COMPUTED_VALUE"""),"Gabriel Olaseni")</f>
        <v>Gabriel Olaseni</v>
      </c>
      <c r="B240" s="19" t="str">
        <f>IFERROR(__xludf.DUMMYFUNCTION("""COMPUTED_VALUE"""),"MON")</f>
        <v>MON</v>
      </c>
      <c r="C240" s="20">
        <f>IFERROR(__xludf.DUMMYFUNCTION("""COMPUTED_VALUE"""),560.6)</f>
        <v>560.6</v>
      </c>
      <c r="D240" s="21">
        <f>IFERROR(__xludf.DUMMYFUNCTION("""COMPUTED_VALUE"""),-2.0584387409575298)</f>
        <v>-2.058438741</v>
      </c>
      <c r="E240" s="21">
        <f>IFERROR(__xludf.DUMMYFUNCTION("""COMPUTED_VALUE"""),-0.5311735176986065)</f>
        <v>-0.5311735177</v>
      </c>
      <c r="F240" s="21">
        <f>IFERROR(__xludf.DUMMYFUNCTION("""COMPUTED_VALUE"""),-2.5896122586561363)</f>
        <v>-2.589612259</v>
      </c>
      <c r="G240" s="23">
        <f>IFERROR(__xludf.DUMMYFUNCTION("""COMPUTED_VALUE"""),-0.09949095433705235)</f>
        <v>-0.09949095434</v>
      </c>
      <c r="H240" s="4"/>
      <c r="I240" s="5" t="s">
        <v>578</v>
      </c>
      <c r="J240" s="5" t="s">
        <v>267</v>
      </c>
      <c r="K240" s="5">
        <v>69.0</v>
      </c>
      <c r="L240" s="5">
        <v>-2.00827</v>
      </c>
      <c r="M240" s="5">
        <v>-0.54857</v>
      </c>
      <c r="N240" s="5">
        <v>-2.55684</v>
      </c>
      <c r="O240" s="5">
        <v>-0.01171</v>
      </c>
    </row>
    <row r="241">
      <c r="A241" s="12" t="str">
        <f>IFERROR(__xludf.DUMMYFUNCTION("""COMPUTED_VALUE"""),"Josh Akognon")</f>
        <v>Josh Akognon</v>
      </c>
      <c r="B241" s="13" t="str">
        <f>IFERROR(__xludf.DUMMYFUNCTION("""COMPUTED_VALUE"""),"CAN")</f>
        <v>CAN</v>
      </c>
      <c r="C241" s="14">
        <f>IFERROR(__xludf.DUMMYFUNCTION("""COMPUTED_VALUE"""),169.3)</f>
        <v>169.3</v>
      </c>
      <c r="D241" s="15">
        <f>IFERROR(__xludf.DUMMYFUNCTION("""COMPUTED_VALUE"""),1.2310096807479238)</f>
        <v>1.231009681</v>
      </c>
      <c r="E241" s="15">
        <f>IFERROR(__xludf.DUMMYFUNCTION("""COMPUTED_VALUE"""),-3.8786137421258253)</f>
        <v>-3.878613742</v>
      </c>
      <c r="F241" s="15">
        <f>IFERROR(__xludf.DUMMYFUNCTION("""COMPUTED_VALUE"""),-2.6476040613779017)</f>
        <v>-2.647604061</v>
      </c>
      <c r="G241" s="17">
        <f>IFERROR(__xludf.DUMMYFUNCTION("""COMPUTED_VALUE"""),-0.03326493193053783)</f>
        <v>-0.03326493193</v>
      </c>
      <c r="H241" s="4"/>
      <c r="I241" s="5" t="s">
        <v>579</v>
      </c>
      <c r="J241" s="5" t="s">
        <v>113</v>
      </c>
      <c r="K241" s="5">
        <v>481.0</v>
      </c>
      <c r="L241" s="5">
        <v>-2.4217</v>
      </c>
      <c r="M241" s="5">
        <v>-0.20186</v>
      </c>
      <c r="N241" s="5">
        <v>-2.62356</v>
      </c>
      <c r="O241" s="5">
        <v>-0.09152</v>
      </c>
    </row>
    <row r="242">
      <c r="A242" s="18" t="str">
        <f>IFERROR(__xludf.DUMMYFUNCTION("""COMPUTED_VALUE"""),"Shane Hammink")</f>
        <v>Shane Hammink</v>
      </c>
      <c r="B242" s="19" t="str">
        <f>IFERROR(__xludf.DUMMYFUNCTION("""COMPUTED_VALUE"""),"BBB")</f>
        <v>BBB</v>
      </c>
      <c r="C242" s="20">
        <f>IFERROR(__xludf.DUMMYFUNCTION("""COMPUTED_VALUE"""),496.6)</f>
        <v>496.6</v>
      </c>
      <c r="D242" s="21">
        <f>IFERROR(__xludf.DUMMYFUNCTION("""COMPUTED_VALUE"""),-2.2738430052247223)</f>
        <v>-2.273843005</v>
      </c>
      <c r="E242" s="21">
        <f>IFERROR(__xludf.DUMMYFUNCTION("""COMPUTED_VALUE"""),-0.46885083224148705)</f>
        <v>-0.4688508322</v>
      </c>
      <c r="F242" s="21">
        <f>IFERROR(__xludf.DUMMYFUNCTION("""COMPUTED_VALUE"""),-2.7426938374662093)</f>
        <v>-2.742693837</v>
      </c>
      <c r="G242" s="23">
        <f>IFERROR(__xludf.DUMMYFUNCTION("""COMPUTED_VALUE"""),-0.11244896576329061)</f>
        <v>-0.1124489658</v>
      </c>
      <c r="H242" s="4"/>
      <c r="I242" s="5" t="s">
        <v>580</v>
      </c>
      <c r="J242" s="5" t="s">
        <v>97</v>
      </c>
      <c r="K242" s="5">
        <v>565.0</v>
      </c>
      <c r="L242" s="5">
        <v>-0.36393</v>
      </c>
      <c r="M242" s="5">
        <v>-2.32246</v>
      </c>
      <c r="N242" s="5">
        <v>-2.68639</v>
      </c>
      <c r="O242" s="5">
        <v>-0.11767</v>
      </c>
    </row>
    <row r="243">
      <c r="A243" s="12" t="str">
        <f>IFERROR(__xludf.DUMMYFUNCTION("""COMPUTED_VALUE"""),"Tobias Borg")</f>
        <v>Tobias Borg</v>
      </c>
      <c r="B243" s="13" t="str">
        <f>IFERROR(__xludf.DUMMYFUNCTION("""COMPUTED_VALUE"""),"CAN")</f>
        <v>CAN</v>
      </c>
      <c r="C243" s="14">
        <f>IFERROR(__xludf.DUMMYFUNCTION("""COMPUTED_VALUE"""),134.5)</f>
        <v>134.5</v>
      </c>
      <c r="D243" s="15">
        <f>IFERROR(__xludf.DUMMYFUNCTION("""COMPUTED_VALUE"""),-1.6139866667386333)</f>
        <v>-1.613986667</v>
      </c>
      <c r="E243" s="15">
        <f>IFERROR(__xludf.DUMMYFUNCTION("""COMPUTED_VALUE"""),-1.1338858085989632)</f>
        <v>-1.133885809</v>
      </c>
      <c r="F243" s="15">
        <f>IFERROR(__xludf.DUMMYFUNCTION("""COMPUTED_VALUE"""),-2.7478724753375965)</f>
        <v>-2.747872475</v>
      </c>
      <c r="G243" s="17">
        <f>IFERROR(__xludf.DUMMYFUNCTION("""COMPUTED_VALUE"""),-0.030518975555688322)</f>
        <v>-0.03051897556</v>
      </c>
      <c r="H243" s="4"/>
      <c r="I243" s="5" t="s">
        <v>581</v>
      </c>
      <c r="J243" s="5" t="s">
        <v>423</v>
      </c>
      <c r="K243" s="5">
        <v>67.0</v>
      </c>
      <c r="L243" s="5">
        <v>-1.81596</v>
      </c>
      <c r="M243" s="5">
        <v>-0.89278</v>
      </c>
      <c r="N243" s="5">
        <v>-2.70874</v>
      </c>
      <c r="O243" s="5">
        <v>-0.01461</v>
      </c>
    </row>
    <row r="244">
      <c r="A244" s="18" t="str">
        <f>IFERROR(__xludf.DUMMYFUNCTION("""COMPUTED_VALUE"""),"Jose Nogues")</f>
        <v>Jose Nogues</v>
      </c>
      <c r="B244" s="19" t="str">
        <f>IFERROR(__xludf.DUMMYFUNCTION("""COMPUTED_VALUE"""),"JOV")</f>
        <v>JOV</v>
      </c>
      <c r="C244" s="20">
        <f>IFERROR(__xludf.DUMMYFUNCTION("""COMPUTED_VALUE"""),119.4)</f>
        <v>119.4</v>
      </c>
      <c r="D244" s="21">
        <f>IFERROR(__xludf.DUMMYFUNCTION("""COMPUTED_VALUE"""),-2.115346815568561)</f>
        <v>-2.115346816</v>
      </c>
      <c r="E244" s="21">
        <f>IFERROR(__xludf.DUMMYFUNCTION("""COMPUTED_VALUE"""),-0.6355511054848058)</f>
        <v>-0.6355511055</v>
      </c>
      <c r="F244" s="21">
        <f>IFERROR(__xludf.DUMMYFUNCTION("""COMPUTED_VALUE"""),-2.7508979210533666)</f>
        <v>-2.750897921</v>
      </c>
      <c r="G244" s="23">
        <f>IFERROR(__xludf.DUMMYFUNCTION("""COMPUTED_VALUE"""),-0.026939144226770153)</f>
        <v>-0.02693914423</v>
      </c>
      <c r="H244" s="4"/>
      <c r="I244" s="5" t="s">
        <v>501</v>
      </c>
      <c r="J244" s="5" t="s">
        <v>267</v>
      </c>
      <c r="K244" s="5">
        <v>160.0</v>
      </c>
      <c r="L244" s="5">
        <v>-1.14918</v>
      </c>
      <c r="M244" s="5">
        <v>-1.70647</v>
      </c>
      <c r="N244" s="5">
        <v>-2.85565</v>
      </c>
      <c r="O244" s="5">
        <v>-0.04165</v>
      </c>
    </row>
    <row r="245">
      <c r="A245" s="12" t="str">
        <f>IFERROR(__xludf.DUMMYFUNCTION("""COMPUTED_VALUE"""),"Nemanja Radovic")</f>
        <v>Nemanja Radovic</v>
      </c>
      <c r="B245" s="13" t="str">
        <f>IFERROR(__xludf.DUMMYFUNCTION("""COMPUTED_VALUE"""),"OBR")</f>
        <v>OBR</v>
      </c>
      <c r="C245" s="14">
        <f>IFERROR(__xludf.DUMMYFUNCTION("""COMPUTED_VALUE"""),682.0)</f>
        <v>682</v>
      </c>
      <c r="D245" s="15">
        <f>IFERROR(__xludf.DUMMYFUNCTION("""COMPUTED_VALUE"""),-1.394953578867757)</f>
        <v>-1.394953579</v>
      </c>
      <c r="E245" s="15">
        <f>IFERROR(__xludf.DUMMYFUNCTION("""COMPUTED_VALUE"""),-1.3727975491902606)</f>
        <v>-1.372797549</v>
      </c>
      <c r="F245" s="15">
        <f>IFERROR(__xludf.DUMMYFUNCTION("""COMPUTED_VALUE"""),-2.7677511280580176)</f>
        <v>-2.767751128</v>
      </c>
      <c r="G245" s="17">
        <f>IFERROR(__xludf.DUMMYFUNCTION("""COMPUTED_VALUE"""),-0.16193084918702322)</f>
        <v>-0.1619308492</v>
      </c>
      <c r="H245" s="4"/>
      <c r="I245" s="5" t="s">
        <v>582</v>
      </c>
      <c r="J245" s="5" t="s">
        <v>225</v>
      </c>
      <c r="K245" s="5">
        <v>338.0</v>
      </c>
      <c r="L245" s="5">
        <v>0.68936</v>
      </c>
      <c r="M245" s="5">
        <v>-3.5689</v>
      </c>
      <c r="N245" s="5">
        <v>-2.87955</v>
      </c>
      <c r="O245" s="5">
        <v>-0.08985</v>
      </c>
    </row>
    <row r="246">
      <c r="A246" s="18" t="str">
        <f>IFERROR(__xludf.DUMMYFUNCTION("""COMPUTED_VALUE"""),"Oriol Pauli")</f>
        <v>Oriol Pauli</v>
      </c>
      <c r="B246" s="19" t="str">
        <f>IFERROR(__xludf.DUMMYFUNCTION("""COMPUTED_VALUE"""),"GCN")</f>
        <v>GCN</v>
      </c>
      <c r="C246" s="20">
        <f>IFERROR(__xludf.DUMMYFUNCTION("""COMPUTED_VALUE"""),493.6)</f>
        <v>493.6</v>
      </c>
      <c r="D246" s="21">
        <f>IFERROR(__xludf.DUMMYFUNCTION("""COMPUTED_VALUE"""),-7.267251045927819)</f>
        <v>-7.267251046</v>
      </c>
      <c r="E246" s="21">
        <f>IFERROR(__xludf.DUMMYFUNCTION("""COMPUTED_VALUE"""),4.49081292474781)</f>
        <v>4.490812925</v>
      </c>
      <c r="F246" s="21">
        <f>IFERROR(__xludf.DUMMYFUNCTION("""COMPUTED_VALUE"""),-2.776438121180009)</f>
        <v>-2.776438121</v>
      </c>
      <c r="G246" s="23">
        <f>IFERROR(__xludf.DUMMYFUNCTION("""COMPUTED_VALUE"""),-0.11610718783724942)</f>
        <v>-0.1161071878</v>
      </c>
      <c r="H246" s="4"/>
      <c r="I246" s="5" t="s">
        <v>583</v>
      </c>
      <c r="J246" s="5" t="s">
        <v>113</v>
      </c>
      <c r="K246" s="5">
        <v>44.0</v>
      </c>
      <c r="L246" s="5">
        <v>-1.92893</v>
      </c>
      <c r="M246" s="5">
        <v>-0.99119</v>
      </c>
      <c r="N246" s="5">
        <v>-2.92012</v>
      </c>
      <c r="O246" s="5">
        <v>-0.01229</v>
      </c>
    </row>
    <row r="247">
      <c r="A247" s="12" t="str">
        <f>IFERROR(__xludf.DUMMYFUNCTION("""COMPUTED_VALUE"""),"Ryan Kelly")</f>
        <v>Ryan Kelly</v>
      </c>
      <c r="B247" s="13" t="str">
        <f>IFERROR(__xludf.DUMMYFUNCTION("""COMPUTED_VALUE"""),"ENER")</f>
        <v>ENER</v>
      </c>
      <c r="C247" s="14">
        <f>IFERROR(__xludf.DUMMYFUNCTION("""COMPUTED_VALUE"""),945.7)</f>
        <v>945.7</v>
      </c>
      <c r="D247" s="15">
        <f>IFERROR(__xludf.DUMMYFUNCTION("""COMPUTED_VALUE"""),-2.307761538828241)</f>
        <v>-2.307761539</v>
      </c>
      <c r="E247" s="15">
        <f>IFERROR(__xludf.DUMMYFUNCTION("""COMPUTED_VALUE"""),-0.506854419053242)</f>
        <v>-0.5068544191</v>
      </c>
      <c r="F247" s="15">
        <f>IFERROR(__xludf.DUMMYFUNCTION("""COMPUTED_VALUE"""),-2.814615957881483)</f>
        <v>-2.814615958</v>
      </c>
      <c r="G247" s="17">
        <f>IFERROR(__xludf.DUMMYFUNCTION("""COMPUTED_VALUE"""),-0.2359151928971773)</f>
        <v>-0.2359151929</v>
      </c>
      <c r="H247" s="4"/>
      <c r="I247" s="5" t="s">
        <v>584</v>
      </c>
      <c r="J247" s="5" t="s">
        <v>290</v>
      </c>
      <c r="K247" s="5">
        <v>534.0</v>
      </c>
      <c r="L247" s="5">
        <v>-2.05658</v>
      </c>
      <c r="M247" s="5">
        <v>-0.86946</v>
      </c>
      <c r="N247" s="5">
        <v>-2.92604</v>
      </c>
      <c r="O247" s="5">
        <v>-0.14888</v>
      </c>
    </row>
    <row r="248">
      <c r="A248" s="18" t="str">
        <f>IFERROR(__xludf.DUMMYFUNCTION("""COMPUTED_VALUE"""),"Albert Sabat")</f>
        <v>Albert Sabat</v>
      </c>
      <c r="B248" s="19" t="str">
        <f>IFERROR(__xludf.DUMMYFUNCTION("""COMPUTED_VALUE"""),"OBR")</f>
        <v>OBR</v>
      </c>
      <c r="C248" s="20">
        <f>IFERROR(__xludf.DUMMYFUNCTION("""COMPUTED_VALUE"""),630.6)</f>
        <v>630.6</v>
      </c>
      <c r="D248" s="21">
        <f>IFERROR(__xludf.DUMMYFUNCTION("""COMPUTED_VALUE"""),0.9005622277893384)</f>
        <v>0.9005622278</v>
      </c>
      <c r="E248" s="21">
        <f>IFERROR(__xludf.DUMMYFUNCTION("""COMPUTED_VALUE"""),-3.7911464231461274)</f>
        <v>-3.791146423</v>
      </c>
      <c r="F248" s="21">
        <f>IFERROR(__xludf.DUMMYFUNCTION("""COMPUTED_VALUE"""),-2.890584195356789)</f>
        <v>-2.890584195</v>
      </c>
      <c r="G248" s="23">
        <f>IFERROR(__xludf.DUMMYFUNCTION("""COMPUTED_VALUE"""),-0.1736815577384426)</f>
        <v>-0.1736815577</v>
      </c>
      <c r="H248" s="4"/>
      <c r="I248" s="5" t="s">
        <v>585</v>
      </c>
      <c r="J248" s="5" t="s">
        <v>113</v>
      </c>
      <c r="K248" s="5">
        <v>696.0</v>
      </c>
      <c r="L248" s="5">
        <v>-1.12988</v>
      </c>
      <c r="M248" s="5">
        <v>-1.84413</v>
      </c>
      <c r="N248" s="5">
        <v>-2.97401</v>
      </c>
      <c r="O248" s="5">
        <v>-0.20662</v>
      </c>
    </row>
    <row r="249">
      <c r="A249" s="12" t="str">
        <f>IFERROR(__xludf.DUMMYFUNCTION("""COMPUTED_VALUE"""),"Tim Kempton")</f>
        <v>Tim Kempton</v>
      </c>
      <c r="B249" s="13" t="str">
        <f>IFERROR(__xludf.DUMMYFUNCTION("""COMPUTED_VALUE"""),"BBB")</f>
        <v>BBB</v>
      </c>
      <c r="C249" s="14">
        <f>IFERROR(__xludf.DUMMYFUNCTION("""COMPUTED_VALUE"""),43.8)</f>
        <v>43.8</v>
      </c>
      <c r="D249" s="15">
        <f>IFERROR(__xludf.DUMMYFUNCTION("""COMPUTED_VALUE"""),-1.8800082749754563)</f>
        <v>-1.880008275</v>
      </c>
      <c r="E249" s="15">
        <f>IFERROR(__xludf.DUMMYFUNCTION("""COMPUTED_VALUE"""),-1.0372663763773433)</f>
        <v>-1.037266376</v>
      </c>
      <c r="F249" s="15">
        <f>IFERROR(__xludf.DUMMYFUNCTION("""COMPUTED_VALUE"""),-2.9172746513527996)</f>
        <v>-2.917274651</v>
      </c>
      <c r="G249" s="17">
        <f>IFERROR(__xludf.DUMMYFUNCTION("""COMPUTED_VALUE"""),-0.012249332752923413)</f>
        <v>-0.01224933275</v>
      </c>
      <c r="H249" s="4"/>
      <c r="I249" s="5" t="s">
        <v>586</v>
      </c>
      <c r="J249" s="5" t="s">
        <v>423</v>
      </c>
      <c r="K249" s="5">
        <v>438.0</v>
      </c>
      <c r="L249" s="5">
        <v>-1.14506</v>
      </c>
      <c r="M249" s="5">
        <v>-1.88718</v>
      </c>
      <c r="N249" s="5">
        <v>-3.03224</v>
      </c>
      <c r="O249" s="5">
        <v>-0.13822</v>
      </c>
    </row>
    <row r="250">
      <c r="A250" s="18" t="str">
        <f>IFERROR(__xludf.DUMMYFUNCTION("""COMPUTED_VALUE"""),"Dejan Todorovic")</f>
        <v>Dejan Todorovic</v>
      </c>
      <c r="B250" s="19" t="str">
        <f>IFERROR(__xludf.DUMMYFUNCTION("""COMPUTED_VALUE"""),"BBB")</f>
        <v>BBB</v>
      </c>
      <c r="C250" s="20">
        <f>IFERROR(__xludf.DUMMYFUNCTION("""COMPUTED_VALUE"""),722.6)</f>
        <v>722.6</v>
      </c>
      <c r="D250" s="21">
        <f>IFERROR(__xludf.DUMMYFUNCTION("""COMPUTED_VALUE"""),-1.0535024671896212)</f>
        <v>-1.053502467</v>
      </c>
      <c r="E250" s="21">
        <f>IFERROR(__xludf.DUMMYFUNCTION("""COMPUTED_VALUE"""),-1.9936428520905753)</f>
        <v>-1.993642852</v>
      </c>
      <c r="F250" s="21">
        <f>IFERROR(__xludf.DUMMYFUNCTION("""COMPUTED_VALUE"""),-3.0471453192801965)</f>
        <v>-3.047145319</v>
      </c>
      <c r="G250" s="23">
        <f>IFERROR(__xludf.DUMMYFUNCTION("""COMPUTED_VALUE"""),-0.23069800709887792)</f>
        <v>-0.2306980071</v>
      </c>
      <c r="H250" s="4"/>
      <c r="I250" s="5" t="s">
        <v>587</v>
      </c>
      <c r="J250" s="5" t="s">
        <v>423</v>
      </c>
      <c r="K250" s="5">
        <v>449.0</v>
      </c>
      <c r="L250" s="5">
        <v>-0.72092</v>
      </c>
      <c r="M250" s="5">
        <v>-2.33585</v>
      </c>
      <c r="N250" s="5">
        <v>-3.05677</v>
      </c>
      <c r="O250" s="5">
        <v>-0.14487</v>
      </c>
    </row>
    <row r="251">
      <c r="A251" s="12" t="str">
        <f>IFERROR(__xludf.DUMMYFUNCTION("""COMPUTED_VALUE"""),"Ludde Hakanson")</f>
        <v>Ludde Hakanson</v>
      </c>
      <c r="B251" s="13" t="str">
        <f>IFERROR(__xludf.DUMMYFUNCTION("""COMPUTED_VALUE"""),"EST")</f>
        <v>EST</v>
      </c>
      <c r="C251" s="14">
        <f>IFERROR(__xludf.DUMMYFUNCTION("""COMPUTED_VALUE"""),496.5)</f>
        <v>496.5</v>
      </c>
      <c r="D251" s="15">
        <f>IFERROR(__xludf.DUMMYFUNCTION("""COMPUTED_VALUE"""),-1.8710460532986044)</f>
        <v>-1.871046053</v>
      </c>
      <c r="E251" s="15">
        <f>IFERROR(__xludf.DUMMYFUNCTION("""COMPUTED_VALUE"""),-1.187596867362155)</f>
        <v>-1.187596867</v>
      </c>
      <c r="F251" s="15">
        <f>IFERROR(__xludf.DUMMYFUNCTION("""COMPUTED_VALUE"""),-3.0586429206607595)</f>
        <v>-3.058642921</v>
      </c>
      <c r="G251" s="17">
        <f>IFERROR(__xludf.DUMMYFUNCTION("""COMPUTED_VALUE"""),-0.16257129156753575)</f>
        <v>-0.1625712916</v>
      </c>
      <c r="H251" s="4"/>
      <c r="I251" s="5" t="s">
        <v>588</v>
      </c>
      <c r="J251" s="5" t="s">
        <v>267</v>
      </c>
      <c r="K251" s="5">
        <v>582.0</v>
      </c>
      <c r="L251" s="5">
        <v>-0.98788</v>
      </c>
      <c r="M251" s="5">
        <v>-2.11889</v>
      </c>
      <c r="N251" s="5">
        <v>-3.10677</v>
      </c>
      <c r="O251" s="5">
        <v>-0.19621</v>
      </c>
    </row>
    <row r="252">
      <c r="A252" s="18" t="str">
        <f>IFERROR(__xludf.DUMMYFUNCTION("""COMPUTED_VALUE"""),"Janis Blums")</f>
        <v>Janis Blums</v>
      </c>
      <c r="B252" s="19" t="str">
        <f>IFERROR(__xludf.DUMMYFUNCTION("""COMPUTED_VALUE"""),"ZAR")</f>
        <v>ZAR</v>
      </c>
      <c r="C252" s="20">
        <f>IFERROR(__xludf.DUMMYFUNCTION("""COMPUTED_VALUE"""),587.6)</f>
        <v>587.6</v>
      </c>
      <c r="D252" s="21">
        <f>IFERROR(__xludf.DUMMYFUNCTION("""COMPUTED_VALUE"""),-2.287687029386692)</f>
        <v>-2.287687029</v>
      </c>
      <c r="E252" s="21">
        <f>IFERROR(__xludf.DUMMYFUNCTION("""COMPUTED_VALUE"""),-0.8092274061124081)</f>
        <v>-0.8092274061</v>
      </c>
      <c r="F252" s="21">
        <f>IFERROR(__xludf.DUMMYFUNCTION("""COMPUTED_VALUE"""),-3.0969144354991003)</f>
        <v>-3.096914435</v>
      </c>
      <c r="G252" s="23">
        <f>IFERROR(__xludf.DUMMYFUNCTION("""COMPUTED_VALUE"""),-0.1961087805752811)</f>
        <v>-0.1961087806</v>
      </c>
      <c r="H252" s="4"/>
      <c r="I252" s="5" t="s">
        <v>589</v>
      </c>
      <c r="J252" s="5" t="s">
        <v>221</v>
      </c>
      <c r="K252" s="5">
        <v>476.0</v>
      </c>
      <c r="L252" s="5">
        <v>-1.16426</v>
      </c>
      <c r="M252" s="5">
        <v>-1.9556</v>
      </c>
      <c r="N252" s="5">
        <v>-3.11986</v>
      </c>
      <c r="O252" s="5">
        <v>-0.1648</v>
      </c>
    </row>
    <row r="253">
      <c r="A253" s="12" t="str">
        <f>IFERROR(__xludf.DUMMYFUNCTION("""COMPUTED_VALUE"""),"Luka Rupnik")</f>
        <v>Luka Rupnik</v>
      </c>
      <c r="B253" s="13" t="str">
        <f>IFERROR(__xludf.DUMMYFUNCTION("""COMPUTED_VALUE"""),"MON")</f>
        <v>MON</v>
      </c>
      <c r="C253" s="14">
        <f>IFERROR(__xludf.DUMMYFUNCTION("""COMPUTED_VALUE"""),396.8)</f>
        <v>396.8</v>
      </c>
      <c r="D253" s="15">
        <f>IFERROR(__xludf.DUMMYFUNCTION("""COMPUTED_VALUE"""),-0.6040855655791006)</f>
        <v>-0.6040855656</v>
      </c>
      <c r="E253" s="15">
        <f>IFERROR(__xludf.DUMMYFUNCTION("""COMPUTED_VALUE"""),-2.662484589876379)</f>
        <v>-2.66248459</v>
      </c>
      <c r="F253" s="15">
        <f>IFERROR(__xludf.DUMMYFUNCTION("""COMPUTED_VALUE"""),-3.2665701554554794)</f>
        <v>-3.266570155</v>
      </c>
      <c r="G253" s="17">
        <f>IFERROR(__xludf.DUMMYFUNCTION("""COMPUTED_VALUE"""),-0.1512742166943286)</f>
        <v>-0.1512742167</v>
      </c>
      <c r="H253" s="4"/>
      <c r="I253" s="5" t="s">
        <v>590</v>
      </c>
      <c r="J253" s="5" t="s">
        <v>423</v>
      </c>
      <c r="K253" s="5">
        <v>782.0</v>
      </c>
      <c r="L253" s="5">
        <v>-1.46985</v>
      </c>
      <c r="M253" s="5">
        <v>-1.68048</v>
      </c>
      <c r="N253" s="5">
        <v>-3.15032</v>
      </c>
      <c r="O253" s="5">
        <v>-0.27471</v>
      </c>
    </row>
    <row r="254">
      <c r="A254" s="18" t="str">
        <f>IFERROR(__xludf.DUMMYFUNCTION("""COMPUTED_VALUE"""),"John Jenkins")</f>
        <v>John Jenkins</v>
      </c>
      <c r="B254" s="19" t="str">
        <f>IFERROR(__xludf.DUMMYFUNCTION("""COMPUTED_VALUE"""),"SPB")</f>
        <v>SPB</v>
      </c>
      <c r="C254" s="20">
        <f>IFERROR(__xludf.DUMMYFUNCTION("""COMPUTED_VALUE"""),503.0)</f>
        <v>503</v>
      </c>
      <c r="D254" s="21">
        <f>IFERROR(__xludf.DUMMYFUNCTION("""COMPUTED_VALUE"""),-1.8177238793541233)</f>
        <v>-1.817723879</v>
      </c>
      <c r="E254" s="21">
        <f>IFERROR(__xludf.DUMMYFUNCTION("""COMPUTED_VALUE"""),-1.4542737399912218)</f>
        <v>-1.45427374</v>
      </c>
      <c r="F254" s="21">
        <f>IFERROR(__xludf.DUMMYFUNCTION("""COMPUTED_VALUE"""),-3.271997619345345)</f>
        <v>-3.271997619</v>
      </c>
      <c r="G254" s="23">
        <f>IFERROR(__xludf.DUMMYFUNCTION("""COMPUTED_VALUE"""),-0.19363882604921992)</f>
        <v>-0.193638826</v>
      </c>
      <c r="H254" s="4"/>
      <c r="I254" s="5" t="s">
        <v>591</v>
      </c>
      <c r="J254" s="5" t="s">
        <v>74</v>
      </c>
      <c r="K254" s="5">
        <v>283.0</v>
      </c>
      <c r="L254" s="5">
        <v>-1.66531</v>
      </c>
      <c r="M254" s="5">
        <v>-1.57752</v>
      </c>
      <c r="N254" s="5">
        <v>-3.24283</v>
      </c>
      <c r="O254" s="5">
        <v>-0.10864</v>
      </c>
    </row>
    <row r="255">
      <c r="A255" s="12" t="str">
        <f>IFERROR(__xludf.DUMMYFUNCTION("""COMPUTED_VALUE"""),"Pepe Pozas")</f>
        <v>Pepe Pozas</v>
      </c>
      <c r="B255" s="13" t="str">
        <f>IFERROR(__xludf.DUMMYFUNCTION("""COMPUTED_VALUE"""),"OBR")</f>
        <v>OBR</v>
      </c>
      <c r="C255" s="14">
        <f>IFERROR(__xludf.DUMMYFUNCTION("""COMPUTED_VALUE"""),641.0)</f>
        <v>641</v>
      </c>
      <c r="D255" s="15">
        <f>IFERROR(__xludf.DUMMYFUNCTION("""COMPUTED_VALUE"""),-1.779201282772167)</f>
        <v>-1.779201283</v>
      </c>
      <c r="E255" s="15">
        <f>IFERROR(__xludf.DUMMYFUNCTION("""COMPUTED_VALUE"""),-1.5250646143894593)</f>
        <v>-1.525064614</v>
      </c>
      <c r="F255" s="15">
        <f>IFERROR(__xludf.DUMMYFUNCTION("""COMPUTED_VALUE"""),-3.3042658971616263)</f>
        <v>-3.304265897</v>
      </c>
      <c r="G255" s="17">
        <f>IFERROR(__xludf.DUMMYFUNCTION("""COMPUTED_VALUE"""),-0.25855260863022145)</f>
        <v>-0.2585526086</v>
      </c>
      <c r="H255" s="4"/>
      <c r="I255" s="5" t="s">
        <v>592</v>
      </c>
      <c r="J255" s="5" t="s">
        <v>225</v>
      </c>
      <c r="K255" s="5">
        <v>503.0</v>
      </c>
      <c r="L255" s="5">
        <v>-0.52413</v>
      </c>
      <c r="M255" s="5">
        <v>-2.75999</v>
      </c>
      <c r="N255" s="5">
        <v>-3.28412</v>
      </c>
      <c r="O255" s="5">
        <v>-0.19545</v>
      </c>
    </row>
    <row r="256">
      <c r="A256" s="18" t="str">
        <f>IFERROR(__xludf.DUMMYFUNCTION("""COMPUTED_VALUE"""),"Txemi Urtasun")</f>
        <v>Txemi Urtasun</v>
      </c>
      <c r="B256" s="19" t="str">
        <f>IFERROR(__xludf.DUMMYFUNCTION("""COMPUTED_VALUE"""),"ENER")</f>
        <v>ENER</v>
      </c>
      <c r="C256" s="20">
        <f>IFERROR(__xludf.DUMMYFUNCTION("""COMPUTED_VALUE"""),82.25)</f>
        <v>82.25</v>
      </c>
      <c r="D256" s="21">
        <f>IFERROR(__xludf.DUMMYFUNCTION("""COMPUTED_VALUE"""),-2.1444956746543924)</f>
        <v>-2.144495675</v>
      </c>
      <c r="E256" s="21">
        <f>IFERROR(__xludf.DUMMYFUNCTION("""COMPUTED_VALUE"""),-1.2462917899524308)</f>
        <v>-1.24629179</v>
      </c>
      <c r="F256" s="21">
        <f>IFERROR(__xludf.DUMMYFUNCTION("""COMPUTED_VALUE"""),-3.3907874646068232)</f>
        <v>-3.390787465</v>
      </c>
      <c r="G256" s="23">
        <f>IFERROR(__xludf.DUMMYFUNCTION("""COMPUTED_VALUE"""),-0.035030495638752435)</f>
        <v>-0.03503049564</v>
      </c>
      <c r="H256" s="4"/>
      <c r="I256" s="5" t="s">
        <v>593</v>
      </c>
      <c r="J256" s="5" t="s">
        <v>184</v>
      </c>
      <c r="K256" s="5">
        <v>633.0</v>
      </c>
      <c r="L256" s="5">
        <v>-3.37646</v>
      </c>
      <c r="M256" s="5">
        <v>0.06841</v>
      </c>
      <c r="N256" s="5">
        <v>-3.30805</v>
      </c>
      <c r="O256" s="5">
        <v>-0.24911</v>
      </c>
    </row>
    <row r="257">
      <c r="A257" s="12" t="str">
        <f>IFERROR(__xludf.DUMMYFUNCTION("""COMPUTED_VALUE"""),"Joan Pardina")</f>
        <v>Joan Pardina</v>
      </c>
      <c r="B257" s="13" t="str">
        <f>IFERROR(__xludf.DUMMYFUNCTION("""COMPUTED_VALUE"""),"GBC")</f>
        <v>GBC</v>
      </c>
      <c r="C257" s="14">
        <f>IFERROR(__xludf.DUMMYFUNCTION("""COMPUTED_VALUE"""),288.8)</f>
        <v>288.8</v>
      </c>
      <c r="D257" s="15">
        <f>IFERROR(__xludf.DUMMYFUNCTION("""COMPUTED_VALUE"""),-1.7752670565220694)</f>
        <v>-1.775267057</v>
      </c>
      <c r="E257" s="15">
        <f>IFERROR(__xludf.DUMMYFUNCTION("""COMPUTED_VALUE"""),-1.6275838382993657)</f>
        <v>-1.627583838</v>
      </c>
      <c r="F257" s="15">
        <f>IFERROR(__xludf.DUMMYFUNCTION("""COMPUTED_VALUE"""),-3.402850894821435)</f>
        <v>-3.402850895</v>
      </c>
      <c r="G257" s="17">
        <f>IFERROR(__xludf.DUMMYFUNCTION("""COMPUTED_VALUE"""),-0.12306505565745872)</f>
        <v>-0.1230650557</v>
      </c>
      <c r="H257" s="4"/>
      <c r="I257" s="5" t="s">
        <v>594</v>
      </c>
      <c r="J257" s="5" t="s">
        <v>85</v>
      </c>
      <c r="K257" s="5">
        <v>430.0</v>
      </c>
      <c r="L257" s="5">
        <v>-3.1956</v>
      </c>
      <c r="M257" s="5">
        <v>-0.13477</v>
      </c>
      <c r="N257" s="5">
        <v>-3.33037</v>
      </c>
      <c r="O257" s="5">
        <v>-0.17298</v>
      </c>
    </row>
    <row r="258">
      <c r="A258" s="18" t="str">
        <f>IFERROR(__xludf.DUMMYFUNCTION("""COMPUTED_VALUE"""),"Luke Nelson")</f>
        <v>Luke Nelson</v>
      </c>
      <c r="B258" s="19" t="str">
        <f>IFERROR(__xludf.DUMMYFUNCTION("""COMPUTED_VALUE"""),"ENER")</f>
        <v>ENER</v>
      </c>
      <c r="C258" s="20">
        <f>IFERROR(__xludf.DUMMYFUNCTION("""COMPUTED_VALUE"""),789.4)</f>
        <v>789.4</v>
      </c>
      <c r="D258" s="21">
        <f>IFERROR(__xludf.DUMMYFUNCTION("""COMPUTED_VALUE"""),-1.8812087497149679)</f>
        <v>-1.88120875</v>
      </c>
      <c r="E258" s="21">
        <f>IFERROR(__xludf.DUMMYFUNCTION("""COMPUTED_VALUE"""),-1.5396268579783503)</f>
        <v>-1.539626858</v>
      </c>
      <c r="F258" s="21">
        <f>IFERROR(__xludf.DUMMYFUNCTION("""COMPUTED_VALUE"""),-3.420835607693318)</f>
        <v>-3.420835608</v>
      </c>
      <c r="G258" s="23">
        <f>IFERROR(__xludf.DUMMYFUNCTION("""COMPUTED_VALUE"""),-0.3434713858016171)</f>
        <v>-0.3434713858</v>
      </c>
      <c r="H258" s="4"/>
      <c r="I258" s="5" t="s">
        <v>595</v>
      </c>
      <c r="J258" s="5" t="s">
        <v>113</v>
      </c>
      <c r="K258" s="5">
        <v>650.0</v>
      </c>
      <c r="L258" s="5">
        <v>-3.35781</v>
      </c>
      <c r="M258" s="5">
        <v>0.0249</v>
      </c>
      <c r="N258" s="5">
        <v>-3.33291</v>
      </c>
      <c r="O258" s="5">
        <v>-0.26427</v>
      </c>
    </row>
    <row r="259">
      <c r="A259" s="12" t="str">
        <f>IFERROR(__xludf.DUMMYFUNCTION("""COMPUTED_VALUE"""),"Axel Hervelle")</f>
        <v>Axel Hervelle</v>
      </c>
      <c r="B259" s="13" t="str">
        <f>IFERROR(__xludf.DUMMYFUNCTION("""COMPUTED_VALUE"""),"BBB")</f>
        <v>BBB</v>
      </c>
      <c r="C259" s="14">
        <f>IFERROR(__xludf.DUMMYFUNCTION("""COMPUTED_VALUE"""),668.4)</f>
        <v>668.4</v>
      </c>
      <c r="D259" s="15">
        <f>IFERROR(__xludf.DUMMYFUNCTION("""COMPUTED_VALUE"""),-3.1111042549575547)</f>
        <v>-3.111104255</v>
      </c>
      <c r="E259" s="15">
        <f>IFERROR(__xludf.DUMMYFUNCTION("""COMPUTED_VALUE"""),-0.34653417002389153)</f>
        <v>-0.34653417</v>
      </c>
      <c r="F259" s="15">
        <f>IFERROR(__xludf.DUMMYFUNCTION("""COMPUTED_VALUE"""),-3.4576384249814462)</f>
        <v>-3.457638425</v>
      </c>
      <c r="G259" s="17">
        <f>IFERROR(__xludf.DUMMYFUNCTION("""COMPUTED_VALUE"""),-0.2970470059624992)</f>
        <v>-0.297047006</v>
      </c>
      <c r="H259" s="4"/>
      <c r="I259" s="5" t="s">
        <v>596</v>
      </c>
      <c r="J259" s="5" t="s">
        <v>290</v>
      </c>
      <c r="K259" s="5">
        <v>147.0</v>
      </c>
      <c r="L259" s="5">
        <v>-1.52109</v>
      </c>
      <c r="M259" s="5">
        <v>-1.81545</v>
      </c>
      <c r="N259" s="5">
        <v>-3.33655</v>
      </c>
      <c r="O259" s="5">
        <v>-0.05923</v>
      </c>
    </row>
    <row r="260">
      <c r="A260" s="18" t="str">
        <f>IFERROR(__xludf.DUMMYFUNCTION("""COMPUTED_VALUE"""),"Vasilije Vucetic")</f>
        <v>Vasilije Vucetic</v>
      </c>
      <c r="B260" s="19" t="str">
        <f>IFERROR(__xludf.DUMMYFUNCTION("""COMPUTED_VALUE"""),"BBB")</f>
        <v>BBB</v>
      </c>
      <c r="C260" s="20">
        <f>IFERROR(__xludf.DUMMYFUNCTION("""COMPUTED_VALUE"""),134.6)</f>
        <v>134.6</v>
      </c>
      <c r="D260" s="21">
        <f>IFERROR(__xludf.DUMMYFUNCTION("""COMPUTED_VALUE"""),-2.1813883541416375)</f>
        <v>-2.181388354</v>
      </c>
      <c r="E260" s="21">
        <f>IFERROR(__xludf.DUMMYFUNCTION("""COMPUTED_VALUE"""),-1.2776750893641857)</f>
        <v>-1.277675089</v>
      </c>
      <c r="F260" s="21">
        <f>IFERROR(__xludf.DUMMYFUNCTION("""COMPUTED_VALUE"""),-3.459063443505823)</f>
        <v>-3.459063444</v>
      </c>
      <c r="G260" s="23">
        <f>IFERROR(__xludf.DUMMYFUNCTION("""COMPUTED_VALUE"""),-0.059876742634288826)</f>
        <v>-0.05987674263</v>
      </c>
      <c r="H260" s="4"/>
      <c r="I260" s="5" t="s">
        <v>597</v>
      </c>
      <c r="J260" s="5" t="s">
        <v>113</v>
      </c>
      <c r="K260" s="5">
        <v>135.0</v>
      </c>
      <c r="L260" s="5">
        <v>-2.32997</v>
      </c>
      <c r="M260" s="5">
        <v>-1.13563</v>
      </c>
      <c r="N260" s="5">
        <v>-3.4656</v>
      </c>
      <c r="O260" s="5">
        <v>-0.06014</v>
      </c>
    </row>
    <row r="261">
      <c r="A261" s="12" t="str">
        <f>IFERROR(__xludf.DUMMYFUNCTION("""COMPUTED_VALUE"""),"Vladimir Golubovic")</f>
        <v>Vladimir Golubovic</v>
      </c>
      <c r="B261" s="13" t="str">
        <f>IFERROR(__xludf.DUMMYFUNCTION("""COMPUTED_VALUE"""),"ENER")</f>
        <v>ENER</v>
      </c>
      <c r="C261" s="14">
        <f>IFERROR(__xludf.DUMMYFUNCTION("""COMPUTED_VALUE"""),462.6)</f>
        <v>462.6</v>
      </c>
      <c r="D261" s="15">
        <f>IFERROR(__xludf.DUMMYFUNCTION("""COMPUTED_VALUE"""),-1.2265914882541002)</f>
        <v>-1.226591488</v>
      </c>
      <c r="E261" s="15">
        <f>IFERROR(__xludf.DUMMYFUNCTION("""COMPUTED_VALUE"""),-2.2347902122332117)</f>
        <v>-2.234790212</v>
      </c>
      <c r="F261" s="15">
        <f>IFERROR(__xludf.DUMMYFUNCTION("""COMPUTED_VALUE"""),-3.461381700487312)</f>
        <v>-3.4613817</v>
      </c>
      <c r="G261" s="17">
        <f>IFERROR(__xludf.DUMMYFUNCTION("""COMPUTED_VALUE"""),-0.20702314458445795)</f>
        <v>-0.2070231446</v>
      </c>
      <c r="H261" s="4"/>
      <c r="I261" s="5" t="s">
        <v>598</v>
      </c>
      <c r="J261" s="5" t="s">
        <v>267</v>
      </c>
      <c r="K261" s="5">
        <v>557.0</v>
      </c>
      <c r="L261" s="5">
        <v>-2.38</v>
      </c>
      <c r="M261" s="5">
        <v>-1.13614</v>
      </c>
      <c r="N261" s="5">
        <v>-3.51614</v>
      </c>
      <c r="O261" s="5">
        <v>-0.25683</v>
      </c>
    </row>
    <row r="262">
      <c r="A262" s="18" t="str">
        <f>IFERROR(__xludf.DUMMYFUNCTION("""COMPUTED_VALUE"""),"Blagota Sekulic")</f>
        <v>Blagota Sekulic</v>
      </c>
      <c r="B262" s="19" t="str">
        <f>IFERROR(__xludf.DUMMYFUNCTION("""COMPUTED_VALUE"""),"MON")</f>
        <v>MON</v>
      </c>
      <c r="C262" s="20">
        <f>IFERROR(__xludf.DUMMYFUNCTION("""COMPUTED_VALUE"""),400.4)</f>
        <v>400.4</v>
      </c>
      <c r="D262" s="21">
        <f>IFERROR(__xludf.DUMMYFUNCTION("""COMPUTED_VALUE"""),-2.691288445237039)</f>
        <v>-2.691288445</v>
      </c>
      <c r="E262" s="21">
        <f>IFERROR(__xludf.DUMMYFUNCTION("""COMPUTED_VALUE"""),-0.8834497627242288)</f>
        <v>-0.8834497627</v>
      </c>
      <c r="F262" s="21">
        <f>IFERROR(__xludf.DUMMYFUNCTION("""COMPUTED_VALUE"""),-3.5747382079612677)</f>
        <v>-3.574738208</v>
      </c>
      <c r="G262" s="23">
        <f>IFERROR(__xludf.DUMMYFUNCTION("""COMPUTED_VALUE"""),-0.18978698766687485)</f>
        <v>-0.1897869877</v>
      </c>
      <c r="H262" s="4"/>
      <c r="I262" s="5" t="s">
        <v>599</v>
      </c>
      <c r="J262" s="5" t="s">
        <v>184</v>
      </c>
      <c r="K262" s="5">
        <v>685.0</v>
      </c>
      <c r="L262" s="5">
        <v>-3.20443</v>
      </c>
      <c r="M262" s="5">
        <v>-0.31457</v>
      </c>
      <c r="N262" s="5">
        <v>-3.519</v>
      </c>
      <c r="O262" s="5">
        <v>-0.31263</v>
      </c>
    </row>
    <row r="263">
      <c r="A263" s="12" t="str">
        <f>IFERROR(__xludf.DUMMYFUNCTION("""COMPUTED_VALUE"""),"Dani Perez")</f>
        <v>Dani Perez</v>
      </c>
      <c r="B263" s="13" t="str">
        <f>IFERROR(__xludf.DUMMYFUNCTION("""COMPUTED_VALUE"""),"GBC")</f>
        <v>GBC</v>
      </c>
      <c r="C263" s="14">
        <f>IFERROR(__xludf.DUMMYFUNCTION("""COMPUTED_VALUE"""),684.5)</f>
        <v>684.5</v>
      </c>
      <c r="D263" s="15">
        <f>IFERROR(__xludf.DUMMYFUNCTION("""COMPUTED_VALUE"""),-2.4177579370308844)</f>
        <v>-2.417757937</v>
      </c>
      <c r="E263" s="15">
        <f>IFERROR(__xludf.DUMMYFUNCTION("""COMPUTED_VALUE"""),-1.1617827960106353)</f>
        <v>-1.161782796</v>
      </c>
      <c r="F263" s="15">
        <f>IFERROR(__xludf.DUMMYFUNCTION("""COMPUTED_VALUE"""),-3.5795407330415197)</f>
        <v>-3.579540733</v>
      </c>
      <c r="G263" s="17">
        <f>IFERROR(__xludf.DUMMYFUNCTION("""COMPUTED_VALUE"""),-0.3284205563330912)</f>
        <v>-0.3284205563</v>
      </c>
      <c r="H263" s="4"/>
      <c r="I263" s="5" t="s">
        <v>600</v>
      </c>
      <c r="J263" s="5" t="s">
        <v>423</v>
      </c>
      <c r="K263" s="5">
        <v>314.0</v>
      </c>
      <c r="L263" s="5">
        <v>0.79826</v>
      </c>
      <c r="M263" s="5">
        <v>-4.34361</v>
      </c>
      <c r="N263" s="5">
        <v>-3.54536</v>
      </c>
      <c r="O263" s="5">
        <v>-0.14842</v>
      </c>
    </row>
    <row r="264">
      <c r="A264" s="18" t="str">
        <f>IFERROR(__xludf.DUMMYFUNCTION("""COMPUTED_VALUE"""),"Alex Urtasun")</f>
        <v>Alex Urtasun</v>
      </c>
      <c r="B264" s="19" t="str">
        <f>IFERROR(__xludf.DUMMYFUNCTION("""COMPUTED_VALUE"""),"MUR")</f>
        <v>MUR</v>
      </c>
      <c r="C264" s="20">
        <f>IFERROR(__xludf.DUMMYFUNCTION("""COMPUTED_VALUE"""),435.1)</f>
        <v>435.1</v>
      </c>
      <c r="D264" s="21">
        <f>IFERROR(__xludf.DUMMYFUNCTION("""COMPUTED_VALUE"""),-1.401084790026437)</f>
        <v>-1.40108479</v>
      </c>
      <c r="E264" s="21">
        <f>IFERROR(__xludf.DUMMYFUNCTION("""COMPUTED_VALUE"""),-2.2002519853086655)</f>
        <v>-2.200251985</v>
      </c>
      <c r="F264" s="21">
        <f>IFERROR(__xludf.DUMMYFUNCTION("""COMPUTED_VALUE"""),-3.6013367753351027)</f>
        <v>-3.601336775</v>
      </c>
      <c r="G264" s="23">
        <f>IFERROR(__xludf.DUMMYFUNCTION("""COMPUTED_VALUE"""),-0.21086763066875566)</f>
        <v>-0.2108676307</v>
      </c>
      <c r="H264" s="4"/>
      <c r="I264" s="5" t="s">
        <v>601</v>
      </c>
      <c r="J264" s="5" t="s">
        <v>423</v>
      </c>
      <c r="K264" s="5">
        <v>819.0</v>
      </c>
      <c r="L264" s="5">
        <v>-1.28307</v>
      </c>
      <c r="M264" s="5">
        <v>-2.27249</v>
      </c>
      <c r="N264" s="5">
        <v>-3.55557</v>
      </c>
      <c r="O264" s="5">
        <v>-0.38926</v>
      </c>
    </row>
    <row r="265">
      <c r="A265" s="12" t="str">
        <f>IFERROR(__xludf.DUMMYFUNCTION("""COMPUTED_VALUE"""),"Ben Bentil")</f>
        <v>Ben Bentil</v>
      </c>
      <c r="B265" s="13" t="str">
        <f>IFERROR(__xludf.DUMMYFUNCTION("""COMPUTED_VALUE"""),"BBB")</f>
        <v>BBB</v>
      </c>
      <c r="C265" s="14">
        <f>IFERROR(__xludf.DUMMYFUNCTION("""COMPUTED_VALUE"""),152.7)</f>
        <v>152.7</v>
      </c>
      <c r="D265" s="15">
        <f>IFERROR(__xludf.DUMMYFUNCTION("""COMPUTED_VALUE"""),-2.695905943807265)</f>
        <v>-2.695905944</v>
      </c>
      <c r="E265" s="15">
        <f>IFERROR(__xludf.DUMMYFUNCTION("""COMPUTED_VALUE"""),-0.9428816809665563)</f>
        <v>-0.942881681</v>
      </c>
      <c r="F265" s="15">
        <f>IFERROR(__xludf.DUMMYFUNCTION("""COMPUTED_VALUE"""),-3.6387876247738213)</f>
        <v>-3.638787625</v>
      </c>
      <c r="G265" s="17">
        <f>IFERROR(__xludf.DUMMYFUNCTION("""COMPUTED_VALUE"""),-0.07629580201337276)</f>
        <v>-0.07629580201</v>
      </c>
      <c r="H265" s="4"/>
      <c r="I265" s="5" t="s">
        <v>602</v>
      </c>
      <c r="J265" s="5" t="s">
        <v>113</v>
      </c>
      <c r="K265" s="5">
        <v>641.0</v>
      </c>
      <c r="L265" s="5">
        <v>0.56411</v>
      </c>
      <c r="M265" s="5">
        <v>-4.13653</v>
      </c>
      <c r="N265" s="5">
        <v>-3.57242</v>
      </c>
      <c r="O265" s="5">
        <v>-0.30725</v>
      </c>
    </row>
    <row r="266">
      <c r="A266" s="18" t="str">
        <f>IFERROR(__xludf.DUMMYFUNCTION("""COMPUTED_VALUE"""),"Askia Booker")</f>
        <v>Askia Booker</v>
      </c>
      <c r="B266" s="19" t="str">
        <f>IFERROR(__xludf.DUMMYFUNCTION("""COMPUTED_VALUE"""),"ENER")</f>
        <v>ENER</v>
      </c>
      <c r="C266" s="20">
        <f>IFERROR(__xludf.DUMMYFUNCTION("""COMPUTED_VALUE"""),338.2)</f>
        <v>338.2</v>
      </c>
      <c r="D266" s="21">
        <f>IFERROR(__xludf.DUMMYFUNCTION("""COMPUTED_VALUE"""),0.25080771625110343)</f>
        <v>0.2508077163</v>
      </c>
      <c r="E266" s="21">
        <f>IFERROR(__xludf.DUMMYFUNCTION("""COMPUTED_VALUE"""),-3.908712190967317)</f>
        <v>-3.908712191</v>
      </c>
      <c r="F266" s="21">
        <f>IFERROR(__xludf.DUMMYFUNCTION("""COMPUTED_VALUE"""),-3.6579044747162137)</f>
        <v>-3.657904475</v>
      </c>
      <c r="G266" s="23">
        <f>IFERROR(__xludf.DUMMYFUNCTION("""COMPUTED_VALUE"""),-0.1717049102198831)</f>
        <v>-0.1717049102</v>
      </c>
      <c r="H266" s="4"/>
      <c r="I266" s="5" t="s">
        <v>603</v>
      </c>
      <c r="J266" s="5" t="s">
        <v>113</v>
      </c>
      <c r="K266" s="5">
        <v>153.0</v>
      </c>
      <c r="L266" s="5">
        <v>-2.86631</v>
      </c>
      <c r="M266" s="5">
        <v>-0.782</v>
      </c>
      <c r="N266" s="5">
        <v>-3.64831</v>
      </c>
      <c r="O266" s="5">
        <v>-0.07674</v>
      </c>
    </row>
    <row r="267">
      <c r="A267" s="12" t="str">
        <f>IFERROR(__xludf.DUMMYFUNCTION("""COMPUTED_VALUE"""),"Milko Bjelica")</f>
        <v>Milko Bjelica</v>
      </c>
      <c r="B267" s="13" t="str">
        <f>IFERROR(__xludf.DUMMYFUNCTION("""COMPUTED_VALUE"""),"ZAR")</f>
        <v>ZAR</v>
      </c>
      <c r="C267" s="14">
        <f>IFERROR(__xludf.DUMMYFUNCTION("""COMPUTED_VALUE"""),194.6)</f>
        <v>194.6</v>
      </c>
      <c r="D267" s="15">
        <f>IFERROR(__xludf.DUMMYFUNCTION("""COMPUTED_VALUE"""),-2.7437594842148894)</f>
        <v>-2.743759484</v>
      </c>
      <c r="E267" s="15">
        <f>IFERROR(__xludf.DUMMYFUNCTION("""COMPUTED_VALUE"""),-0.9355600215922859)</f>
        <v>-0.9355600216</v>
      </c>
      <c r="F267" s="15">
        <f>IFERROR(__xludf.DUMMYFUNCTION("""COMPUTED_VALUE"""),-3.6793195058071753)</f>
        <v>-3.679319506</v>
      </c>
      <c r="G267" s="17">
        <f>IFERROR(__xludf.DUMMYFUNCTION("""COMPUTED_VALUE"""),-0.09943028142127479)</f>
        <v>-0.09943028142</v>
      </c>
      <c r="H267" s="4"/>
      <c r="I267" s="5" t="s">
        <v>604</v>
      </c>
      <c r="J267" s="5" t="s">
        <v>290</v>
      </c>
      <c r="K267" s="5">
        <v>400.0</v>
      </c>
      <c r="L267" s="5">
        <v>-2.75297</v>
      </c>
      <c r="M267" s="5">
        <v>-0.90466</v>
      </c>
      <c r="N267" s="5">
        <v>-3.65763</v>
      </c>
      <c r="O267" s="5">
        <v>-0.19968</v>
      </c>
    </row>
    <row r="268">
      <c r="A268" s="18" t="str">
        <f>IFERROR(__xludf.DUMMYFUNCTION("""COMPUTED_VALUE"""),"Lucio Redivo")</f>
        <v>Lucio Redivo</v>
      </c>
      <c r="B268" s="19" t="str">
        <f>IFERROR(__xludf.DUMMYFUNCTION("""COMPUTED_VALUE"""),"BBB")</f>
        <v>BBB</v>
      </c>
      <c r="C268" s="20">
        <f>IFERROR(__xludf.DUMMYFUNCTION("""COMPUTED_VALUE"""),655.8)</f>
        <v>655.8</v>
      </c>
      <c r="D268" s="21">
        <f>IFERROR(__xludf.DUMMYFUNCTION("""COMPUTED_VALUE"""),0.793614951039987)</f>
        <v>0.793614951</v>
      </c>
      <c r="E268" s="21">
        <f>IFERROR(__xludf.DUMMYFUNCTION("""COMPUTED_VALUE"""),-4.518682467067606)</f>
        <v>-4.518682467</v>
      </c>
      <c r="F268" s="21">
        <f>IFERROR(__xludf.DUMMYFUNCTION("""COMPUTED_VALUE"""),-3.725067516027619)</f>
        <v>-3.725067516</v>
      </c>
      <c r="G268" s="23">
        <f>IFERROR(__xludf.DUMMYFUNCTION("""COMPUTED_VALUE"""),-0.344918460822476)</f>
        <v>-0.3449184608</v>
      </c>
      <c r="H268" s="4"/>
      <c r="I268" s="5" t="s">
        <v>605</v>
      </c>
      <c r="J268" s="5" t="s">
        <v>267</v>
      </c>
      <c r="K268" s="5">
        <v>834.0</v>
      </c>
      <c r="L268" s="5">
        <v>-1.61556</v>
      </c>
      <c r="M268" s="5">
        <v>-2.04252</v>
      </c>
      <c r="N268" s="5">
        <v>-3.65807</v>
      </c>
      <c r="O268" s="5">
        <v>-0.42104</v>
      </c>
    </row>
    <row r="269">
      <c r="A269" s="12" t="str">
        <f>IFERROR(__xludf.DUMMYFUNCTION("""COMPUTED_VALUE"""),"O.D. Anosike")</f>
        <v>O.D. Anosike</v>
      </c>
      <c r="B269" s="13" t="str">
        <f>IFERROR(__xludf.DUMMYFUNCTION("""COMPUTED_VALUE"""),"ENER")</f>
        <v>ENER</v>
      </c>
      <c r="C269" s="14">
        <f>IFERROR(__xludf.DUMMYFUNCTION("""COMPUTED_VALUE"""),840.0)</f>
        <v>840</v>
      </c>
      <c r="D269" s="15">
        <f>IFERROR(__xludf.DUMMYFUNCTION("""COMPUTED_VALUE"""),-1.5797327092692972)</f>
        <v>-1.579732709</v>
      </c>
      <c r="E269" s="15">
        <f>IFERROR(__xludf.DUMMYFUNCTION("""COMPUTED_VALUE"""),-2.148125670089991)</f>
        <v>-2.14812567</v>
      </c>
      <c r="F269" s="15">
        <f>IFERROR(__xludf.DUMMYFUNCTION("""COMPUTED_VALUE"""),-3.727858379359288)</f>
        <v>-3.727858379</v>
      </c>
      <c r="G269" s="17">
        <f>IFERROR(__xludf.DUMMYFUNCTION("""COMPUTED_VALUE"""),-0.4444644573923364)</f>
        <v>-0.4444644574</v>
      </c>
      <c r="H269" s="4"/>
      <c r="I269" s="5" t="s">
        <v>606</v>
      </c>
      <c r="J269" s="5" t="s">
        <v>225</v>
      </c>
      <c r="K269" s="5">
        <v>446.0</v>
      </c>
      <c r="L269" s="5">
        <v>-1.38069</v>
      </c>
      <c r="M269" s="5">
        <v>-2.34607</v>
      </c>
      <c r="N269" s="5">
        <v>-3.72676</v>
      </c>
      <c r="O269" s="5">
        <v>-0.23283</v>
      </c>
    </row>
    <row r="270">
      <c r="A270" s="18" t="str">
        <f>IFERROR(__xludf.DUMMYFUNCTION("""COMPUTED_VALUE"""),"Nicolas de Jong")</f>
        <v>Nicolas de Jong</v>
      </c>
      <c r="B270" s="19" t="str">
        <f>IFERROR(__xludf.DUMMYFUNCTION("""COMPUTED_VALUE"""),"ZAR")</f>
        <v>ZAR</v>
      </c>
      <c r="C270" s="20">
        <f>IFERROR(__xludf.DUMMYFUNCTION("""COMPUTED_VALUE"""),569.0)</f>
        <v>569</v>
      </c>
      <c r="D270" s="21">
        <f>IFERROR(__xludf.DUMMYFUNCTION("""COMPUTED_VALUE"""),-3.9781599573159303)</f>
        <v>-3.978159957</v>
      </c>
      <c r="E270" s="21">
        <f>IFERROR(__xludf.DUMMYFUNCTION("""COMPUTED_VALUE"""),0.24708843897808075)</f>
        <v>0.247088439</v>
      </c>
      <c r="F270" s="21">
        <f>IFERROR(__xludf.DUMMYFUNCTION("""COMPUTED_VALUE"""),-3.7310715183378496)</f>
        <v>-3.731071518</v>
      </c>
      <c r="G270" s="23">
        <f>IFERROR(__xludf.DUMMYFUNCTION("""COMPUTED_VALUE"""),-0.29968829263786106)</f>
        <v>-0.2996882926</v>
      </c>
      <c r="H270" s="4"/>
      <c r="I270" s="5" t="s">
        <v>607</v>
      </c>
      <c r="J270" s="5" t="s">
        <v>85</v>
      </c>
      <c r="K270" s="5">
        <v>301.0</v>
      </c>
      <c r="L270" s="5">
        <v>-4.00737</v>
      </c>
      <c r="M270" s="5">
        <v>0.11972</v>
      </c>
      <c r="N270" s="5">
        <v>-3.88765</v>
      </c>
      <c r="O270" s="5">
        <v>-0.1721</v>
      </c>
    </row>
    <row r="271">
      <c r="A271" s="12" t="str">
        <f>IFERROR(__xludf.DUMMYFUNCTION("""COMPUTED_VALUE"""),"Marko Lukovic")</f>
        <v>Marko Lukovic</v>
      </c>
      <c r="B271" s="13" t="str">
        <f>IFERROR(__xludf.DUMMYFUNCTION("""COMPUTED_VALUE"""),"MUR")</f>
        <v>MUR</v>
      </c>
      <c r="C271" s="14">
        <f>IFERROR(__xludf.DUMMYFUNCTION("""COMPUTED_VALUE"""),301.3)</f>
        <v>301.3</v>
      </c>
      <c r="D271" s="15">
        <f>IFERROR(__xludf.DUMMYFUNCTION("""COMPUTED_VALUE"""),-1.9595722545987522)</f>
        <v>-1.959572255</v>
      </c>
      <c r="E271" s="15">
        <f>IFERROR(__xludf.DUMMYFUNCTION("""COMPUTED_VALUE"""),-1.9151330612900248)</f>
        <v>-1.915133061</v>
      </c>
      <c r="F271" s="15">
        <f>IFERROR(__xludf.DUMMYFUNCTION("""COMPUTED_VALUE"""),-3.874705315888777)</f>
        <v>-3.874705316</v>
      </c>
      <c r="G271" s="17">
        <f>IFERROR(__xludf.DUMMYFUNCTION("""COMPUTED_VALUE"""),-0.17095047034232191)</f>
        <v>-0.1709504703</v>
      </c>
      <c r="H271" s="4"/>
      <c r="I271" s="5" t="s">
        <v>608</v>
      </c>
      <c r="J271" s="5" t="s">
        <v>290</v>
      </c>
      <c r="K271" s="5">
        <v>381.0</v>
      </c>
      <c r="L271" s="5">
        <v>-1.74228</v>
      </c>
      <c r="M271" s="5">
        <v>-2.37703</v>
      </c>
      <c r="N271" s="5">
        <v>-4.11931</v>
      </c>
      <c r="O271" s="5">
        <v>-0.24273</v>
      </c>
    </row>
    <row r="272">
      <c r="A272" s="18" t="str">
        <f>IFERROR(__xludf.DUMMYFUNCTION("""COMPUTED_VALUE"""),"Tomas Bellas")</f>
        <v>Tomas Bellas</v>
      </c>
      <c r="B272" s="19" t="str">
        <f>IFERROR(__xludf.DUMMYFUNCTION("""COMPUTED_VALUE"""),"ZAR")</f>
        <v>ZAR</v>
      </c>
      <c r="C272" s="20">
        <f>IFERROR(__xludf.DUMMYFUNCTION("""COMPUTED_VALUE"""),853.1)</f>
        <v>853.1</v>
      </c>
      <c r="D272" s="21">
        <f>IFERROR(__xludf.DUMMYFUNCTION("""COMPUTED_VALUE"""),-3.090911881366765)</f>
        <v>-3.090911881</v>
      </c>
      <c r="E272" s="21">
        <f>IFERROR(__xludf.DUMMYFUNCTION("""COMPUTED_VALUE"""),-0.8021301356489845)</f>
        <v>-0.8021301356</v>
      </c>
      <c r="F272" s="21">
        <f>IFERROR(__xludf.DUMMYFUNCTION("""COMPUTED_VALUE"""),-3.8930420170157496)</f>
        <v>-3.893042017</v>
      </c>
      <c r="G272" s="23">
        <f>IFERROR(__xludf.DUMMYFUNCTION("""COMPUTED_VALUE"""),-0.4913632771303911)</f>
        <v>-0.4913632771</v>
      </c>
      <c r="H272" s="4"/>
      <c r="I272" s="5" t="s">
        <v>609</v>
      </c>
      <c r="J272" s="5" t="s">
        <v>74</v>
      </c>
      <c r="K272" s="5">
        <v>695.0</v>
      </c>
      <c r="L272" s="5">
        <v>-2.88568</v>
      </c>
      <c r="M272" s="5">
        <v>-1.24696</v>
      </c>
      <c r="N272" s="5">
        <v>-4.13264</v>
      </c>
      <c r="O272" s="5">
        <v>-0.45739</v>
      </c>
    </row>
    <row r="273">
      <c r="A273" s="12" t="str">
        <f>IFERROR(__xludf.DUMMYFUNCTION("""COMPUTED_VALUE"""),"Deividad Gailius")</f>
        <v>Deividad Gailius</v>
      </c>
      <c r="B273" s="13" t="str">
        <f>IFERROR(__xludf.DUMMYFUNCTION("""COMPUTED_VALUE"""),"SPB")</f>
        <v>SPB</v>
      </c>
      <c r="C273" s="14">
        <f>IFERROR(__xludf.DUMMYFUNCTION("""COMPUTED_VALUE"""),466.5)</f>
        <v>466.5</v>
      </c>
      <c r="D273" s="15">
        <f>IFERROR(__xludf.DUMMYFUNCTION("""COMPUTED_VALUE"""),-2.869156066430202)</f>
        <v>-2.869156066</v>
      </c>
      <c r="E273" s="15">
        <f>IFERROR(__xludf.DUMMYFUNCTION("""COMPUTED_VALUE"""),-1.0595324226970368)</f>
        <v>-1.059532423</v>
      </c>
      <c r="F273" s="15">
        <f>IFERROR(__xludf.DUMMYFUNCTION("""COMPUTED_VALUE"""),-3.928688489127239)</f>
        <v>-3.928688489</v>
      </c>
      <c r="G273" s="17">
        <f>IFERROR(__xludf.DUMMYFUNCTION("""COMPUTED_VALUE"""),-0.2723026664560632)</f>
        <v>-0.2723026665</v>
      </c>
      <c r="H273" s="4"/>
      <c r="I273" s="5" t="s">
        <v>610</v>
      </c>
      <c r="J273" s="5" t="s">
        <v>74</v>
      </c>
      <c r="K273" s="5">
        <v>282.0</v>
      </c>
      <c r="L273" s="5">
        <v>-3.84651</v>
      </c>
      <c r="M273" s="5">
        <v>-0.48562</v>
      </c>
      <c r="N273" s="5">
        <v>-4.33212</v>
      </c>
      <c r="O273" s="5">
        <v>-0.2032</v>
      </c>
    </row>
    <row r="274">
      <c r="A274" s="18" t="str">
        <f>IFERROR(__xludf.DUMMYFUNCTION("""COMPUTED_VALUE"""),"Mikel Uriz")</f>
        <v>Mikel Uriz</v>
      </c>
      <c r="B274" s="19" t="str">
        <f>IFERROR(__xludf.DUMMYFUNCTION("""COMPUTED_VALUE"""),"ENER")</f>
        <v>ENER</v>
      </c>
      <c r="C274" s="20">
        <f>IFERROR(__xludf.DUMMYFUNCTION("""COMPUTED_VALUE"""),458.4)</f>
        <v>458.4</v>
      </c>
      <c r="D274" s="21">
        <f>IFERROR(__xludf.DUMMYFUNCTION("""COMPUTED_VALUE"""),-2.29594992277224)</f>
        <v>-2.295949923</v>
      </c>
      <c r="E274" s="21">
        <f>IFERROR(__xludf.DUMMYFUNCTION("""COMPUTED_VALUE"""),-1.8300344556981019)</f>
        <v>-1.830034456</v>
      </c>
      <c r="F274" s="21">
        <f>IFERROR(__xludf.DUMMYFUNCTION("""COMPUTED_VALUE"""),-4.125984378470342)</f>
        <v>-4.125984378</v>
      </c>
      <c r="G274" s="23">
        <f>IFERROR(__xludf.DUMMYFUNCTION("""COMPUTED_VALUE"""),-0.29843811334384396)</f>
        <v>-0.2984381133</v>
      </c>
      <c r="H274" s="4"/>
      <c r="I274" s="5" t="s">
        <v>611</v>
      </c>
      <c r="J274" s="5" t="s">
        <v>221</v>
      </c>
      <c r="K274" s="5">
        <v>245.0</v>
      </c>
      <c r="L274" s="5">
        <v>-4.3838</v>
      </c>
      <c r="M274" s="5">
        <v>0.00967</v>
      </c>
      <c r="N274" s="5">
        <v>-4.37413</v>
      </c>
      <c r="O274" s="5">
        <v>-0.17969</v>
      </c>
    </row>
    <row r="275">
      <c r="A275" s="12" t="str">
        <f>IFERROR(__xludf.DUMMYFUNCTION("""COMPUTED_VALUE"""),"Xabi Oroz")</f>
        <v>Xabi Oroz</v>
      </c>
      <c r="B275" s="13" t="str">
        <f>IFERROR(__xludf.DUMMYFUNCTION("""COMPUTED_VALUE"""),"GBC")</f>
        <v>GBC</v>
      </c>
      <c r="C275" s="14">
        <f>IFERROR(__xludf.DUMMYFUNCTION("""COMPUTED_VALUE"""),290.2)</f>
        <v>290.2</v>
      </c>
      <c r="D275" s="15">
        <f>IFERROR(__xludf.DUMMYFUNCTION("""COMPUTED_VALUE"""),-4.190302866496332)</f>
        <v>-4.190302866</v>
      </c>
      <c r="E275" s="15">
        <f>IFERROR(__xludf.DUMMYFUNCTION("""COMPUTED_VALUE"""),-0.14317034672555629)</f>
        <v>-0.1431703467</v>
      </c>
      <c r="F275" s="15">
        <f>IFERROR(__xludf.DUMMYFUNCTION("""COMPUTED_VALUE"""),-4.333473213221889)</f>
        <v>-4.333473213</v>
      </c>
      <c r="G275" s="17">
        <f>IFERROR(__xludf.DUMMYFUNCTION("""COMPUTED_VALUE"""),-0.20569620439955785)</f>
        <v>-0.2056962044</v>
      </c>
      <c r="H275" s="4"/>
      <c r="I275" s="5" t="s">
        <v>612</v>
      </c>
      <c r="J275" s="5" t="s">
        <v>423</v>
      </c>
      <c r="K275" s="5">
        <v>402.0</v>
      </c>
      <c r="L275" s="5">
        <v>-2.31855</v>
      </c>
      <c r="M275" s="5">
        <v>-2.23678</v>
      </c>
      <c r="N275" s="5">
        <v>-4.55533</v>
      </c>
      <c r="O275" s="5">
        <v>-0.31422</v>
      </c>
    </row>
    <row r="276">
      <c r="A276" s="18" t="str">
        <f>IFERROR(__xludf.DUMMYFUNCTION("""COMPUTED_VALUE"""),"Alex Barrera")</f>
        <v>Alex Barrera</v>
      </c>
      <c r="B276" s="19" t="str">
        <f>IFERROR(__xludf.DUMMYFUNCTION("""COMPUTED_VALUE"""),"SPB")</f>
        <v>SPB</v>
      </c>
      <c r="C276" s="20">
        <f>IFERROR(__xludf.DUMMYFUNCTION("""COMPUTED_VALUE"""),383.1)</f>
        <v>383.1</v>
      </c>
      <c r="D276" s="21">
        <f>IFERROR(__xludf.DUMMYFUNCTION("""COMPUTED_VALUE"""),-4.330578938427775)</f>
        <v>-4.330578938</v>
      </c>
      <c r="E276" s="21">
        <f>IFERROR(__xludf.DUMMYFUNCTION("""COMPUTED_VALUE"""),-0.2688555953495335)</f>
        <v>-0.2688555953</v>
      </c>
      <c r="F276" s="21">
        <f>IFERROR(__xludf.DUMMYFUNCTION("""COMPUTED_VALUE"""),-4.599434533777308)</f>
        <v>-4.599434534</v>
      </c>
      <c r="G276" s="23">
        <f>IFERROR(__xludf.DUMMYFUNCTION("""COMPUTED_VALUE"""),-0.30139024653959956)</f>
        <v>-0.3013902465</v>
      </c>
      <c r="H276" s="4"/>
      <c r="I276" s="5" t="s">
        <v>613</v>
      </c>
      <c r="J276" s="5" t="s">
        <v>89</v>
      </c>
      <c r="K276" s="5">
        <v>345.0</v>
      </c>
      <c r="L276" s="5">
        <v>-3.20484</v>
      </c>
      <c r="M276" s="5">
        <v>-1.39788</v>
      </c>
      <c r="N276" s="5">
        <v>-4.60272</v>
      </c>
      <c r="O276" s="5">
        <v>-0.29341</v>
      </c>
    </row>
    <row r="277">
      <c r="A277" s="12" t="str">
        <f>IFERROR(__xludf.DUMMYFUNCTION("""COMPUTED_VALUE"""),"Josep Franch")</f>
        <v>Josep Franch</v>
      </c>
      <c r="B277" s="13" t="str">
        <f>IFERROR(__xludf.DUMMYFUNCTION("""COMPUTED_VALUE"""),"ENER")</f>
        <v>ENER</v>
      </c>
      <c r="C277" s="14">
        <f>IFERROR(__xludf.DUMMYFUNCTION("""COMPUTED_VALUE"""),402.4)</f>
        <v>402.4</v>
      </c>
      <c r="D277" s="15">
        <f>IFERROR(__xludf.DUMMYFUNCTION("""COMPUTED_VALUE"""),-2.624504113148331)</f>
        <v>-2.624504113</v>
      </c>
      <c r="E277" s="15">
        <f>IFERROR(__xludf.DUMMYFUNCTION("""COMPUTED_VALUE"""),-2.048437997568722)</f>
        <v>-2.048437998</v>
      </c>
      <c r="F277" s="15">
        <f>IFERROR(__xludf.DUMMYFUNCTION("""COMPUTED_VALUE"""),-4.672942110717053)</f>
        <v>-4.672942111</v>
      </c>
      <c r="G277" s="17">
        <f>IFERROR(__xludf.DUMMYFUNCTION("""COMPUTED_VALUE"""),-0.32937993004943866)</f>
        <v>-0.32937993</v>
      </c>
      <c r="H277" s="4"/>
      <c r="I277" s="5" t="s">
        <v>614</v>
      </c>
      <c r="J277" s="5" t="s">
        <v>184</v>
      </c>
      <c r="K277" s="5">
        <v>296.0</v>
      </c>
      <c r="L277" s="5">
        <v>-1.13248</v>
      </c>
      <c r="M277" s="5">
        <v>-3.47881</v>
      </c>
      <c r="N277" s="5">
        <v>-4.61129</v>
      </c>
      <c r="O277" s="5">
        <v>-0.23225</v>
      </c>
    </row>
    <row r="278">
      <c r="A278" s="18" t="str">
        <f>IFERROR(__xludf.DUMMYFUNCTION("""COMPUTED_VALUE"""),"Victor Arteaga")</f>
        <v>Victor Arteaga</v>
      </c>
      <c r="B278" s="19" t="str">
        <f>IFERROR(__xludf.DUMMYFUNCTION("""COMPUTED_VALUE"""),"EST")</f>
        <v>EST</v>
      </c>
      <c r="C278" s="20">
        <f>IFERROR(__xludf.DUMMYFUNCTION("""COMPUTED_VALUE"""),252.3)</f>
        <v>252.3</v>
      </c>
      <c r="D278" s="21">
        <f>IFERROR(__xludf.DUMMYFUNCTION("""COMPUTED_VALUE"""),-5.39584780447968)</f>
        <v>-5.395847804</v>
      </c>
      <c r="E278" s="21">
        <f>IFERROR(__xludf.DUMMYFUNCTION("""COMPUTED_VALUE"""),0.538268917577966)</f>
        <v>0.5382689176</v>
      </c>
      <c r="F278" s="21">
        <f>IFERROR(__xludf.DUMMYFUNCTION("""COMPUTED_VALUE"""),-4.857578886901714)</f>
        <v>-4.857578887</v>
      </c>
      <c r="G278" s="23">
        <f>IFERROR(__xludf.DUMMYFUNCTION("""COMPUTED_VALUE"""),-0.22299266844101792)</f>
        <v>-0.2229926684</v>
      </c>
      <c r="H278" s="4"/>
      <c r="I278" s="5" t="s">
        <v>615</v>
      </c>
      <c r="J278" s="5" t="s">
        <v>225</v>
      </c>
      <c r="K278" s="5">
        <v>370.0</v>
      </c>
      <c r="L278" s="5">
        <v>-3.30413</v>
      </c>
      <c r="M278" s="5">
        <v>-1.57242</v>
      </c>
      <c r="N278" s="5">
        <v>-4.87655</v>
      </c>
      <c r="O278" s="5">
        <v>-0.32215</v>
      </c>
    </row>
    <row r="279">
      <c r="A279" s="12" t="str">
        <f>IFERROR(__xludf.DUMMYFUNCTION("""COMPUTED_VALUE"""),"Ivan Buva")</f>
        <v>Ivan Buva</v>
      </c>
      <c r="B279" s="13" t="str">
        <f>IFERROR(__xludf.DUMMYFUNCTION("""COMPUTED_VALUE"""),"VAL")</f>
        <v>VAL</v>
      </c>
      <c r="C279" s="14">
        <f>IFERROR(__xludf.DUMMYFUNCTION("""COMPUTED_VALUE"""),64.6)</f>
        <v>64.6</v>
      </c>
      <c r="D279" s="15">
        <f>IFERROR(__xludf.DUMMYFUNCTION("""COMPUTED_VALUE"""),-2.4333467730439167)</f>
        <v>-2.433346773</v>
      </c>
      <c r="E279" s="15">
        <f>IFERROR(__xludf.DUMMYFUNCTION("""COMPUTED_VALUE"""),-2.502684806089738)</f>
        <v>-2.502684806</v>
      </c>
      <c r="F279" s="15">
        <f>IFERROR(__xludf.DUMMYFUNCTION("""COMPUTED_VALUE"""),-4.936031579133655)</f>
        <v>-4.936031579</v>
      </c>
      <c r="G279" s="17">
        <f>IFERROR(__xludf.DUMMYFUNCTION("""COMPUTED_VALUE"""),-0.05840321832548317)</f>
        <v>-0.05840321833</v>
      </c>
      <c r="H279" s="4"/>
      <c r="I279" s="5" t="s">
        <v>616</v>
      </c>
      <c r="J279" s="5" t="s">
        <v>233</v>
      </c>
      <c r="K279" s="5">
        <v>390.0</v>
      </c>
      <c r="L279" s="5">
        <v>-3.38475</v>
      </c>
      <c r="M279" s="5">
        <v>-2.02555</v>
      </c>
      <c r="N279" s="5">
        <v>-5.4103</v>
      </c>
      <c r="O279" s="5">
        <v>-0.39904</v>
      </c>
    </row>
    <row r="280">
      <c r="A280" s="18" t="str">
        <f>IFERROR(__xludf.DUMMYFUNCTION("""COMPUTED_VALUE"""),"Martins Laksa")</f>
        <v>Martins Laksa</v>
      </c>
      <c r="B280" s="19" t="str">
        <f>IFERROR(__xludf.DUMMYFUNCTION("""COMPUTED_VALUE"""),"OBR")</f>
        <v>OBR</v>
      </c>
      <c r="C280" s="20">
        <f>IFERROR(__xludf.DUMMYFUNCTION("""COMPUTED_VALUE"""),284.1)</f>
        <v>284.1</v>
      </c>
      <c r="D280" s="21">
        <f>IFERROR(__xludf.DUMMYFUNCTION("""COMPUTED_VALUE"""),-0.4570620145097096)</f>
        <v>-0.4570620145</v>
      </c>
      <c r="E280" s="21">
        <f>IFERROR(__xludf.DUMMYFUNCTION("""COMPUTED_VALUE"""),-4.587176288930304)</f>
        <v>-4.587176289</v>
      </c>
      <c r="F280" s="21">
        <f>IFERROR(__xludf.DUMMYFUNCTION("""COMPUTED_VALUE"""),-5.044238303440014)</f>
        <v>-5.044238303</v>
      </c>
      <c r="G280" s="23">
        <f>IFERROR(__xludf.DUMMYFUNCTION("""COMPUTED_VALUE"""),-0.2674697275311998)</f>
        <v>-0.2674697275</v>
      </c>
      <c r="H280" s="4"/>
      <c r="I280" s="5" t="s">
        <v>617</v>
      </c>
      <c r="J280" s="5" t="s">
        <v>54</v>
      </c>
      <c r="K280" s="5">
        <v>409.0</v>
      </c>
      <c r="L280" s="5">
        <v>-4.82161</v>
      </c>
      <c r="M280" s="5">
        <v>-0.60419</v>
      </c>
      <c r="N280" s="5">
        <v>-5.4258</v>
      </c>
      <c r="O280" s="5">
        <v>-0.4246</v>
      </c>
    </row>
    <row r="281">
      <c r="A281" s="12" t="str">
        <f>IFERROR(__xludf.DUMMYFUNCTION("""COMPUTED_VALUE"""),"Rosco Allen")</f>
        <v>Rosco Allen</v>
      </c>
      <c r="B281" s="13" t="str">
        <f>IFERROR(__xludf.DUMMYFUNCTION("""COMPUTED_VALUE"""),"CAN")</f>
        <v>CAN</v>
      </c>
      <c r="C281" s="14">
        <f>IFERROR(__xludf.DUMMYFUNCTION("""COMPUTED_VALUE"""),408.7)</f>
        <v>408.7</v>
      </c>
      <c r="D281" s="15">
        <f>IFERROR(__xludf.DUMMYFUNCTION("""COMPUTED_VALUE"""),-3.9716753711418087)</f>
        <v>-3.971675371</v>
      </c>
      <c r="E281" s="15">
        <f>IFERROR(__xludf.DUMMYFUNCTION("""COMPUTED_VALUE"""),-1.2012959698759862)</f>
        <v>-1.20129597</v>
      </c>
      <c r="F281" s="15">
        <f>IFERROR(__xludf.DUMMYFUNCTION("""COMPUTED_VALUE"""),-5.172971341017795)</f>
        <v>-5.172971341</v>
      </c>
      <c r="G281" s="17">
        <f>IFERROR(__xludf.DUMMYFUNCTION("""COMPUTED_VALUE"""),-0.39345122738940974)</f>
        <v>-0.3934512274</v>
      </c>
      <c r="H281" s="4"/>
      <c r="I281" s="5" t="s">
        <v>618</v>
      </c>
      <c r="J281" s="5" t="s">
        <v>225</v>
      </c>
      <c r="K281" s="5">
        <v>496.0</v>
      </c>
      <c r="L281" s="5">
        <v>-3.62411</v>
      </c>
      <c r="M281" s="5">
        <v>-1.80324</v>
      </c>
      <c r="N281" s="5">
        <v>-5.42736</v>
      </c>
      <c r="O281" s="5">
        <v>-0.5144</v>
      </c>
    </row>
    <row r="282">
      <c r="A282" s="18" t="str">
        <f>IFERROR(__xludf.DUMMYFUNCTION("""COMPUTED_VALUE"""),"Javier Vega")</f>
        <v>Javier Vega</v>
      </c>
      <c r="B282" s="19" t="str">
        <f>IFERROR(__xludf.DUMMYFUNCTION("""COMPUTED_VALUE"""),"SPB")</f>
        <v>SPB</v>
      </c>
      <c r="C282" s="20">
        <f>IFERROR(__xludf.DUMMYFUNCTION("""COMPUTED_VALUE"""),507.8)</f>
        <v>507.8</v>
      </c>
      <c r="D282" s="21">
        <f>IFERROR(__xludf.DUMMYFUNCTION("""COMPUTED_VALUE"""),-5.016900155925658)</f>
        <v>-5.016900156</v>
      </c>
      <c r="E282" s="21">
        <f>IFERROR(__xludf.DUMMYFUNCTION("""COMPUTED_VALUE"""),-0.5048488429576121)</f>
        <v>-0.504848843</v>
      </c>
      <c r="F282" s="21">
        <f>IFERROR(__xludf.DUMMYFUNCTION("""COMPUTED_VALUE"""),-5.52174899888327)</f>
        <v>-5.521748999</v>
      </c>
      <c r="G282" s="23">
        <f>IFERROR(__xludf.DUMMYFUNCTION("""COMPUTED_VALUE"""),-0.5412392129536244)</f>
        <v>-0.541239213</v>
      </c>
      <c r="H282" s="4"/>
      <c r="I282" s="5" t="s">
        <v>494</v>
      </c>
      <c r="J282" s="5" t="s">
        <v>22</v>
      </c>
      <c r="K282" s="5">
        <v>369.0</v>
      </c>
      <c r="L282" s="5">
        <v>-5.68177</v>
      </c>
      <c r="M282" s="5">
        <v>0.02991</v>
      </c>
      <c r="N282" s="5">
        <v>-5.65186</v>
      </c>
      <c r="O282" s="5">
        <v>-0.4096</v>
      </c>
    </row>
    <row r="283">
      <c r="A283" s="12" t="str">
        <f>IFERROR(__xludf.DUMMYFUNCTION("""COMPUTED_VALUE"""),"Javi Salgado")</f>
        <v>Javi Salgado</v>
      </c>
      <c r="B283" s="13" t="str">
        <f>IFERROR(__xludf.DUMMYFUNCTION("""COMPUTED_VALUE"""),"BBB")</f>
        <v>BBB</v>
      </c>
      <c r="C283" s="14">
        <f>IFERROR(__xludf.DUMMYFUNCTION("""COMPUTED_VALUE"""),365.8)</f>
        <v>365.8</v>
      </c>
      <c r="D283" s="15">
        <f>IFERROR(__xludf.DUMMYFUNCTION("""COMPUTED_VALUE"""),-2.4960612874313406)</f>
        <v>-2.496061287</v>
      </c>
      <c r="E283" s="15">
        <f>IFERROR(__xludf.DUMMYFUNCTION("""COMPUTED_VALUE"""),-3.0949558630875766)</f>
        <v>-3.094955863</v>
      </c>
      <c r="F283" s="15">
        <f>IFERROR(__xludf.DUMMYFUNCTION("""COMPUTED_VALUE"""),-5.591017150518917)</f>
        <v>-5.591017151</v>
      </c>
      <c r="G283" s="17">
        <f>IFERROR(__xludf.DUMMYFUNCTION("""COMPUTED_VALUE"""),-0.4004977774134128)</f>
        <v>-0.4004977774</v>
      </c>
      <c r="H283" s="4"/>
      <c r="I283" s="5" t="s">
        <v>619</v>
      </c>
      <c r="J283" s="5" t="s">
        <v>290</v>
      </c>
      <c r="K283" s="5">
        <v>248.0</v>
      </c>
      <c r="L283" s="5">
        <v>-4.3265</v>
      </c>
      <c r="M283" s="5">
        <v>-1.38998</v>
      </c>
      <c r="N283" s="5">
        <v>-5.71649</v>
      </c>
      <c r="O283" s="5">
        <v>-0.27696</v>
      </c>
    </row>
    <row r="284">
      <c r="A284" s="18" t="str">
        <f>IFERROR(__xludf.DUMMYFUNCTION("""COMPUTED_VALUE"""),"Nenad Dimitrijevic")</f>
        <v>Nenad Dimitrijevic</v>
      </c>
      <c r="B284" s="19" t="str">
        <f>IFERROR(__xludf.DUMMYFUNCTION("""COMPUTED_VALUE"""),"JOV")</f>
        <v>JOV</v>
      </c>
      <c r="C284" s="20">
        <f>IFERROR(__xludf.DUMMYFUNCTION("""COMPUTED_VALUE"""),400.1)</f>
        <v>400.1</v>
      </c>
      <c r="D284" s="21">
        <f>IFERROR(__xludf.DUMMYFUNCTION("""COMPUTED_VALUE"""),-3.611058613581373)</f>
        <v>-3.611058614</v>
      </c>
      <c r="E284" s="21">
        <f>IFERROR(__xludf.DUMMYFUNCTION("""COMPUTED_VALUE"""),-2.076417026068067)</f>
        <v>-2.076417026</v>
      </c>
      <c r="F284" s="21">
        <f>IFERROR(__xludf.DUMMYFUNCTION("""COMPUTED_VALUE"""),-5.68747563964944)</f>
        <v>-5.68747564</v>
      </c>
      <c r="G284" s="23">
        <f>IFERROR(__xludf.DUMMYFUNCTION("""COMPUTED_VALUE"""),-0.44329851657424485)</f>
        <v>-0.4432985166</v>
      </c>
      <c r="H284" s="4"/>
      <c r="I284" s="5" t="s">
        <v>620</v>
      </c>
      <c r="J284" s="5" t="s">
        <v>113</v>
      </c>
      <c r="K284" s="5">
        <v>351.0</v>
      </c>
      <c r="L284" s="5">
        <v>-2.74658</v>
      </c>
      <c r="M284" s="5">
        <v>-3.20533</v>
      </c>
      <c r="N284" s="5">
        <v>-5.95191</v>
      </c>
      <c r="O284" s="5">
        <v>-0.42254</v>
      </c>
    </row>
    <row r="285">
      <c r="A285" s="12" t="str">
        <f>IFERROR(__xludf.DUMMYFUNCTION("""COMPUTED_VALUE"""),"Thomas Schreiner")</f>
        <v>Thomas Schreiner</v>
      </c>
      <c r="B285" s="13" t="str">
        <f>IFERROR(__xludf.DUMMYFUNCTION("""COMPUTED_VALUE"""),"SPB")</f>
        <v>SPB</v>
      </c>
      <c r="C285" s="14">
        <f>IFERROR(__xludf.DUMMYFUNCTION("""COMPUTED_VALUE"""),576.3)</f>
        <v>576.3</v>
      </c>
      <c r="D285" s="15">
        <f>IFERROR(__xludf.DUMMYFUNCTION("""COMPUTED_VALUE"""),-4.08384183473682)</f>
        <v>-4.083841835</v>
      </c>
      <c r="E285" s="15">
        <f>IFERROR(__xludf.DUMMYFUNCTION("""COMPUTED_VALUE"""),-1.6104368959033737)</f>
        <v>-1.610436896</v>
      </c>
      <c r="F285" s="15">
        <f>IFERROR(__xludf.DUMMYFUNCTION("""COMPUTED_VALUE"""),-5.694278730640193)</f>
        <v>-5.694278731</v>
      </c>
      <c r="G285" s="17">
        <f>IFERROR(__xludf.DUMMYFUNCTION("""COMPUTED_VALUE"""),-0.6443419937959786)</f>
        <v>-0.6443419938</v>
      </c>
      <c r="H285" s="4"/>
      <c r="I285" s="5" t="s">
        <v>621</v>
      </c>
      <c r="J285" s="5" t="s">
        <v>423</v>
      </c>
      <c r="K285" s="5">
        <v>268.0</v>
      </c>
      <c r="L285" s="5">
        <v>-3.16453</v>
      </c>
      <c r="M285" s="5">
        <v>-2.82763</v>
      </c>
      <c r="N285" s="5">
        <v>-5.99216</v>
      </c>
      <c r="O285" s="5">
        <v>-0.32694</v>
      </c>
    </row>
    <row r="286">
      <c r="A286" s="18" t="str">
        <f>IFERROR(__xludf.DUMMYFUNCTION("""COMPUTED_VALUE"""),"Dragan Milosavljevic")</f>
        <v>Dragan Milosavljevic</v>
      </c>
      <c r="B286" s="19" t="str">
        <f>IFERROR(__xludf.DUMMYFUNCTION("""COMPUTED_VALUE"""),"UNI")</f>
        <v>UNI</v>
      </c>
      <c r="C286" s="20">
        <f>IFERROR(__xludf.DUMMYFUNCTION("""COMPUTED_VALUE"""),403.7)</f>
        <v>403.7</v>
      </c>
      <c r="D286" s="21">
        <f>IFERROR(__xludf.DUMMYFUNCTION("""COMPUTED_VALUE"""),-3.535319568593143)</f>
        <v>-3.535319569</v>
      </c>
      <c r="E286" s="21">
        <f>IFERROR(__xludf.DUMMYFUNCTION("""COMPUTED_VALUE"""),-2.4122323031915323)</f>
        <v>-2.412232303</v>
      </c>
      <c r="F286" s="21">
        <f>IFERROR(__xludf.DUMMYFUNCTION("""COMPUTED_VALUE"""),-5.947551871784675)</f>
        <v>-5.947551872</v>
      </c>
      <c r="G286" s="23">
        <f>IFERROR(__xludf.DUMMYFUNCTION("""COMPUTED_VALUE"""),-0.484160509691226)</f>
        <v>-0.4841605097</v>
      </c>
      <c r="H286" s="4"/>
      <c r="I286" s="5" t="s">
        <v>622</v>
      </c>
      <c r="J286" s="5" t="s">
        <v>225</v>
      </c>
      <c r="K286" s="5">
        <v>558.0</v>
      </c>
      <c r="L286" s="5">
        <v>-2.89799</v>
      </c>
      <c r="M286" s="5">
        <v>-3.13327</v>
      </c>
      <c r="N286" s="5">
        <v>-6.03126</v>
      </c>
      <c r="O286" s="5">
        <v>-0.68067</v>
      </c>
    </row>
    <row r="287">
      <c r="A287" s="12" t="str">
        <f>IFERROR(__xludf.DUMMYFUNCTION("""COMPUTED_VALUE"""),"Alex Llorca")</f>
        <v>Alex Llorca</v>
      </c>
      <c r="B287" s="13" t="str">
        <f>IFERROR(__xludf.DUMMYFUNCTION("""COMPUTED_VALUE"""),"MON")</f>
        <v>MON</v>
      </c>
      <c r="C287" s="14">
        <f>IFERROR(__xludf.DUMMYFUNCTION("""COMPUTED_VALUE"""),251.1)</f>
        <v>251.1</v>
      </c>
      <c r="D287" s="15">
        <f>IFERROR(__xludf.DUMMYFUNCTION("""COMPUTED_VALUE"""),-4.554914932553907)</f>
        <v>-4.554914933</v>
      </c>
      <c r="E287" s="15">
        <f>IFERROR(__xludf.DUMMYFUNCTION("""COMPUTED_VALUE"""),-1.4761570115880724)</f>
        <v>-1.476157012</v>
      </c>
      <c r="F287" s="15">
        <f>IFERROR(__xludf.DUMMYFUNCTION("""COMPUTED_VALUE"""),-6.03107194414198)</f>
        <v>-6.031071944</v>
      </c>
      <c r="G287" s="17">
        <f>IFERROR(__xludf.DUMMYFUNCTION("""COMPUTED_VALUE"""),-0.3046711002169996)</f>
        <v>-0.3046711002</v>
      </c>
      <c r="H287" s="4"/>
      <c r="I287" s="5" t="s">
        <v>623</v>
      </c>
      <c r="J287" s="5" t="s">
        <v>113</v>
      </c>
      <c r="K287" s="5">
        <v>245.0</v>
      </c>
      <c r="L287" s="5">
        <v>-3.25871</v>
      </c>
      <c r="M287" s="5">
        <v>-3.29491</v>
      </c>
      <c r="N287" s="5">
        <v>-6.55361</v>
      </c>
      <c r="O287" s="5">
        <v>-0.34041</v>
      </c>
    </row>
    <row r="288">
      <c r="A288" s="18" t="str">
        <f>IFERROR(__xludf.DUMMYFUNCTION("""COMPUTED_VALUE"""),"Nobel Boungou Colo")</f>
        <v>Nobel Boungou Colo</v>
      </c>
      <c r="B288" s="19" t="str">
        <f>IFERROR(__xludf.DUMMYFUNCTION("""COMPUTED_VALUE"""),"ENER")</f>
        <v>ENER</v>
      </c>
      <c r="C288" s="20">
        <f>IFERROR(__xludf.DUMMYFUNCTION("""COMPUTED_VALUE"""),268.0)</f>
        <v>268</v>
      </c>
      <c r="D288" s="21">
        <f>IFERROR(__xludf.DUMMYFUNCTION("""COMPUTED_VALUE"""),-3.4199470995408827)</f>
        <v>-3.4199471</v>
      </c>
      <c r="E288" s="21">
        <f>IFERROR(__xludf.DUMMYFUNCTION("""COMPUTED_VALUE"""),-2.658443066682845)</f>
        <v>-2.658443067</v>
      </c>
      <c r="F288" s="21">
        <f>IFERROR(__xludf.DUMMYFUNCTION("""COMPUTED_VALUE"""),-6.078390166223728)</f>
        <v>-6.078390166</v>
      </c>
      <c r="G288" s="23">
        <f>IFERROR(__xludf.DUMMYFUNCTION("""COMPUTED_VALUE"""),-0.33471345660252394)</f>
        <v>-0.3347134566</v>
      </c>
      <c r="H288" s="4"/>
      <c r="I288" s="5" t="s">
        <v>624</v>
      </c>
      <c r="J288" s="5" t="s">
        <v>423</v>
      </c>
      <c r="K288" s="5">
        <v>371.0</v>
      </c>
      <c r="L288" s="5">
        <v>-4.00762</v>
      </c>
      <c r="M288" s="5">
        <v>-2.60211</v>
      </c>
      <c r="N288" s="5">
        <v>-6.60973</v>
      </c>
      <c r="O288" s="5">
        <v>-0.52204</v>
      </c>
    </row>
    <row r="289">
      <c r="A289" s="12" t="str">
        <f>IFERROR(__xludf.DUMMYFUNCTION("""COMPUTED_VALUE"""),"Ricardo Fischer")</f>
        <v>Ricardo Fischer</v>
      </c>
      <c r="B289" s="13" t="str">
        <f>IFERROR(__xludf.DUMMYFUNCTION("""COMPUTED_VALUE"""),"BBB")</f>
        <v>BBB</v>
      </c>
      <c r="C289" s="14">
        <f>IFERROR(__xludf.DUMMYFUNCTION("""COMPUTED_VALUE"""),245.2)</f>
        <v>245.2</v>
      </c>
      <c r="D289" s="15">
        <f>IFERROR(__xludf.DUMMYFUNCTION("""COMPUTED_VALUE"""),-2.9863090395420175)</f>
        <v>-2.98630904</v>
      </c>
      <c r="E289" s="15">
        <f>IFERROR(__xludf.DUMMYFUNCTION("""COMPUTED_VALUE"""),-3.5530699617907673)</f>
        <v>-3.553069962</v>
      </c>
      <c r="F289" s="15">
        <f>IFERROR(__xludf.DUMMYFUNCTION("""COMPUTED_VALUE"""),-6.539379001332785)</f>
        <v>-6.539379001</v>
      </c>
      <c r="G289" s="17">
        <f>IFERROR(__xludf.DUMMYFUNCTION("""COMPUTED_VALUE"""),-0.3393562405557764)</f>
        <v>-0.3393562406</v>
      </c>
      <c r="H289" s="4"/>
      <c r="I289" s="5" t="s">
        <v>625</v>
      </c>
      <c r="J289" s="5" t="s">
        <v>267</v>
      </c>
      <c r="K289" s="5">
        <v>329.0</v>
      </c>
      <c r="L289" s="5">
        <v>-4.27477</v>
      </c>
      <c r="M289" s="5">
        <v>-2.41235</v>
      </c>
      <c r="N289" s="5">
        <v>-6.68712</v>
      </c>
      <c r="O289" s="5">
        <v>-0.46998</v>
      </c>
    </row>
    <row r="290">
      <c r="A290" s="18" t="str">
        <f>IFERROR(__xludf.DUMMYFUNCTION("""COMPUTED_VALUE"""),"Michal Michalak")</f>
        <v>Michal Michalak</v>
      </c>
      <c r="B290" s="19" t="str">
        <f>IFERROR(__xludf.DUMMYFUNCTION("""COMPUTED_VALUE"""),"ZAR")</f>
        <v>ZAR</v>
      </c>
      <c r="C290" s="20">
        <f>IFERROR(__xludf.DUMMYFUNCTION("""COMPUTED_VALUE"""),350.9)</f>
        <v>350.9</v>
      </c>
      <c r="D290" s="21">
        <f>IFERROR(__xludf.DUMMYFUNCTION("""COMPUTED_VALUE"""),-5.357653283545232)</f>
        <v>-5.357653284</v>
      </c>
      <c r="E290" s="21">
        <f>IFERROR(__xludf.DUMMYFUNCTION("""COMPUTED_VALUE"""),-1.1833262390633834)</f>
        <v>-1.183326239</v>
      </c>
      <c r="F290" s="21">
        <f>IFERROR(__xludf.DUMMYFUNCTION("""COMPUTED_VALUE"""),-6.540979522608615)</f>
        <v>-6.540979523</v>
      </c>
      <c r="G290" s="23">
        <f>IFERROR(__xludf.DUMMYFUNCTION("""COMPUTED_VALUE"""),-0.4848142895866)</f>
        <v>-0.4848142896</v>
      </c>
      <c r="H290" s="4"/>
      <c r="I290" s="5" t="s">
        <v>626</v>
      </c>
      <c r="J290" s="5" t="s">
        <v>423</v>
      </c>
      <c r="K290" s="5">
        <v>261.0</v>
      </c>
      <c r="L290" s="5">
        <v>-4.96368</v>
      </c>
      <c r="M290" s="5">
        <v>-2.15468</v>
      </c>
      <c r="N290" s="5">
        <v>-7.11836</v>
      </c>
      <c r="O290" s="5">
        <v>-0.40822</v>
      </c>
    </row>
    <row r="291">
      <c r="A291" s="12" t="str">
        <f>IFERROR(__xludf.DUMMYFUNCTION("""COMPUTED_VALUE"""),"Ivan Cruz")</f>
        <v>Ivan Cruz</v>
      </c>
      <c r="B291" s="13" t="str">
        <f>IFERROR(__xludf.DUMMYFUNCTION("""COMPUTED_VALUE"""),"ENER")</f>
        <v>ENER</v>
      </c>
      <c r="C291" s="14">
        <f>IFERROR(__xludf.DUMMYFUNCTION("""COMPUTED_VALUE"""),389.5)</f>
        <v>389.5</v>
      </c>
      <c r="D291" s="15">
        <f>IFERROR(__xludf.DUMMYFUNCTION("""COMPUTED_VALUE"""),-4.7516322924711965)</f>
        <v>-4.751632292</v>
      </c>
      <c r="E291" s="15">
        <f>IFERROR(__xludf.DUMMYFUNCTION("""COMPUTED_VALUE"""),-2.355844281669077)</f>
        <v>-2.355844282</v>
      </c>
      <c r="F291" s="15">
        <f>IFERROR(__xludf.DUMMYFUNCTION("""COMPUTED_VALUE"""),-7.107476574140273)</f>
        <v>-7.107476574</v>
      </c>
      <c r="G291" s="17">
        <f>IFERROR(__xludf.DUMMYFUNCTION("""COMPUTED_VALUE"""),-0.6092049917086937)</f>
        <v>-0.6092049917</v>
      </c>
      <c r="H291" s="4"/>
      <c r="I291" s="5" t="s">
        <v>627</v>
      </c>
      <c r="J291" s="5" t="s">
        <v>423</v>
      </c>
      <c r="K291" s="5">
        <v>321.0</v>
      </c>
      <c r="L291" s="5">
        <v>-5.15883</v>
      </c>
      <c r="M291" s="5">
        <v>-2.51596</v>
      </c>
      <c r="N291" s="5">
        <v>-7.6748</v>
      </c>
      <c r="O291" s="5">
        <v>-0.55682</v>
      </c>
    </row>
    <row r="292">
      <c r="A292" s="18" t="str">
        <f>IFERROR(__xludf.DUMMYFUNCTION("""COMPUTED_VALUE"""),"Donnie McGrath")</f>
        <v>Donnie McGrath</v>
      </c>
      <c r="B292" s="19" t="str">
        <f>IFERROR(__xludf.DUMMYFUNCTION("""COMPUTED_VALUE"""),"ENER")</f>
        <v>ENER</v>
      </c>
      <c r="C292" s="20">
        <f>IFERROR(__xludf.DUMMYFUNCTION("""COMPUTED_VALUE"""),261.0)</f>
        <v>261</v>
      </c>
      <c r="D292" s="21">
        <f>IFERROR(__xludf.DUMMYFUNCTION("""COMPUTED_VALUE"""),-5.249899172334152)</f>
        <v>-5.249899172</v>
      </c>
      <c r="E292" s="21">
        <f>IFERROR(__xludf.DUMMYFUNCTION("""COMPUTED_VALUE"""),-1.9917048263946668)</f>
        <v>-1.991704826</v>
      </c>
      <c r="F292" s="21">
        <f>IFERROR(__xludf.DUMMYFUNCTION("""COMPUTED_VALUE"""),-7.241603998728819)</f>
        <v>-7.241603999</v>
      </c>
      <c r="G292" s="23">
        <f>IFERROR(__xludf.DUMMYFUNCTION("""COMPUTED_VALUE"""),-0.41894240567687613)</f>
        <v>-0.4189424057</v>
      </c>
      <c r="H292" s="4"/>
      <c r="I292" s="5" t="s">
        <v>628</v>
      </c>
      <c r="J292" s="5" t="s">
        <v>54</v>
      </c>
      <c r="K292" s="5">
        <v>373.0</v>
      </c>
      <c r="L292" s="5">
        <v>-6.17127</v>
      </c>
      <c r="M292" s="5">
        <v>-1.78621</v>
      </c>
      <c r="N292" s="5">
        <v>-7.95748</v>
      </c>
      <c r="O292" s="5">
        <v>-0.67353</v>
      </c>
    </row>
    <row r="293">
      <c r="A293" s="12" t="str">
        <f>IFERROR(__xludf.DUMMYFUNCTION("""COMPUTED_VALUE"""),"Davin White")</f>
        <v>Davin White</v>
      </c>
      <c r="B293" s="13" t="str">
        <f>IFERROR(__xludf.DUMMYFUNCTION("""COMPUTED_VALUE"""),"CAN")</f>
        <v>CAN</v>
      </c>
      <c r="C293" s="14">
        <f>IFERROR(__xludf.DUMMYFUNCTION("""COMPUTED_VALUE"""),372.8)</f>
        <v>372.8</v>
      </c>
      <c r="D293" s="15">
        <f>IFERROR(__xludf.DUMMYFUNCTION("""COMPUTED_VALUE"""),-5.27311032170417)</f>
        <v>-5.273110322</v>
      </c>
      <c r="E293" s="15">
        <f>IFERROR(__xludf.DUMMYFUNCTION("""COMPUTED_VALUE"""),-2.382248876465111)</f>
        <v>-2.382248876</v>
      </c>
      <c r="F293" s="15">
        <f>IFERROR(__xludf.DUMMYFUNCTION("""COMPUTED_VALUE"""),-7.655359198169281)</f>
        <v>-7.655359198</v>
      </c>
      <c r="G293" s="17">
        <f>IFERROR(__xludf.DUMMYFUNCTION("""COMPUTED_VALUE"""),-0.639670341722911)</f>
        <v>-0.6396703417</v>
      </c>
      <c r="H293" s="4"/>
    </row>
    <row r="294">
      <c r="A294" s="18" t="str">
        <f>IFERROR(__xludf.DUMMYFUNCTION("""COMPUTED_VALUE"""),"Alfonso Sanchez")</f>
        <v>Alfonso Sanchez</v>
      </c>
      <c r="B294" s="19" t="str">
        <f>IFERROR(__xludf.DUMMYFUNCTION("""COMPUTED_VALUE"""),"ENER")</f>
        <v>ENER</v>
      </c>
      <c r="C294" s="20">
        <f>IFERROR(__xludf.DUMMYFUNCTION("""COMPUTED_VALUE"""),342.6)</f>
        <v>342.6</v>
      </c>
      <c r="D294" s="21">
        <f>IFERROR(__xludf.DUMMYFUNCTION("""COMPUTED_VALUE"""),-5.776263326040896)</f>
        <v>-5.776263326</v>
      </c>
      <c r="E294" s="21">
        <f>IFERROR(__xludf.DUMMYFUNCTION("""COMPUTED_VALUE"""),-2.3826721714193155)</f>
        <v>-2.382672171</v>
      </c>
      <c r="F294" s="21">
        <f>IFERROR(__xludf.DUMMYFUNCTION("""COMPUTED_VALUE"""),-8.158935497460211)</f>
        <v>-8.158935497</v>
      </c>
      <c r="G294" s="23">
        <f>IFERROR(__xludf.DUMMYFUNCTION("""COMPUTED_VALUE"""),-0.6461637974468553)</f>
        <v>-0.6461637974</v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D517" s="25"/>
      <c r="E517" s="25"/>
      <c r="F517" s="25"/>
      <c r="G517" s="26"/>
      <c r="H517" s="4"/>
    </row>
    <row r="518">
      <c r="D518" s="25"/>
      <c r="E518" s="25"/>
      <c r="F518" s="25"/>
      <c r="G518" s="26"/>
      <c r="H518" s="4"/>
    </row>
    <row r="519">
      <c r="D519" s="25"/>
      <c r="E519" s="25"/>
      <c r="F519" s="25"/>
      <c r="G519" s="26"/>
      <c r="H519" s="4"/>
    </row>
    <row r="520">
      <c r="D520" s="25"/>
      <c r="E520" s="25"/>
      <c r="F520" s="25"/>
      <c r="G520" s="26"/>
      <c r="H520" s="4"/>
    </row>
    <row r="521">
      <c r="D521" s="25"/>
      <c r="E521" s="25"/>
      <c r="F521" s="25"/>
      <c r="G521" s="26"/>
      <c r="H521" s="4"/>
    </row>
    <row r="522">
      <c r="D522" s="25"/>
      <c r="E522" s="25"/>
      <c r="F522" s="25"/>
      <c r="G522" s="26"/>
      <c r="H522" s="4"/>
    </row>
    <row r="523">
      <c r="D523" s="25"/>
      <c r="E523" s="25"/>
      <c r="F523" s="25"/>
      <c r="G523" s="26"/>
      <c r="H523" s="4"/>
    </row>
    <row r="524">
      <c r="D524" s="25"/>
      <c r="E524" s="25"/>
      <c r="F524" s="25"/>
      <c r="G524" s="26"/>
      <c r="H524" s="4"/>
    </row>
    <row r="525">
      <c r="D525" s="25"/>
      <c r="E525" s="25"/>
      <c r="F525" s="25"/>
      <c r="G525" s="26"/>
      <c r="H525" s="4"/>
    </row>
    <row r="526">
      <c r="D526" s="25"/>
      <c r="E526" s="25"/>
      <c r="F526" s="25"/>
      <c r="G526" s="26"/>
      <c r="H526" s="4"/>
    </row>
    <row r="527">
      <c r="D527" s="25"/>
      <c r="E527" s="25"/>
      <c r="F527" s="25"/>
      <c r="G527" s="26"/>
      <c r="H527" s="4"/>
    </row>
    <row r="528">
      <c r="D528" s="25"/>
      <c r="E528" s="25"/>
      <c r="F528" s="25"/>
      <c r="G528" s="26"/>
      <c r="H528" s="4"/>
    </row>
    <row r="529">
      <c r="D529" s="25"/>
      <c r="E529" s="25"/>
      <c r="F529" s="25"/>
      <c r="G529" s="26"/>
      <c r="H529" s="4"/>
    </row>
    <row r="530">
      <c r="D530" s="25"/>
      <c r="E530" s="25"/>
      <c r="F530" s="25"/>
      <c r="G530" s="26"/>
      <c r="H530" s="4"/>
    </row>
    <row r="531">
      <c r="D531" s="25"/>
      <c r="E531" s="25"/>
      <c r="F531" s="25"/>
      <c r="G531" s="26"/>
      <c r="H531" s="4"/>
    </row>
    <row r="532">
      <c r="D532" s="25"/>
      <c r="E532" s="25"/>
      <c r="F532" s="25"/>
      <c r="G532" s="26"/>
      <c r="H532" s="4"/>
    </row>
    <row r="533">
      <c r="D533" s="25"/>
      <c r="E533" s="25"/>
      <c r="F533" s="25"/>
      <c r="G533" s="26"/>
      <c r="H533" s="4"/>
    </row>
    <row r="534">
      <c r="D534" s="25"/>
      <c r="E534" s="25"/>
      <c r="F534" s="25"/>
      <c r="G534" s="26"/>
      <c r="H534" s="4"/>
    </row>
    <row r="535">
      <c r="D535" s="25"/>
      <c r="E535" s="25"/>
      <c r="F535" s="25"/>
      <c r="G535" s="26"/>
      <c r="H535" s="4"/>
    </row>
    <row r="536">
      <c r="D536" s="25"/>
      <c r="E536" s="25"/>
      <c r="F536" s="25"/>
      <c r="G536" s="26"/>
      <c r="H536" s="4"/>
    </row>
    <row r="537">
      <c r="D537" s="25"/>
      <c r="E537" s="25"/>
      <c r="F537" s="25"/>
      <c r="G537" s="26"/>
      <c r="H537" s="4"/>
    </row>
    <row r="538">
      <c r="D538" s="25"/>
      <c r="E538" s="25"/>
      <c r="F538" s="25"/>
      <c r="G538" s="26"/>
      <c r="H538" s="4"/>
    </row>
    <row r="539">
      <c r="D539" s="25"/>
      <c r="E539" s="25"/>
      <c r="F539" s="25"/>
      <c r="G539" s="26"/>
      <c r="H539" s="4"/>
    </row>
    <row r="540">
      <c r="D540" s="25"/>
      <c r="E540" s="25"/>
      <c r="F540" s="25"/>
      <c r="G540" s="26"/>
      <c r="H540" s="4"/>
    </row>
    <row r="541">
      <c r="D541" s="25"/>
      <c r="E541" s="25"/>
      <c r="F541" s="25"/>
      <c r="G541" s="26"/>
      <c r="H541" s="4"/>
    </row>
    <row r="542">
      <c r="D542" s="25"/>
      <c r="E542" s="25"/>
      <c r="F542" s="25"/>
      <c r="G542" s="26"/>
      <c r="H542" s="4"/>
    </row>
    <row r="543">
      <c r="D543" s="25"/>
      <c r="E543" s="25"/>
      <c r="F543" s="25"/>
      <c r="G543" s="26"/>
      <c r="H543" s="4"/>
    </row>
    <row r="544">
      <c r="D544" s="25"/>
      <c r="E544" s="25"/>
      <c r="F544" s="25"/>
      <c r="G544" s="26"/>
      <c r="H544" s="4"/>
    </row>
    <row r="545">
      <c r="D545" s="25"/>
      <c r="E545" s="25"/>
      <c r="F545" s="25"/>
      <c r="G545" s="26"/>
      <c r="H545" s="4"/>
    </row>
    <row r="546">
      <c r="D546" s="25"/>
      <c r="E546" s="25"/>
      <c r="F546" s="25"/>
      <c r="G546" s="26"/>
      <c r="H546" s="4"/>
    </row>
    <row r="547">
      <c r="D547" s="25"/>
      <c r="E547" s="25"/>
      <c r="F547" s="25"/>
      <c r="G547" s="26"/>
      <c r="H547" s="4"/>
    </row>
    <row r="548">
      <c r="D548" s="25"/>
      <c r="E548" s="25"/>
      <c r="F548" s="25"/>
      <c r="G548" s="26"/>
      <c r="H548" s="4"/>
    </row>
    <row r="549">
      <c r="D549" s="25"/>
      <c r="E549" s="25"/>
      <c r="F549" s="25"/>
      <c r="G549" s="26"/>
      <c r="H549" s="4"/>
    </row>
    <row r="550">
      <c r="D550" s="25"/>
      <c r="E550" s="25"/>
      <c r="F550" s="25"/>
      <c r="G550" s="26"/>
      <c r="H550" s="4"/>
    </row>
    <row r="551">
      <c r="D551" s="25"/>
      <c r="E551" s="25"/>
      <c r="F551" s="25"/>
      <c r="G551" s="26"/>
      <c r="H551" s="4"/>
    </row>
    <row r="552">
      <c r="D552" s="25"/>
      <c r="E552" s="25"/>
      <c r="F552" s="25"/>
      <c r="G552" s="26"/>
      <c r="H552" s="4"/>
    </row>
    <row r="553">
      <c r="D553" s="25"/>
      <c r="E553" s="25"/>
      <c r="F553" s="25"/>
      <c r="G553" s="26"/>
      <c r="H553" s="4"/>
    </row>
    <row r="554">
      <c r="D554" s="25"/>
      <c r="E554" s="25"/>
      <c r="F554" s="25"/>
      <c r="G554" s="26"/>
      <c r="H554" s="4"/>
    </row>
    <row r="555">
      <c r="D555" s="25"/>
      <c r="E555" s="25"/>
      <c r="F555" s="25"/>
      <c r="G555" s="26"/>
      <c r="H555" s="4"/>
    </row>
    <row r="556">
      <c r="D556" s="25"/>
      <c r="E556" s="25"/>
      <c r="F556" s="25"/>
      <c r="G556" s="26"/>
      <c r="H556" s="4"/>
    </row>
    <row r="557">
      <c r="D557" s="25"/>
      <c r="E557" s="25"/>
      <c r="F557" s="25"/>
      <c r="G557" s="26"/>
      <c r="H557" s="4"/>
    </row>
    <row r="558">
      <c r="D558" s="25"/>
      <c r="E558" s="25"/>
      <c r="F558" s="25"/>
      <c r="G558" s="26"/>
      <c r="H558" s="4"/>
    </row>
    <row r="559">
      <c r="D559" s="25"/>
      <c r="E559" s="25"/>
      <c r="F559" s="25"/>
      <c r="G559" s="26"/>
      <c r="H559" s="4"/>
    </row>
    <row r="560">
      <c r="D560" s="25"/>
      <c r="E560" s="25"/>
      <c r="F560" s="25"/>
      <c r="G560" s="26"/>
      <c r="H560" s="4"/>
    </row>
    <row r="561">
      <c r="D561" s="25"/>
      <c r="E561" s="25"/>
      <c r="F561" s="25"/>
      <c r="G561" s="26"/>
      <c r="H561" s="4"/>
    </row>
    <row r="562">
      <c r="D562" s="25"/>
      <c r="E562" s="25"/>
      <c r="F562" s="25"/>
      <c r="G562" s="26"/>
      <c r="H562" s="4"/>
    </row>
    <row r="563">
      <c r="D563" s="25"/>
      <c r="E563" s="25"/>
      <c r="F563" s="25"/>
      <c r="G563" s="26"/>
      <c r="H563" s="4"/>
    </row>
    <row r="564">
      <c r="D564" s="25"/>
      <c r="E564" s="25"/>
      <c r="F564" s="25"/>
      <c r="G564" s="26"/>
      <c r="H564" s="4"/>
    </row>
    <row r="565">
      <c r="D565" s="25"/>
      <c r="E565" s="25"/>
      <c r="F565" s="25"/>
      <c r="G565" s="26"/>
      <c r="H565" s="4"/>
    </row>
    <row r="566">
      <c r="D566" s="25"/>
      <c r="E566" s="25"/>
      <c r="F566" s="25"/>
      <c r="G566" s="26"/>
      <c r="H566" s="4"/>
    </row>
    <row r="567">
      <c r="D567" s="25"/>
      <c r="E567" s="25"/>
      <c r="F567" s="25"/>
      <c r="G567" s="26"/>
      <c r="H567" s="4"/>
    </row>
    <row r="568">
      <c r="D568" s="25"/>
      <c r="E568" s="25"/>
      <c r="F568" s="25"/>
      <c r="G568" s="26"/>
      <c r="H568" s="4"/>
    </row>
    <row r="569">
      <c r="D569" s="25"/>
      <c r="E569" s="25"/>
      <c r="F569" s="25"/>
      <c r="G569" s="26"/>
      <c r="H569" s="4"/>
    </row>
    <row r="570">
      <c r="D570" s="25"/>
      <c r="E570" s="25"/>
      <c r="F570" s="25"/>
      <c r="G570" s="26"/>
      <c r="H570" s="4"/>
    </row>
    <row r="571">
      <c r="D571" s="25"/>
      <c r="E571" s="25"/>
      <c r="F571" s="25"/>
      <c r="G571" s="26"/>
      <c r="H571" s="4"/>
    </row>
    <row r="572">
      <c r="D572" s="25"/>
      <c r="E572" s="25"/>
      <c r="F572" s="25"/>
      <c r="G572" s="26"/>
      <c r="H572" s="4"/>
    </row>
    <row r="573">
      <c r="D573" s="25"/>
      <c r="E573" s="25"/>
      <c r="F573" s="25"/>
      <c r="G573" s="26"/>
      <c r="H573" s="4"/>
    </row>
    <row r="574">
      <c r="D574" s="25"/>
      <c r="E574" s="25"/>
      <c r="F574" s="25"/>
      <c r="G574" s="26"/>
      <c r="H574" s="4"/>
    </row>
    <row r="575">
      <c r="D575" s="25"/>
      <c r="E575" s="25"/>
      <c r="F575" s="25"/>
      <c r="G575" s="26"/>
      <c r="H575" s="4"/>
    </row>
    <row r="576">
      <c r="D576" s="25"/>
      <c r="E576" s="25"/>
      <c r="F576" s="25"/>
      <c r="G576" s="26"/>
      <c r="H576" s="4"/>
    </row>
    <row r="577">
      <c r="D577" s="25"/>
      <c r="E577" s="25"/>
      <c r="F577" s="25"/>
      <c r="G577" s="26"/>
      <c r="H577" s="4"/>
    </row>
    <row r="578">
      <c r="D578" s="25"/>
      <c r="E578" s="25"/>
      <c r="F578" s="25"/>
      <c r="G578" s="26"/>
      <c r="H578" s="4"/>
    </row>
    <row r="579">
      <c r="D579" s="25"/>
      <c r="E579" s="25"/>
      <c r="F579" s="25"/>
      <c r="G579" s="26"/>
      <c r="H579" s="4"/>
    </row>
    <row r="580">
      <c r="D580" s="25"/>
      <c r="E580" s="25"/>
      <c r="F580" s="25"/>
      <c r="G580" s="26"/>
      <c r="H580" s="4"/>
    </row>
    <row r="581">
      <c r="D581" s="25"/>
      <c r="E581" s="25"/>
      <c r="F581" s="25"/>
      <c r="G581" s="26"/>
      <c r="H581" s="4"/>
    </row>
    <row r="582">
      <c r="D582" s="25"/>
      <c r="E582" s="25"/>
      <c r="F582" s="25"/>
      <c r="G582" s="26"/>
      <c r="H582" s="4"/>
    </row>
    <row r="583">
      <c r="D583" s="25"/>
      <c r="E583" s="25"/>
      <c r="F583" s="25"/>
      <c r="G583" s="26"/>
      <c r="H583" s="4"/>
    </row>
    <row r="584">
      <c r="D584" s="25"/>
      <c r="E584" s="25"/>
      <c r="F584" s="25"/>
      <c r="G584" s="26"/>
      <c r="H584" s="4"/>
    </row>
    <row r="585">
      <c r="D585" s="25"/>
      <c r="E585" s="25"/>
      <c r="F585" s="25"/>
      <c r="G585" s="26"/>
      <c r="H585" s="4"/>
    </row>
    <row r="586">
      <c r="D586" s="25"/>
      <c r="E586" s="25"/>
      <c r="F586" s="25"/>
      <c r="G586" s="26"/>
      <c r="H586" s="4"/>
    </row>
    <row r="587">
      <c r="D587" s="25"/>
      <c r="E587" s="25"/>
      <c r="F587" s="25"/>
      <c r="G587" s="26"/>
      <c r="H587" s="4"/>
    </row>
    <row r="588">
      <c r="D588" s="25"/>
      <c r="E588" s="25"/>
      <c r="F588" s="25"/>
      <c r="G588" s="26"/>
      <c r="H588" s="4"/>
    </row>
    <row r="589">
      <c r="D589" s="25"/>
      <c r="E589" s="25"/>
      <c r="F589" s="25"/>
      <c r="G589" s="26"/>
      <c r="H589" s="4"/>
    </row>
    <row r="590">
      <c r="D590" s="25"/>
      <c r="E590" s="25"/>
      <c r="F590" s="25"/>
      <c r="G590" s="26"/>
      <c r="H590" s="4"/>
    </row>
    <row r="591">
      <c r="D591" s="25"/>
      <c r="E591" s="25"/>
      <c r="F591" s="25"/>
      <c r="G591" s="26"/>
      <c r="H591" s="4"/>
    </row>
    <row r="592">
      <c r="D592" s="25"/>
      <c r="E592" s="25"/>
      <c r="F592" s="25"/>
      <c r="G592" s="26"/>
      <c r="H592" s="4"/>
    </row>
    <row r="593">
      <c r="D593" s="25"/>
      <c r="E593" s="25"/>
      <c r="F593" s="25"/>
      <c r="G593" s="26"/>
      <c r="H593" s="4"/>
    </row>
    <row r="594">
      <c r="D594" s="25"/>
      <c r="E594" s="25"/>
      <c r="F594" s="25"/>
      <c r="G594" s="26"/>
      <c r="H594" s="4"/>
    </row>
    <row r="595">
      <c r="D595" s="25"/>
      <c r="E595" s="25"/>
      <c r="F595" s="25"/>
      <c r="G595" s="26"/>
      <c r="H595" s="4"/>
    </row>
    <row r="596">
      <c r="D596" s="25"/>
      <c r="E596" s="25"/>
      <c r="F596" s="25"/>
      <c r="G596" s="26"/>
      <c r="H596" s="4"/>
    </row>
    <row r="597">
      <c r="D597" s="25"/>
      <c r="E597" s="25"/>
      <c r="F597" s="25"/>
      <c r="G597" s="26"/>
      <c r="H597" s="4"/>
    </row>
    <row r="598">
      <c r="D598" s="25"/>
      <c r="E598" s="25"/>
      <c r="F598" s="25"/>
      <c r="G598" s="26"/>
      <c r="H598" s="4"/>
    </row>
    <row r="599">
      <c r="D599" s="25"/>
      <c r="E599" s="25"/>
      <c r="F599" s="25"/>
      <c r="G599" s="26"/>
      <c r="H599" s="4"/>
    </row>
    <row r="600">
      <c r="D600" s="25"/>
      <c r="E600" s="25"/>
      <c r="F600" s="25"/>
      <c r="G600" s="26"/>
      <c r="H600" s="4"/>
    </row>
    <row r="601">
      <c r="D601" s="25"/>
      <c r="E601" s="25"/>
      <c r="F601" s="25"/>
      <c r="G601" s="26"/>
      <c r="H601" s="4"/>
    </row>
    <row r="602">
      <c r="D602" s="25"/>
      <c r="E602" s="25"/>
      <c r="F602" s="25"/>
      <c r="G602" s="26"/>
      <c r="H602" s="4"/>
    </row>
    <row r="603">
      <c r="D603" s="25"/>
      <c r="E603" s="25"/>
      <c r="F603" s="25"/>
      <c r="G603" s="26"/>
      <c r="H603" s="4"/>
    </row>
    <row r="604">
      <c r="D604" s="25"/>
      <c r="E604" s="25"/>
      <c r="F604" s="25"/>
      <c r="G604" s="26"/>
      <c r="H604" s="4"/>
    </row>
    <row r="605">
      <c r="D605" s="25"/>
      <c r="E605" s="25"/>
      <c r="F605" s="25"/>
      <c r="G605" s="26"/>
      <c r="H605" s="4"/>
    </row>
    <row r="606">
      <c r="D606" s="25"/>
      <c r="E606" s="25"/>
      <c r="F606" s="25"/>
      <c r="G606" s="26"/>
      <c r="H606" s="4"/>
    </row>
    <row r="607">
      <c r="D607" s="25"/>
      <c r="E607" s="25"/>
      <c r="F607" s="25"/>
      <c r="G607" s="26"/>
      <c r="H607" s="4"/>
    </row>
    <row r="608">
      <c r="D608" s="25"/>
      <c r="E608" s="25"/>
      <c r="F608" s="25"/>
      <c r="G608" s="26"/>
      <c r="H608" s="4"/>
    </row>
    <row r="609">
      <c r="D609" s="25"/>
      <c r="E609" s="25"/>
      <c r="F609" s="25"/>
      <c r="G609" s="26"/>
      <c r="H609" s="4"/>
    </row>
    <row r="610">
      <c r="D610" s="25"/>
      <c r="E610" s="25"/>
      <c r="F610" s="25"/>
      <c r="G610" s="26"/>
      <c r="H610" s="4"/>
    </row>
    <row r="611">
      <c r="D611" s="25"/>
      <c r="E611" s="25"/>
      <c r="F611" s="25"/>
      <c r="G611" s="26"/>
      <c r="H611" s="4"/>
    </row>
    <row r="612">
      <c r="D612" s="25"/>
      <c r="E612" s="25"/>
      <c r="F612" s="25"/>
      <c r="G612" s="26"/>
      <c r="H612" s="4"/>
    </row>
    <row r="613">
      <c r="D613" s="25"/>
      <c r="E613" s="25"/>
      <c r="F613" s="25"/>
      <c r="G613" s="26"/>
      <c r="H613" s="4"/>
    </row>
    <row r="614">
      <c r="D614" s="25"/>
      <c r="E614" s="25"/>
      <c r="F614" s="25"/>
      <c r="G614" s="26"/>
      <c r="H614" s="4"/>
    </row>
    <row r="615">
      <c r="D615" s="25"/>
      <c r="E615" s="25"/>
      <c r="F615" s="25"/>
      <c r="G615" s="26"/>
      <c r="H615" s="4"/>
    </row>
    <row r="616">
      <c r="D616" s="25"/>
      <c r="E616" s="25"/>
      <c r="F616" s="25"/>
      <c r="G616" s="26"/>
      <c r="H616" s="4"/>
    </row>
    <row r="617">
      <c r="D617" s="25"/>
      <c r="E617" s="25"/>
      <c r="F617" s="25"/>
      <c r="G617" s="26"/>
      <c r="H617" s="4"/>
    </row>
    <row r="618">
      <c r="D618" s="25"/>
      <c r="E618" s="25"/>
      <c r="F618" s="25"/>
      <c r="G618" s="26"/>
      <c r="H618" s="4"/>
    </row>
    <row r="619">
      <c r="D619" s="25"/>
      <c r="E619" s="25"/>
      <c r="F619" s="25"/>
      <c r="G619" s="26"/>
      <c r="H619" s="4"/>
    </row>
    <row r="620">
      <c r="D620" s="25"/>
      <c r="E620" s="25"/>
      <c r="F620" s="25"/>
      <c r="G620" s="26"/>
      <c r="H620" s="4"/>
    </row>
    <row r="621">
      <c r="D621" s="25"/>
      <c r="E621" s="25"/>
      <c r="F621" s="25"/>
      <c r="G621" s="26"/>
      <c r="H621" s="4"/>
    </row>
    <row r="622">
      <c r="D622" s="25"/>
      <c r="E622" s="25"/>
      <c r="F622" s="25"/>
      <c r="G622" s="26"/>
      <c r="H622" s="4"/>
    </row>
    <row r="623">
      <c r="D623" s="25"/>
      <c r="E623" s="25"/>
      <c r="F623" s="25"/>
      <c r="G623" s="26"/>
      <c r="H623" s="4"/>
    </row>
    <row r="624">
      <c r="D624" s="25"/>
      <c r="E624" s="25"/>
      <c r="F624" s="25"/>
      <c r="G624" s="26"/>
      <c r="H624" s="4"/>
    </row>
    <row r="625">
      <c r="D625" s="25"/>
      <c r="E625" s="25"/>
      <c r="F625" s="25"/>
      <c r="G625" s="26"/>
      <c r="H625" s="4"/>
    </row>
    <row r="626">
      <c r="D626" s="25"/>
      <c r="E626" s="25"/>
      <c r="F626" s="25"/>
      <c r="G626" s="26"/>
      <c r="H626" s="4"/>
    </row>
    <row r="627">
      <c r="D627" s="25"/>
      <c r="E627" s="25"/>
      <c r="F627" s="25"/>
      <c r="G627" s="26"/>
      <c r="H627" s="4"/>
    </row>
    <row r="628">
      <c r="D628" s="25"/>
      <c r="E628" s="25"/>
      <c r="F628" s="25"/>
      <c r="G628" s="26"/>
      <c r="H628" s="4"/>
    </row>
    <row r="629">
      <c r="D629" s="25"/>
      <c r="E629" s="25"/>
      <c r="F629" s="25"/>
      <c r="G629" s="26"/>
      <c r="H629" s="4"/>
    </row>
    <row r="630">
      <c r="D630" s="25"/>
      <c r="E630" s="25"/>
      <c r="F630" s="25"/>
      <c r="G630" s="26"/>
      <c r="H630" s="4"/>
    </row>
    <row r="631">
      <c r="D631" s="25"/>
      <c r="E631" s="25"/>
      <c r="F631" s="25"/>
      <c r="G631" s="26"/>
      <c r="H631" s="4"/>
    </row>
    <row r="632">
      <c r="D632" s="25"/>
      <c r="E632" s="25"/>
      <c r="F632" s="25"/>
      <c r="G632" s="26"/>
      <c r="H632" s="4"/>
    </row>
    <row r="633">
      <c r="D633" s="25"/>
      <c r="E633" s="25"/>
      <c r="F633" s="25"/>
      <c r="G633" s="26"/>
      <c r="H633" s="4"/>
    </row>
    <row r="634">
      <c r="D634" s="25"/>
      <c r="E634" s="25"/>
      <c r="F634" s="25"/>
      <c r="G634" s="26"/>
      <c r="H634" s="4"/>
    </row>
    <row r="635">
      <c r="D635" s="25"/>
      <c r="E635" s="25"/>
      <c r="F635" s="25"/>
      <c r="G635" s="26"/>
      <c r="H635" s="4"/>
    </row>
    <row r="636">
      <c r="D636" s="25"/>
      <c r="E636" s="25"/>
      <c r="F636" s="25"/>
      <c r="G636" s="26"/>
      <c r="H636" s="4"/>
    </row>
    <row r="637">
      <c r="D637" s="25"/>
      <c r="E637" s="25"/>
      <c r="F637" s="25"/>
      <c r="G637" s="26"/>
      <c r="H637" s="4"/>
    </row>
    <row r="638">
      <c r="D638" s="25"/>
      <c r="E638" s="25"/>
      <c r="F638" s="25"/>
      <c r="G638" s="26"/>
      <c r="H638" s="4"/>
    </row>
    <row r="639">
      <c r="D639" s="25"/>
      <c r="E639" s="25"/>
      <c r="F639" s="25"/>
      <c r="G639" s="26"/>
      <c r="H639" s="4"/>
    </row>
    <row r="640">
      <c r="D640" s="25"/>
      <c r="E640" s="25"/>
      <c r="F640" s="25"/>
      <c r="G640" s="26"/>
      <c r="H640" s="4"/>
    </row>
    <row r="641">
      <c r="D641" s="25"/>
      <c r="E641" s="25"/>
      <c r="F641" s="25"/>
      <c r="G641" s="26"/>
      <c r="H641" s="4"/>
    </row>
    <row r="642">
      <c r="D642" s="25"/>
      <c r="E642" s="25"/>
      <c r="F642" s="25"/>
      <c r="G642" s="26"/>
      <c r="H642" s="4"/>
    </row>
    <row r="643">
      <c r="D643" s="25"/>
      <c r="E643" s="25"/>
      <c r="F643" s="25"/>
      <c r="G643" s="26"/>
      <c r="H643" s="4"/>
    </row>
    <row r="644">
      <c r="D644" s="25"/>
      <c r="E644" s="25"/>
      <c r="F644" s="25"/>
      <c r="G644" s="26"/>
      <c r="H644" s="4"/>
    </row>
    <row r="645">
      <c r="D645" s="25"/>
      <c r="E645" s="25"/>
      <c r="F645" s="25"/>
      <c r="G645" s="26"/>
      <c r="H645" s="4"/>
    </row>
    <row r="646">
      <c r="D646" s="25"/>
      <c r="E646" s="25"/>
      <c r="F646" s="25"/>
      <c r="G646" s="26"/>
      <c r="H646" s="4"/>
    </row>
    <row r="647">
      <c r="D647" s="25"/>
      <c r="E647" s="25"/>
      <c r="F647" s="25"/>
      <c r="G647" s="26"/>
      <c r="H647" s="4"/>
    </row>
    <row r="648">
      <c r="D648" s="25"/>
      <c r="E648" s="25"/>
      <c r="F648" s="25"/>
      <c r="G648" s="26"/>
      <c r="H648" s="4"/>
    </row>
    <row r="649">
      <c r="D649" s="25"/>
      <c r="E649" s="25"/>
      <c r="F649" s="25"/>
      <c r="G649" s="26"/>
      <c r="H649" s="4"/>
    </row>
    <row r="650">
      <c r="D650" s="25"/>
      <c r="E650" s="25"/>
      <c r="F650" s="25"/>
      <c r="G650" s="26"/>
      <c r="H650" s="4"/>
    </row>
    <row r="651">
      <c r="D651" s="25"/>
      <c r="E651" s="25"/>
      <c r="F651" s="25"/>
      <c r="G651" s="26"/>
      <c r="H651" s="4"/>
    </row>
    <row r="652">
      <c r="D652" s="25"/>
      <c r="E652" s="25"/>
      <c r="F652" s="25"/>
      <c r="G652" s="26"/>
      <c r="H652" s="4"/>
    </row>
    <row r="653">
      <c r="D653" s="25"/>
      <c r="E653" s="25"/>
      <c r="F653" s="25"/>
      <c r="G653" s="26"/>
      <c r="H653" s="4"/>
    </row>
    <row r="654">
      <c r="D654" s="25"/>
      <c r="E654" s="25"/>
      <c r="F654" s="25"/>
      <c r="G654" s="26"/>
      <c r="H654" s="4"/>
    </row>
    <row r="655">
      <c r="D655" s="25"/>
      <c r="E655" s="25"/>
      <c r="F655" s="25"/>
      <c r="G655" s="26"/>
      <c r="H655" s="4"/>
    </row>
    <row r="656">
      <c r="D656" s="25"/>
      <c r="E656" s="25"/>
      <c r="F656" s="25"/>
      <c r="G656" s="26"/>
      <c r="H656" s="4"/>
    </row>
    <row r="657">
      <c r="D657" s="25"/>
      <c r="E657" s="25"/>
      <c r="F657" s="25"/>
      <c r="G657" s="26"/>
      <c r="H657" s="4"/>
    </row>
    <row r="658">
      <c r="D658" s="25"/>
      <c r="E658" s="25"/>
      <c r="F658" s="25"/>
      <c r="G658" s="26"/>
      <c r="H658" s="4"/>
    </row>
    <row r="659">
      <c r="D659" s="25"/>
      <c r="E659" s="25"/>
      <c r="F659" s="25"/>
      <c r="G659" s="26"/>
      <c r="H659" s="4"/>
    </row>
    <row r="660">
      <c r="D660" s="25"/>
      <c r="E660" s="25"/>
      <c r="F660" s="25"/>
      <c r="G660" s="26"/>
      <c r="H660" s="4"/>
    </row>
    <row r="661">
      <c r="D661" s="25"/>
      <c r="E661" s="25"/>
      <c r="F661" s="25"/>
      <c r="G661" s="26"/>
      <c r="H661" s="4"/>
    </row>
    <row r="662">
      <c r="D662" s="25"/>
      <c r="E662" s="25"/>
      <c r="F662" s="25"/>
      <c r="G662" s="26"/>
      <c r="H662" s="4"/>
    </row>
    <row r="663">
      <c r="D663" s="25"/>
      <c r="E663" s="25"/>
      <c r="F663" s="25"/>
      <c r="G663" s="26"/>
      <c r="H663" s="4"/>
    </row>
    <row r="664">
      <c r="D664" s="25"/>
      <c r="E664" s="25"/>
      <c r="F664" s="25"/>
      <c r="G664" s="26"/>
      <c r="H664" s="4"/>
    </row>
    <row r="665">
      <c r="D665" s="25"/>
      <c r="E665" s="25"/>
      <c r="F665" s="25"/>
      <c r="G665" s="26"/>
      <c r="H665" s="4"/>
    </row>
    <row r="666">
      <c r="D666" s="25"/>
      <c r="E666" s="25"/>
      <c r="F666" s="25"/>
      <c r="G666" s="26"/>
      <c r="H666" s="4"/>
    </row>
    <row r="667">
      <c r="D667" s="25"/>
      <c r="E667" s="25"/>
      <c r="F667" s="25"/>
      <c r="G667" s="26"/>
      <c r="H667" s="4"/>
    </row>
    <row r="668">
      <c r="D668" s="25"/>
      <c r="E668" s="25"/>
      <c r="F668" s="25"/>
      <c r="G668" s="26"/>
      <c r="H668" s="4"/>
    </row>
    <row r="669">
      <c r="D669" s="25"/>
      <c r="E669" s="25"/>
      <c r="F669" s="25"/>
      <c r="G669" s="26"/>
      <c r="H669" s="4"/>
    </row>
    <row r="670">
      <c r="D670" s="25"/>
      <c r="E670" s="25"/>
      <c r="F670" s="25"/>
      <c r="G670" s="26"/>
      <c r="H670" s="4"/>
    </row>
    <row r="671">
      <c r="D671" s="25"/>
      <c r="E671" s="25"/>
      <c r="F671" s="25"/>
      <c r="G671" s="26"/>
      <c r="H671" s="4"/>
    </row>
    <row r="672">
      <c r="D672" s="25"/>
      <c r="E672" s="25"/>
      <c r="F672" s="25"/>
      <c r="G672" s="26"/>
      <c r="H672" s="4"/>
    </row>
    <row r="673">
      <c r="D673" s="25"/>
      <c r="E673" s="25"/>
      <c r="F673" s="25"/>
      <c r="G673" s="26"/>
      <c r="H673" s="4"/>
    </row>
    <row r="674">
      <c r="D674" s="25"/>
      <c r="E674" s="25"/>
      <c r="F674" s="25"/>
      <c r="G674" s="26"/>
      <c r="H674" s="4"/>
    </row>
    <row r="675">
      <c r="D675" s="25"/>
      <c r="E675" s="25"/>
      <c r="F675" s="25"/>
      <c r="G675" s="26"/>
      <c r="H675" s="4"/>
    </row>
    <row r="676">
      <c r="D676" s="25"/>
      <c r="E676" s="25"/>
      <c r="F676" s="25"/>
      <c r="G676" s="26"/>
      <c r="H676" s="4"/>
    </row>
    <row r="677">
      <c r="D677" s="25"/>
      <c r="E677" s="25"/>
      <c r="F677" s="25"/>
      <c r="G677" s="26"/>
      <c r="H677" s="4"/>
    </row>
    <row r="678">
      <c r="D678" s="25"/>
      <c r="E678" s="25"/>
      <c r="F678" s="25"/>
      <c r="G678" s="26"/>
      <c r="H678" s="4"/>
    </row>
    <row r="679">
      <c r="D679" s="25"/>
      <c r="E679" s="25"/>
      <c r="F679" s="25"/>
      <c r="G679" s="26"/>
      <c r="H679" s="4"/>
    </row>
    <row r="680">
      <c r="D680" s="25"/>
      <c r="E680" s="25"/>
      <c r="F680" s="25"/>
      <c r="G680" s="26"/>
      <c r="H680" s="4"/>
    </row>
    <row r="681">
      <c r="D681" s="25"/>
      <c r="E681" s="25"/>
      <c r="F681" s="25"/>
      <c r="G681" s="26"/>
      <c r="H681" s="4"/>
    </row>
    <row r="682">
      <c r="D682" s="25"/>
      <c r="E682" s="25"/>
      <c r="F682" s="25"/>
      <c r="G682" s="26"/>
      <c r="H682" s="4"/>
    </row>
    <row r="683">
      <c r="D683" s="25"/>
      <c r="E683" s="25"/>
      <c r="F683" s="25"/>
      <c r="G683" s="26"/>
      <c r="H683" s="4"/>
    </row>
    <row r="684">
      <c r="D684" s="25"/>
      <c r="E684" s="25"/>
      <c r="F684" s="25"/>
      <c r="G684" s="26"/>
      <c r="H684" s="4"/>
    </row>
    <row r="685">
      <c r="D685" s="25"/>
      <c r="E685" s="25"/>
      <c r="F685" s="25"/>
      <c r="G685" s="26"/>
      <c r="H685" s="4"/>
    </row>
    <row r="686">
      <c r="D686" s="25"/>
      <c r="E686" s="25"/>
      <c r="F686" s="25"/>
      <c r="G686" s="26"/>
      <c r="H686" s="4"/>
    </row>
    <row r="687">
      <c r="D687" s="25"/>
      <c r="E687" s="25"/>
      <c r="F687" s="25"/>
      <c r="G687" s="26"/>
      <c r="H687" s="4"/>
    </row>
    <row r="688">
      <c r="D688" s="25"/>
      <c r="E688" s="25"/>
      <c r="F688" s="25"/>
      <c r="G688" s="26"/>
      <c r="H688" s="4"/>
    </row>
    <row r="689">
      <c r="D689" s="25"/>
      <c r="E689" s="25"/>
      <c r="F689" s="25"/>
      <c r="G689" s="26"/>
      <c r="H689" s="4"/>
    </row>
    <row r="690">
      <c r="D690" s="25"/>
      <c r="E690" s="25"/>
      <c r="F690" s="25"/>
      <c r="G690" s="26"/>
      <c r="H690" s="4"/>
    </row>
    <row r="691">
      <c r="D691" s="25"/>
      <c r="E691" s="25"/>
      <c r="F691" s="25"/>
      <c r="G691" s="26"/>
      <c r="H691" s="4"/>
    </row>
    <row r="692">
      <c r="D692" s="25"/>
      <c r="E692" s="25"/>
      <c r="F692" s="25"/>
      <c r="G692" s="26"/>
      <c r="H692" s="4"/>
    </row>
    <row r="693">
      <c r="D693" s="25"/>
      <c r="E693" s="25"/>
      <c r="F693" s="25"/>
      <c r="G693" s="26"/>
      <c r="H693" s="4"/>
    </row>
    <row r="694">
      <c r="D694" s="25"/>
      <c r="E694" s="25"/>
      <c r="F694" s="25"/>
      <c r="G694" s="26"/>
      <c r="H694" s="4"/>
    </row>
    <row r="695">
      <c r="D695" s="25"/>
      <c r="E695" s="25"/>
      <c r="F695" s="25"/>
      <c r="G695" s="26"/>
      <c r="H695" s="4"/>
    </row>
    <row r="696">
      <c r="D696" s="25"/>
      <c r="E696" s="25"/>
      <c r="F696" s="25"/>
      <c r="G696" s="26"/>
      <c r="H696" s="4"/>
    </row>
    <row r="697">
      <c r="D697" s="25"/>
      <c r="E697" s="25"/>
      <c r="F697" s="25"/>
      <c r="G697" s="26"/>
      <c r="H697" s="4"/>
    </row>
    <row r="698">
      <c r="D698" s="25"/>
      <c r="E698" s="25"/>
      <c r="F698" s="25"/>
      <c r="G698" s="26"/>
      <c r="H698" s="4"/>
    </row>
    <row r="699">
      <c r="D699" s="25"/>
      <c r="E699" s="25"/>
      <c r="F699" s="25"/>
      <c r="G699" s="26"/>
      <c r="H699" s="4"/>
    </row>
    <row r="700">
      <c r="D700" s="25"/>
      <c r="E700" s="25"/>
      <c r="F700" s="25"/>
      <c r="G700" s="26"/>
      <c r="H700" s="4"/>
    </row>
    <row r="701">
      <c r="D701" s="25"/>
      <c r="E701" s="25"/>
      <c r="F701" s="25"/>
      <c r="G701" s="26"/>
      <c r="H701" s="4"/>
    </row>
    <row r="702">
      <c r="D702" s="25"/>
      <c r="E702" s="25"/>
      <c r="F702" s="25"/>
      <c r="G702" s="26"/>
      <c r="H702" s="4"/>
    </row>
    <row r="703">
      <c r="D703" s="25"/>
      <c r="E703" s="25"/>
      <c r="F703" s="25"/>
      <c r="G703" s="26"/>
      <c r="H703" s="4"/>
    </row>
    <row r="704">
      <c r="D704" s="25"/>
      <c r="E704" s="25"/>
      <c r="F704" s="25"/>
      <c r="G704" s="26"/>
      <c r="H704" s="4"/>
    </row>
    <row r="705">
      <c r="D705" s="25"/>
      <c r="E705" s="25"/>
      <c r="F705" s="25"/>
      <c r="G705" s="26"/>
      <c r="H705" s="4"/>
    </row>
    <row r="706">
      <c r="D706" s="25"/>
      <c r="E706" s="25"/>
      <c r="F706" s="25"/>
      <c r="G706" s="26"/>
      <c r="H706" s="4"/>
    </row>
    <row r="707">
      <c r="D707" s="25"/>
      <c r="E707" s="25"/>
      <c r="F707" s="25"/>
      <c r="G707" s="26"/>
      <c r="H707" s="4"/>
    </row>
    <row r="708">
      <c r="D708" s="25"/>
      <c r="E708" s="25"/>
      <c r="F708" s="25"/>
      <c r="G708" s="26"/>
      <c r="H708" s="4"/>
    </row>
    <row r="709">
      <c r="D709" s="25"/>
      <c r="E709" s="25"/>
      <c r="F709" s="25"/>
      <c r="G709" s="26"/>
      <c r="H709" s="4"/>
    </row>
    <row r="710">
      <c r="D710" s="25"/>
      <c r="E710" s="25"/>
      <c r="F710" s="25"/>
      <c r="G710" s="26"/>
      <c r="H710" s="4"/>
    </row>
    <row r="711">
      <c r="D711" s="25"/>
      <c r="E711" s="25"/>
      <c r="F711" s="25"/>
      <c r="G711" s="26"/>
      <c r="H711" s="4"/>
    </row>
    <row r="712">
      <c r="D712" s="25"/>
      <c r="E712" s="25"/>
      <c r="F712" s="25"/>
      <c r="G712" s="26"/>
      <c r="H712" s="4"/>
    </row>
    <row r="713">
      <c r="D713" s="25"/>
      <c r="E713" s="25"/>
      <c r="F713" s="25"/>
      <c r="G713" s="26"/>
      <c r="H713" s="4"/>
    </row>
    <row r="714">
      <c r="D714" s="25"/>
      <c r="E714" s="25"/>
      <c r="F714" s="25"/>
      <c r="G714" s="26"/>
      <c r="H714" s="4"/>
    </row>
    <row r="715">
      <c r="D715" s="25"/>
      <c r="E715" s="25"/>
      <c r="F715" s="25"/>
      <c r="G715" s="26"/>
      <c r="H715" s="4"/>
    </row>
    <row r="716">
      <c r="D716" s="25"/>
      <c r="E716" s="25"/>
      <c r="F716" s="25"/>
      <c r="G716" s="26"/>
      <c r="H716" s="4"/>
    </row>
    <row r="717">
      <c r="D717" s="25"/>
      <c r="E717" s="25"/>
      <c r="F717" s="25"/>
      <c r="G717" s="26"/>
      <c r="H717" s="4"/>
    </row>
    <row r="718">
      <c r="D718" s="25"/>
      <c r="E718" s="25"/>
      <c r="F718" s="25"/>
      <c r="G718" s="26"/>
      <c r="H718" s="4"/>
    </row>
    <row r="719">
      <c r="D719" s="25"/>
      <c r="E719" s="25"/>
      <c r="F719" s="25"/>
      <c r="G719" s="26"/>
      <c r="H719" s="4"/>
    </row>
    <row r="720">
      <c r="D720" s="25"/>
      <c r="E720" s="25"/>
      <c r="F720" s="25"/>
      <c r="G720" s="26"/>
      <c r="H720" s="4"/>
    </row>
    <row r="721">
      <c r="D721" s="25"/>
      <c r="E721" s="25"/>
      <c r="F721" s="25"/>
      <c r="G721" s="26"/>
      <c r="H721" s="4"/>
    </row>
    <row r="722">
      <c r="D722" s="25"/>
      <c r="E722" s="25"/>
      <c r="F722" s="25"/>
      <c r="G722" s="26"/>
      <c r="H722" s="4"/>
    </row>
    <row r="723">
      <c r="D723" s="25"/>
      <c r="E723" s="25"/>
      <c r="F723" s="25"/>
      <c r="G723" s="26"/>
      <c r="H723" s="4"/>
    </row>
    <row r="724">
      <c r="D724" s="25"/>
      <c r="E724" s="25"/>
      <c r="F724" s="25"/>
      <c r="G724" s="26"/>
      <c r="H724" s="4"/>
    </row>
    <row r="725">
      <c r="D725" s="25"/>
      <c r="E725" s="25"/>
      <c r="F725" s="25"/>
      <c r="G725" s="26"/>
      <c r="H725" s="4"/>
    </row>
    <row r="726">
      <c r="D726" s="25"/>
      <c r="E726" s="25"/>
      <c r="F726" s="25"/>
      <c r="G726" s="26"/>
      <c r="H726" s="4"/>
    </row>
    <row r="727">
      <c r="D727" s="25"/>
      <c r="E727" s="25"/>
      <c r="F727" s="25"/>
      <c r="G727" s="26"/>
      <c r="H727" s="4"/>
    </row>
    <row r="728">
      <c r="D728" s="25"/>
      <c r="E728" s="25"/>
      <c r="F728" s="25"/>
      <c r="G728" s="26"/>
      <c r="H728" s="4"/>
    </row>
    <row r="729">
      <c r="D729" s="25"/>
      <c r="E729" s="25"/>
      <c r="F729" s="25"/>
      <c r="G729" s="26"/>
      <c r="H729" s="4"/>
    </row>
    <row r="730">
      <c r="D730" s="25"/>
      <c r="E730" s="25"/>
      <c r="F730" s="25"/>
      <c r="G730" s="26"/>
      <c r="H730" s="4"/>
    </row>
    <row r="731">
      <c r="D731" s="25"/>
      <c r="E731" s="25"/>
      <c r="F731" s="25"/>
      <c r="G731" s="26"/>
      <c r="H731" s="4"/>
    </row>
    <row r="732">
      <c r="D732" s="25"/>
      <c r="E732" s="25"/>
      <c r="F732" s="25"/>
      <c r="G732" s="26"/>
      <c r="H732" s="4"/>
    </row>
    <row r="733">
      <c r="D733" s="25"/>
      <c r="E733" s="25"/>
      <c r="F733" s="25"/>
      <c r="G733" s="26"/>
      <c r="H733" s="4"/>
    </row>
    <row r="734">
      <c r="D734" s="25"/>
      <c r="E734" s="25"/>
      <c r="F734" s="25"/>
      <c r="G734" s="26"/>
      <c r="H734" s="4"/>
    </row>
    <row r="735">
      <c r="D735" s="25"/>
      <c r="E735" s="25"/>
      <c r="F735" s="25"/>
      <c r="G735" s="26"/>
      <c r="H735" s="4"/>
    </row>
    <row r="736">
      <c r="D736" s="25"/>
      <c r="E736" s="25"/>
      <c r="F736" s="25"/>
      <c r="G736" s="26"/>
      <c r="H736" s="4"/>
    </row>
    <row r="737">
      <c r="D737" s="25"/>
      <c r="E737" s="25"/>
      <c r="F737" s="25"/>
      <c r="G737" s="26"/>
      <c r="H737" s="4"/>
    </row>
    <row r="738">
      <c r="D738" s="25"/>
      <c r="E738" s="25"/>
      <c r="F738" s="25"/>
      <c r="G738" s="26"/>
      <c r="H738" s="4"/>
    </row>
    <row r="739">
      <c r="D739" s="25"/>
      <c r="E739" s="25"/>
      <c r="F739" s="25"/>
      <c r="G739" s="26"/>
      <c r="H739" s="4"/>
    </row>
    <row r="740">
      <c r="D740" s="25"/>
      <c r="E740" s="25"/>
      <c r="F740" s="25"/>
      <c r="G740" s="26"/>
      <c r="H740" s="4"/>
    </row>
    <row r="741">
      <c r="D741" s="25"/>
      <c r="E741" s="25"/>
      <c r="F741" s="25"/>
      <c r="G741" s="26"/>
      <c r="H741" s="4"/>
    </row>
    <row r="742">
      <c r="D742" s="25"/>
      <c r="E742" s="25"/>
      <c r="F742" s="25"/>
      <c r="G742" s="26"/>
      <c r="H742" s="4"/>
    </row>
    <row r="743">
      <c r="D743" s="25"/>
      <c r="E743" s="25"/>
      <c r="F743" s="25"/>
      <c r="G743" s="26"/>
      <c r="H743" s="4"/>
    </row>
    <row r="744">
      <c r="D744" s="25"/>
      <c r="E744" s="25"/>
      <c r="F744" s="25"/>
      <c r="G744" s="26"/>
      <c r="H744" s="4"/>
    </row>
    <row r="745">
      <c r="D745" s="25"/>
      <c r="E745" s="25"/>
      <c r="F745" s="25"/>
      <c r="G745" s="26"/>
      <c r="H745" s="4"/>
    </row>
    <row r="746">
      <c r="D746" s="25"/>
      <c r="E746" s="25"/>
      <c r="F746" s="25"/>
      <c r="G746" s="26"/>
      <c r="H746" s="4"/>
    </row>
    <row r="747">
      <c r="D747" s="25"/>
      <c r="E747" s="25"/>
      <c r="F747" s="25"/>
      <c r="G747" s="26"/>
      <c r="H747" s="4"/>
    </row>
    <row r="748">
      <c r="D748" s="25"/>
      <c r="E748" s="25"/>
      <c r="F748" s="25"/>
      <c r="G748" s="26"/>
      <c r="H748" s="4"/>
    </row>
    <row r="749">
      <c r="D749" s="25"/>
      <c r="E749" s="25"/>
      <c r="F749" s="25"/>
      <c r="G749" s="26"/>
      <c r="H749" s="4"/>
    </row>
    <row r="750">
      <c r="D750" s="25"/>
      <c r="E750" s="25"/>
      <c r="F750" s="25"/>
      <c r="G750" s="26"/>
      <c r="H750" s="4"/>
    </row>
    <row r="751">
      <c r="D751" s="25"/>
      <c r="E751" s="25"/>
      <c r="F751" s="25"/>
      <c r="G751" s="26"/>
      <c r="H751" s="4"/>
    </row>
    <row r="752">
      <c r="D752" s="25"/>
      <c r="E752" s="25"/>
      <c r="F752" s="25"/>
      <c r="G752" s="26"/>
      <c r="H752" s="4"/>
    </row>
    <row r="753">
      <c r="D753" s="25"/>
      <c r="E753" s="25"/>
      <c r="F753" s="25"/>
      <c r="G753" s="26"/>
      <c r="H753" s="4"/>
    </row>
    <row r="754">
      <c r="D754" s="25"/>
      <c r="E754" s="25"/>
      <c r="F754" s="25"/>
      <c r="G754" s="26"/>
      <c r="H754" s="4"/>
    </row>
    <row r="755">
      <c r="D755" s="25"/>
      <c r="E755" s="25"/>
      <c r="F755" s="25"/>
      <c r="G755" s="26"/>
      <c r="H755" s="4"/>
    </row>
    <row r="756">
      <c r="D756" s="25"/>
      <c r="E756" s="25"/>
      <c r="F756" s="25"/>
      <c r="G756" s="26"/>
      <c r="H756" s="4"/>
    </row>
    <row r="757">
      <c r="D757" s="25"/>
      <c r="E757" s="25"/>
      <c r="F757" s="25"/>
      <c r="G757" s="26"/>
      <c r="H757" s="4"/>
    </row>
    <row r="758">
      <c r="D758" s="25"/>
      <c r="E758" s="25"/>
      <c r="F758" s="25"/>
      <c r="G758" s="26"/>
      <c r="H758" s="4"/>
    </row>
    <row r="759">
      <c r="D759" s="25"/>
      <c r="E759" s="25"/>
      <c r="F759" s="25"/>
      <c r="G759" s="26"/>
      <c r="H759" s="4"/>
    </row>
    <row r="760">
      <c r="D760" s="25"/>
      <c r="E760" s="25"/>
      <c r="F760" s="25"/>
      <c r="G760" s="26"/>
      <c r="H760" s="4"/>
    </row>
    <row r="761">
      <c r="D761" s="25"/>
      <c r="E761" s="25"/>
      <c r="F761" s="25"/>
      <c r="G761" s="26"/>
      <c r="H761" s="4"/>
    </row>
    <row r="762">
      <c r="D762" s="25"/>
      <c r="E762" s="25"/>
      <c r="F762" s="25"/>
      <c r="G762" s="26"/>
      <c r="H762" s="4"/>
    </row>
    <row r="763">
      <c r="D763" s="25"/>
      <c r="E763" s="25"/>
      <c r="F763" s="25"/>
      <c r="G763" s="26"/>
      <c r="H763" s="4"/>
    </row>
    <row r="764">
      <c r="D764" s="25"/>
      <c r="E764" s="25"/>
      <c r="F764" s="25"/>
      <c r="G764" s="26"/>
      <c r="H764" s="4"/>
    </row>
    <row r="765">
      <c r="D765" s="25"/>
      <c r="E765" s="25"/>
      <c r="F765" s="25"/>
      <c r="G765" s="26"/>
      <c r="H765" s="4"/>
    </row>
    <row r="766">
      <c r="D766" s="25"/>
      <c r="E766" s="25"/>
      <c r="F766" s="25"/>
      <c r="G766" s="26"/>
      <c r="H766" s="4"/>
    </row>
    <row r="767">
      <c r="D767" s="25"/>
      <c r="E767" s="25"/>
      <c r="F767" s="25"/>
      <c r="G767" s="26"/>
      <c r="H767" s="4"/>
    </row>
    <row r="768">
      <c r="D768" s="25"/>
      <c r="E768" s="25"/>
      <c r="F768" s="25"/>
      <c r="G768" s="26"/>
      <c r="H768" s="4"/>
    </row>
    <row r="769">
      <c r="D769" s="25"/>
      <c r="E769" s="25"/>
      <c r="F769" s="25"/>
      <c r="G769" s="26"/>
      <c r="H769" s="4"/>
    </row>
    <row r="770">
      <c r="D770" s="25"/>
      <c r="E770" s="25"/>
      <c r="F770" s="25"/>
      <c r="G770" s="26"/>
      <c r="H770" s="4"/>
    </row>
    <row r="771">
      <c r="D771" s="25"/>
      <c r="E771" s="25"/>
      <c r="F771" s="25"/>
      <c r="G771" s="26"/>
      <c r="H771" s="4"/>
    </row>
    <row r="772">
      <c r="D772" s="25"/>
      <c r="E772" s="25"/>
      <c r="F772" s="25"/>
      <c r="G772" s="26"/>
      <c r="H772" s="4"/>
    </row>
    <row r="773">
      <c r="D773" s="25"/>
      <c r="E773" s="25"/>
      <c r="F773" s="25"/>
      <c r="G773" s="26"/>
      <c r="H773" s="4"/>
    </row>
    <row r="774">
      <c r="D774" s="25"/>
      <c r="E774" s="25"/>
      <c r="F774" s="25"/>
      <c r="G774" s="26"/>
      <c r="H774" s="4"/>
    </row>
    <row r="775">
      <c r="D775" s="25"/>
      <c r="E775" s="25"/>
      <c r="F775" s="25"/>
      <c r="G775" s="26"/>
      <c r="H775" s="4"/>
    </row>
    <row r="776">
      <c r="D776" s="25"/>
      <c r="E776" s="25"/>
      <c r="F776" s="25"/>
      <c r="G776" s="26"/>
      <c r="H776" s="4"/>
    </row>
    <row r="777">
      <c r="D777" s="25"/>
      <c r="E777" s="25"/>
      <c r="F777" s="25"/>
      <c r="G777" s="26"/>
      <c r="H777" s="4"/>
    </row>
    <row r="778">
      <c r="D778" s="25"/>
      <c r="E778" s="25"/>
      <c r="F778" s="25"/>
      <c r="G778" s="26"/>
      <c r="H778" s="4"/>
    </row>
    <row r="779">
      <c r="D779" s="25"/>
      <c r="E779" s="25"/>
      <c r="F779" s="25"/>
      <c r="G779" s="26"/>
      <c r="H779" s="4"/>
    </row>
    <row r="780">
      <c r="D780" s="25"/>
      <c r="E780" s="25"/>
      <c r="F780" s="25"/>
      <c r="G780" s="26"/>
      <c r="H780" s="4"/>
    </row>
    <row r="781">
      <c r="D781" s="25"/>
      <c r="E781" s="25"/>
      <c r="F781" s="25"/>
      <c r="G781" s="26"/>
      <c r="H781" s="4"/>
    </row>
    <row r="782">
      <c r="D782" s="25"/>
      <c r="E782" s="25"/>
      <c r="F782" s="25"/>
      <c r="G782" s="26"/>
      <c r="H782" s="4"/>
    </row>
    <row r="783">
      <c r="D783" s="25"/>
      <c r="E783" s="25"/>
      <c r="F783" s="25"/>
      <c r="G783" s="26"/>
      <c r="H783" s="4"/>
    </row>
    <row r="784">
      <c r="D784" s="25"/>
      <c r="E784" s="25"/>
      <c r="F784" s="25"/>
      <c r="G784" s="26"/>
      <c r="H784" s="4"/>
    </row>
    <row r="785">
      <c r="D785" s="25"/>
      <c r="E785" s="25"/>
      <c r="F785" s="25"/>
      <c r="G785" s="26"/>
      <c r="H785" s="4"/>
    </row>
    <row r="786">
      <c r="D786" s="25"/>
      <c r="E786" s="25"/>
      <c r="F786" s="25"/>
      <c r="G786" s="26"/>
      <c r="H786" s="4"/>
    </row>
    <row r="787">
      <c r="D787" s="25"/>
      <c r="E787" s="25"/>
      <c r="F787" s="25"/>
      <c r="G787" s="26"/>
      <c r="H787" s="4"/>
    </row>
    <row r="788">
      <c r="D788" s="25"/>
      <c r="E788" s="25"/>
      <c r="F788" s="25"/>
      <c r="G788" s="26"/>
      <c r="H788" s="4"/>
    </row>
    <row r="789">
      <c r="D789" s="25"/>
      <c r="E789" s="25"/>
      <c r="F789" s="25"/>
      <c r="G789" s="26"/>
      <c r="H789" s="4"/>
    </row>
    <row r="790">
      <c r="D790" s="25"/>
      <c r="E790" s="25"/>
      <c r="F790" s="25"/>
      <c r="G790" s="26"/>
      <c r="H790" s="4"/>
    </row>
    <row r="791">
      <c r="D791" s="25"/>
      <c r="E791" s="25"/>
      <c r="F791" s="25"/>
      <c r="G791" s="26"/>
      <c r="H791" s="4"/>
    </row>
    <row r="792">
      <c r="D792" s="25"/>
      <c r="E792" s="25"/>
      <c r="F792" s="25"/>
      <c r="G792" s="26"/>
      <c r="H792" s="4"/>
    </row>
    <row r="793">
      <c r="D793" s="25"/>
      <c r="E793" s="25"/>
      <c r="F793" s="25"/>
      <c r="G793" s="26"/>
      <c r="H793" s="4"/>
    </row>
    <row r="794">
      <c r="D794" s="25"/>
      <c r="E794" s="25"/>
      <c r="F794" s="25"/>
      <c r="G794" s="26"/>
      <c r="H794" s="4"/>
    </row>
    <row r="795">
      <c r="D795" s="25"/>
      <c r="E795" s="25"/>
      <c r="F795" s="25"/>
      <c r="G795" s="26"/>
      <c r="H795" s="4"/>
    </row>
    <row r="796">
      <c r="D796" s="25"/>
      <c r="E796" s="25"/>
      <c r="F796" s="25"/>
      <c r="G796" s="26"/>
      <c r="H796" s="4"/>
    </row>
    <row r="797">
      <c r="D797" s="25"/>
      <c r="E797" s="25"/>
      <c r="F797" s="25"/>
      <c r="G797" s="26"/>
      <c r="H797" s="4"/>
    </row>
    <row r="798">
      <c r="D798" s="25"/>
      <c r="E798" s="25"/>
      <c r="F798" s="25"/>
      <c r="G798" s="26"/>
      <c r="H798" s="4"/>
    </row>
    <row r="799">
      <c r="D799" s="25"/>
      <c r="E799" s="25"/>
      <c r="F799" s="25"/>
      <c r="G799" s="26"/>
      <c r="H799" s="4"/>
    </row>
    <row r="800">
      <c r="D800" s="25"/>
      <c r="E800" s="25"/>
      <c r="F800" s="25"/>
      <c r="G800" s="26"/>
      <c r="H800" s="4"/>
    </row>
    <row r="801">
      <c r="D801" s="25"/>
      <c r="E801" s="25"/>
      <c r="F801" s="25"/>
      <c r="G801" s="26"/>
      <c r="H801" s="4"/>
    </row>
    <row r="802">
      <c r="D802" s="25"/>
      <c r="E802" s="25"/>
      <c r="F802" s="25"/>
      <c r="G802" s="26"/>
      <c r="H802" s="4"/>
    </row>
    <row r="803">
      <c r="D803" s="25"/>
      <c r="E803" s="25"/>
      <c r="F803" s="25"/>
      <c r="G803" s="26"/>
      <c r="H803" s="4"/>
    </row>
    <row r="804">
      <c r="D804" s="25"/>
      <c r="E804" s="25"/>
      <c r="F804" s="25"/>
      <c r="G804" s="26"/>
      <c r="H804" s="4"/>
    </row>
    <row r="805">
      <c r="D805" s="25"/>
      <c r="E805" s="25"/>
      <c r="F805" s="25"/>
      <c r="G805" s="26"/>
      <c r="H805" s="4"/>
    </row>
    <row r="806">
      <c r="D806" s="25"/>
      <c r="E806" s="25"/>
      <c r="F806" s="25"/>
      <c r="G806" s="26"/>
      <c r="H806" s="4"/>
    </row>
    <row r="807">
      <c r="D807" s="25"/>
      <c r="E807" s="25"/>
      <c r="F807" s="25"/>
      <c r="G807" s="26"/>
      <c r="H807" s="4"/>
    </row>
    <row r="808">
      <c r="D808" s="25"/>
      <c r="E808" s="25"/>
      <c r="F808" s="25"/>
      <c r="G808" s="26"/>
      <c r="H808" s="4"/>
    </row>
    <row r="809">
      <c r="D809" s="25"/>
      <c r="E809" s="25"/>
      <c r="F809" s="25"/>
      <c r="G809" s="26"/>
      <c r="H809" s="4"/>
    </row>
    <row r="810">
      <c r="D810" s="25"/>
      <c r="E810" s="25"/>
      <c r="F810" s="25"/>
      <c r="G810" s="26"/>
      <c r="H810" s="4"/>
    </row>
    <row r="811">
      <c r="D811" s="25"/>
      <c r="E811" s="25"/>
      <c r="F811" s="25"/>
      <c r="G811" s="26"/>
      <c r="H811" s="4"/>
    </row>
    <row r="812">
      <c r="D812" s="25"/>
      <c r="E812" s="25"/>
      <c r="F812" s="25"/>
      <c r="G812" s="26"/>
      <c r="H812" s="4"/>
    </row>
    <row r="813">
      <c r="D813" s="25"/>
      <c r="E813" s="25"/>
      <c r="F813" s="25"/>
      <c r="G813" s="26"/>
      <c r="H813" s="4"/>
    </row>
    <row r="814">
      <c r="D814" s="25"/>
      <c r="E814" s="25"/>
      <c r="F814" s="25"/>
      <c r="G814" s="26"/>
      <c r="H814" s="4"/>
    </row>
    <row r="815">
      <c r="D815" s="25"/>
      <c r="E815" s="25"/>
      <c r="F815" s="25"/>
      <c r="G815" s="26"/>
      <c r="H815" s="4"/>
    </row>
    <row r="816">
      <c r="D816" s="25"/>
      <c r="E816" s="25"/>
      <c r="F816" s="25"/>
      <c r="G816" s="26"/>
      <c r="H816" s="4"/>
    </row>
    <row r="817">
      <c r="D817" s="25"/>
      <c r="E817" s="25"/>
      <c r="F817" s="25"/>
      <c r="G817" s="26"/>
      <c r="H817" s="4"/>
    </row>
    <row r="818">
      <c r="D818" s="25"/>
      <c r="E818" s="25"/>
      <c r="F818" s="25"/>
      <c r="G818" s="26"/>
      <c r="H818" s="4"/>
    </row>
    <row r="819">
      <c r="D819" s="25"/>
      <c r="E819" s="25"/>
      <c r="F819" s="25"/>
      <c r="G819" s="26"/>
      <c r="H819" s="4"/>
    </row>
    <row r="820">
      <c r="D820" s="25"/>
      <c r="E820" s="25"/>
      <c r="F820" s="25"/>
      <c r="G820" s="26"/>
      <c r="H820" s="4"/>
    </row>
    <row r="821">
      <c r="D821" s="25"/>
      <c r="E821" s="25"/>
      <c r="F821" s="25"/>
      <c r="G821" s="26"/>
      <c r="H821" s="4"/>
    </row>
    <row r="822">
      <c r="D822" s="25"/>
      <c r="E822" s="25"/>
      <c r="F822" s="25"/>
      <c r="G822" s="26"/>
      <c r="H822" s="4"/>
    </row>
    <row r="823">
      <c r="D823" s="25"/>
      <c r="E823" s="25"/>
      <c r="F823" s="25"/>
      <c r="G823" s="26"/>
      <c r="H823" s="4"/>
    </row>
    <row r="824">
      <c r="D824" s="25"/>
      <c r="E824" s="25"/>
      <c r="F824" s="25"/>
      <c r="G824" s="26"/>
      <c r="H824" s="4"/>
    </row>
    <row r="825">
      <c r="D825" s="25"/>
      <c r="E825" s="25"/>
      <c r="F825" s="25"/>
      <c r="G825" s="26"/>
      <c r="H825" s="4"/>
    </row>
    <row r="826">
      <c r="D826" s="25"/>
      <c r="E826" s="25"/>
      <c r="F826" s="25"/>
      <c r="G826" s="26"/>
      <c r="H826" s="4"/>
    </row>
    <row r="827">
      <c r="D827" s="25"/>
      <c r="E827" s="25"/>
      <c r="F827" s="25"/>
      <c r="G827" s="26"/>
      <c r="H827" s="4"/>
    </row>
    <row r="828">
      <c r="D828" s="25"/>
      <c r="E828" s="25"/>
      <c r="F828" s="25"/>
      <c r="G828" s="26"/>
      <c r="H828" s="4"/>
    </row>
    <row r="829">
      <c r="D829" s="25"/>
      <c r="E829" s="25"/>
      <c r="F829" s="25"/>
      <c r="G829" s="26"/>
      <c r="H829" s="4"/>
    </row>
    <row r="830">
      <c r="D830" s="25"/>
      <c r="E830" s="25"/>
      <c r="F830" s="25"/>
      <c r="G830" s="26"/>
      <c r="H830" s="4"/>
    </row>
    <row r="831">
      <c r="D831" s="25"/>
      <c r="E831" s="25"/>
      <c r="F831" s="25"/>
      <c r="G831" s="26"/>
      <c r="H831" s="4"/>
    </row>
    <row r="832">
      <c r="D832" s="25"/>
      <c r="E832" s="25"/>
      <c r="F832" s="25"/>
      <c r="G832" s="26"/>
      <c r="H832" s="4"/>
    </row>
    <row r="833">
      <c r="D833" s="25"/>
      <c r="E833" s="25"/>
      <c r="F833" s="25"/>
      <c r="G833" s="26"/>
      <c r="H833" s="4"/>
    </row>
    <row r="834">
      <c r="D834" s="25"/>
      <c r="E834" s="25"/>
      <c r="F834" s="25"/>
      <c r="G834" s="26"/>
      <c r="H834" s="4"/>
    </row>
    <row r="835">
      <c r="D835" s="25"/>
      <c r="E835" s="25"/>
      <c r="F835" s="25"/>
      <c r="G835" s="26"/>
      <c r="H835" s="4"/>
    </row>
    <row r="836">
      <c r="D836" s="25"/>
      <c r="E836" s="25"/>
      <c r="F836" s="25"/>
      <c r="G836" s="26"/>
      <c r="H836" s="4"/>
    </row>
    <row r="837">
      <c r="D837" s="25"/>
      <c r="E837" s="25"/>
      <c r="F837" s="25"/>
      <c r="G837" s="26"/>
      <c r="H837" s="4"/>
    </row>
    <row r="838">
      <c r="D838" s="25"/>
      <c r="E838" s="25"/>
      <c r="F838" s="25"/>
      <c r="G838" s="26"/>
      <c r="H838" s="4"/>
    </row>
    <row r="839">
      <c r="D839" s="25"/>
      <c r="E839" s="25"/>
      <c r="F839" s="25"/>
      <c r="G839" s="26"/>
      <c r="H839" s="4"/>
    </row>
    <row r="840">
      <c r="D840" s="25"/>
      <c r="E840" s="25"/>
      <c r="F840" s="25"/>
      <c r="G840" s="26"/>
      <c r="H840" s="4"/>
    </row>
    <row r="841">
      <c r="D841" s="25"/>
      <c r="E841" s="25"/>
      <c r="F841" s="25"/>
      <c r="G841" s="26"/>
      <c r="H841" s="4"/>
    </row>
    <row r="842">
      <c r="D842" s="25"/>
      <c r="E842" s="25"/>
      <c r="F842" s="25"/>
      <c r="G842" s="26"/>
      <c r="H842" s="4"/>
    </row>
    <row r="843">
      <c r="D843" s="25"/>
      <c r="E843" s="25"/>
      <c r="F843" s="25"/>
      <c r="G843" s="26"/>
      <c r="H843" s="4"/>
    </row>
    <row r="844">
      <c r="D844" s="25"/>
      <c r="E844" s="25"/>
      <c r="F844" s="25"/>
      <c r="G844" s="26"/>
      <c r="H844" s="4"/>
    </row>
    <row r="845">
      <c r="D845" s="25"/>
      <c r="E845" s="25"/>
      <c r="F845" s="25"/>
      <c r="G845" s="26"/>
      <c r="H845" s="4"/>
    </row>
    <row r="846">
      <c r="D846" s="25"/>
      <c r="E846" s="25"/>
      <c r="F846" s="25"/>
      <c r="G846" s="26"/>
      <c r="H846" s="4"/>
    </row>
    <row r="847">
      <c r="D847" s="25"/>
      <c r="E847" s="25"/>
      <c r="F847" s="25"/>
      <c r="G847" s="26"/>
      <c r="H847" s="4"/>
    </row>
    <row r="848">
      <c r="D848" s="25"/>
      <c r="E848" s="25"/>
      <c r="F848" s="25"/>
      <c r="G848" s="26"/>
      <c r="H848" s="4"/>
    </row>
    <row r="849">
      <c r="D849" s="25"/>
      <c r="E849" s="25"/>
      <c r="F849" s="25"/>
      <c r="G849" s="26"/>
      <c r="H849" s="4"/>
    </row>
    <row r="850">
      <c r="D850" s="25"/>
      <c r="E850" s="25"/>
      <c r="F850" s="25"/>
      <c r="G850" s="26"/>
      <c r="H850" s="4"/>
    </row>
    <row r="851">
      <c r="D851" s="25"/>
      <c r="E851" s="25"/>
      <c r="F851" s="25"/>
      <c r="G851" s="26"/>
      <c r="H851" s="4"/>
    </row>
    <row r="852">
      <c r="D852" s="25"/>
      <c r="E852" s="25"/>
      <c r="F852" s="25"/>
      <c r="G852" s="26"/>
      <c r="H852" s="4"/>
    </row>
    <row r="853">
      <c r="D853" s="25"/>
      <c r="E853" s="25"/>
      <c r="F853" s="25"/>
      <c r="G853" s="26"/>
      <c r="H853" s="4"/>
    </row>
    <row r="854">
      <c r="D854" s="25"/>
      <c r="E854" s="25"/>
      <c r="F854" s="25"/>
      <c r="G854" s="26"/>
      <c r="H854" s="4"/>
    </row>
    <row r="855">
      <c r="D855" s="25"/>
      <c r="E855" s="25"/>
      <c r="F855" s="25"/>
      <c r="G855" s="26"/>
      <c r="H855" s="4"/>
    </row>
    <row r="856">
      <c r="D856" s="25"/>
      <c r="E856" s="25"/>
      <c r="F856" s="25"/>
      <c r="G856" s="26"/>
      <c r="H856" s="4"/>
    </row>
    <row r="857">
      <c r="D857" s="25"/>
      <c r="E857" s="25"/>
      <c r="F857" s="25"/>
      <c r="G857" s="26"/>
      <c r="H857" s="4"/>
    </row>
    <row r="858">
      <c r="D858" s="25"/>
      <c r="E858" s="25"/>
      <c r="F858" s="25"/>
      <c r="G858" s="26"/>
      <c r="H858" s="4"/>
    </row>
    <row r="859">
      <c r="D859" s="25"/>
      <c r="E859" s="25"/>
      <c r="F859" s="25"/>
      <c r="G859" s="26"/>
      <c r="H859" s="4"/>
    </row>
    <row r="860">
      <c r="D860" s="25"/>
      <c r="E860" s="25"/>
      <c r="F860" s="25"/>
      <c r="G860" s="26"/>
      <c r="H860" s="4"/>
    </row>
    <row r="861">
      <c r="D861" s="25"/>
      <c r="E861" s="25"/>
      <c r="F861" s="25"/>
      <c r="G861" s="26"/>
      <c r="H861" s="4"/>
    </row>
    <row r="862">
      <c r="D862" s="25"/>
      <c r="E862" s="25"/>
      <c r="F862" s="25"/>
      <c r="G862" s="26"/>
      <c r="H862" s="4"/>
    </row>
    <row r="863">
      <c r="D863" s="25"/>
      <c r="E863" s="25"/>
      <c r="F863" s="25"/>
      <c r="G863" s="26"/>
      <c r="H863" s="4"/>
    </row>
    <row r="864">
      <c r="D864" s="25"/>
      <c r="E864" s="25"/>
      <c r="F864" s="25"/>
      <c r="G864" s="26"/>
      <c r="H864" s="4"/>
    </row>
    <row r="865">
      <c r="D865" s="25"/>
      <c r="E865" s="25"/>
      <c r="F865" s="25"/>
      <c r="G865" s="26"/>
      <c r="H865" s="4"/>
    </row>
    <row r="866">
      <c r="D866" s="25"/>
      <c r="E866" s="25"/>
      <c r="F866" s="25"/>
      <c r="G866" s="26"/>
      <c r="H866" s="4"/>
    </row>
    <row r="867">
      <c r="D867" s="25"/>
      <c r="E867" s="25"/>
      <c r="F867" s="25"/>
      <c r="G867" s="26"/>
      <c r="H867" s="4"/>
    </row>
    <row r="868">
      <c r="D868" s="25"/>
      <c r="E868" s="25"/>
      <c r="F868" s="25"/>
      <c r="G868" s="26"/>
      <c r="H868" s="4"/>
    </row>
    <row r="869">
      <c r="D869" s="25"/>
      <c r="E869" s="25"/>
      <c r="F869" s="25"/>
      <c r="G869" s="26"/>
      <c r="H869" s="4"/>
    </row>
    <row r="870">
      <c r="D870" s="25"/>
      <c r="E870" s="25"/>
      <c r="F870" s="25"/>
      <c r="G870" s="26"/>
      <c r="H870" s="4"/>
    </row>
    <row r="871">
      <c r="D871" s="25"/>
      <c r="E871" s="25"/>
      <c r="F871" s="25"/>
      <c r="G871" s="26"/>
      <c r="H871" s="4"/>
    </row>
    <row r="872">
      <c r="D872" s="25"/>
      <c r="E872" s="25"/>
      <c r="F872" s="25"/>
      <c r="G872" s="26"/>
      <c r="H872" s="4"/>
    </row>
    <row r="873">
      <c r="D873" s="25"/>
      <c r="E873" s="25"/>
      <c r="F873" s="25"/>
      <c r="G873" s="26"/>
      <c r="H873" s="4"/>
    </row>
    <row r="874">
      <c r="D874" s="25"/>
      <c r="E874" s="25"/>
      <c r="F874" s="25"/>
      <c r="G874" s="26"/>
      <c r="H874" s="4"/>
    </row>
    <row r="875">
      <c r="D875" s="25"/>
      <c r="E875" s="25"/>
      <c r="F875" s="25"/>
      <c r="G875" s="26"/>
      <c r="H875" s="4"/>
    </row>
    <row r="876">
      <c r="D876" s="25"/>
      <c r="E876" s="25"/>
      <c r="F876" s="25"/>
      <c r="G876" s="26"/>
      <c r="H876" s="4"/>
    </row>
    <row r="877">
      <c r="D877" s="25"/>
      <c r="E877" s="25"/>
      <c r="F877" s="25"/>
      <c r="G877" s="26"/>
      <c r="H877" s="4"/>
    </row>
    <row r="878">
      <c r="D878" s="25"/>
      <c r="E878" s="25"/>
      <c r="F878" s="25"/>
      <c r="G878" s="26"/>
      <c r="H878" s="4"/>
    </row>
    <row r="879">
      <c r="D879" s="25"/>
      <c r="E879" s="25"/>
      <c r="F879" s="25"/>
      <c r="G879" s="26"/>
      <c r="H879" s="4"/>
    </row>
    <row r="880">
      <c r="D880" s="25"/>
      <c r="E880" s="25"/>
      <c r="F880" s="25"/>
      <c r="G880" s="26"/>
      <c r="H880" s="4"/>
    </row>
    <row r="881">
      <c r="D881" s="25"/>
      <c r="E881" s="25"/>
      <c r="F881" s="25"/>
      <c r="G881" s="26"/>
      <c r="H881" s="4"/>
    </row>
    <row r="882">
      <c r="D882" s="25"/>
      <c r="E882" s="25"/>
      <c r="F882" s="25"/>
      <c r="G882" s="26"/>
      <c r="H882" s="4"/>
    </row>
    <row r="883">
      <c r="D883" s="25"/>
      <c r="E883" s="25"/>
      <c r="F883" s="25"/>
      <c r="G883" s="26"/>
      <c r="H883" s="4"/>
    </row>
    <row r="884">
      <c r="D884" s="25"/>
      <c r="E884" s="25"/>
      <c r="F884" s="25"/>
      <c r="G884" s="26"/>
      <c r="H884" s="4"/>
    </row>
    <row r="885">
      <c r="D885" s="25"/>
      <c r="E885" s="25"/>
      <c r="F885" s="25"/>
      <c r="G885" s="26"/>
      <c r="H885" s="4"/>
    </row>
    <row r="886">
      <c r="D886" s="25"/>
      <c r="E886" s="25"/>
      <c r="F886" s="25"/>
      <c r="G886" s="26"/>
      <c r="H886" s="4"/>
    </row>
    <row r="887">
      <c r="D887" s="25"/>
      <c r="E887" s="25"/>
      <c r="F887" s="25"/>
      <c r="G887" s="26"/>
      <c r="H887" s="4"/>
    </row>
    <row r="888">
      <c r="D888" s="25"/>
      <c r="E888" s="25"/>
      <c r="F888" s="25"/>
      <c r="G888" s="26"/>
      <c r="H888" s="4"/>
    </row>
    <row r="889">
      <c r="D889" s="25"/>
      <c r="E889" s="25"/>
      <c r="F889" s="25"/>
      <c r="G889" s="26"/>
      <c r="H889" s="4"/>
    </row>
    <row r="890">
      <c r="D890" s="25"/>
      <c r="E890" s="25"/>
      <c r="F890" s="25"/>
      <c r="G890" s="26"/>
      <c r="H890" s="4"/>
    </row>
    <row r="891">
      <c r="D891" s="25"/>
      <c r="E891" s="25"/>
      <c r="F891" s="25"/>
      <c r="G891" s="26"/>
      <c r="H891" s="4"/>
    </row>
    <row r="892">
      <c r="D892" s="25"/>
      <c r="E892" s="25"/>
      <c r="F892" s="25"/>
      <c r="G892" s="26"/>
      <c r="H892" s="4"/>
    </row>
    <row r="893">
      <c r="D893" s="25"/>
      <c r="E893" s="25"/>
      <c r="F893" s="25"/>
      <c r="G893" s="26"/>
      <c r="H893" s="4"/>
    </row>
    <row r="894">
      <c r="D894" s="25"/>
      <c r="E894" s="25"/>
      <c r="F894" s="25"/>
      <c r="G894" s="26"/>
      <c r="H894" s="4"/>
    </row>
    <row r="895">
      <c r="D895" s="25"/>
      <c r="E895" s="25"/>
      <c r="F895" s="25"/>
      <c r="G895" s="26"/>
      <c r="H895" s="4"/>
    </row>
    <row r="896">
      <c r="D896" s="25"/>
      <c r="E896" s="25"/>
      <c r="F896" s="25"/>
      <c r="G896" s="26"/>
      <c r="H896" s="4"/>
    </row>
    <row r="897">
      <c r="D897" s="25"/>
      <c r="E897" s="25"/>
      <c r="F897" s="25"/>
      <c r="G897" s="26"/>
      <c r="H897" s="4"/>
    </row>
    <row r="898">
      <c r="D898" s="25"/>
      <c r="E898" s="25"/>
      <c r="F898" s="25"/>
      <c r="G898" s="26"/>
      <c r="H898" s="4"/>
    </row>
    <row r="899">
      <c r="D899" s="25"/>
      <c r="E899" s="25"/>
      <c r="F899" s="25"/>
      <c r="G899" s="26"/>
      <c r="H899" s="4"/>
    </row>
    <row r="900">
      <c r="D900" s="25"/>
      <c r="E900" s="25"/>
      <c r="F900" s="25"/>
      <c r="G900" s="26"/>
      <c r="H900" s="4"/>
    </row>
    <row r="901">
      <c r="D901" s="25"/>
      <c r="E901" s="25"/>
      <c r="F901" s="25"/>
      <c r="G901" s="26"/>
      <c r="H901" s="4"/>
    </row>
    <row r="902">
      <c r="D902" s="25"/>
      <c r="E902" s="25"/>
      <c r="F902" s="25"/>
      <c r="G902" s="26"/>
      <c r="H902" s="4"/>
    </row>
    <row r="903">
      <c r="D903" s="25"/>
      <c r="E903" s="25"/>
      <c r="F903" s="25"/>
      <c r="G903" s="26"/>
      <c r="H903" s="4"/>
    </row>
    <row r="904">
      <c r="D904" s="25"/>
      <c r="E904" s="25"/>
      <c r="F904" s="25"/>
      <c r="G904" s="26"/>
      <c r="H904" s="4"/>
    </row>
    <row r="905">
      <c r="D905" s="25"/>
      <c r="E905" s="25"/>
      <c r="F905" s="25"/>
      <c r="G905" s="26"/>
      <c r="H905" s="4"/>
    </row>
    <row r="906">
      <c r="D906" s="25"/>
      <c r="E906" s="25"/>
      <c r="F906" s="25"/>
      <c r="G906" s="26"/>
      <c r="H906" s="4"/>
    </row>
    <row r="907">
      <c r="D907" s="25"/>
      <c r="E907" s="25"/>
      <c r="F907" s="25"/>
      <c r="G907" s="26"/>
      <c r="H907" s="4"/>
    </row>
    <row r="908">
      <c r="D908" s="25"/>
      <c r="E908" s="25"/>
      <c r="F908" s="25"/>
      <c r="G908" s="26"/>
      <c r="H908" s="4"/>
    </row>
    <row r="909">
      <c r="D909" s="25"/>
      <c r="E909" s="25"/>
      <c r="F909" s="25"/>
      <c r="G909" s="26"/>
      <c r="H909" s="4"/>
    </row>
    <row r="910">
      <c r="D910" s="25"/>
      <c r="E910" s="25"/>
      <c r="F910" s="25"/>
      <c r="G910" s="26"/>
      <c r="H910" s="4"/>
    </row>
    <row r="911">
      <c r="D911" s="25"/>
      <c r="E911" s="25"/>
      <c r="F911" s="25"/>
      <c r="G911" s="26"/>
      <c r="H911" s="4"/>
    </row>
    <row r="912">
      <c r="D912" s="25"/>
      <c r="E912" s="25"/>
      <c r="F912" s="25"/>
      <c r="G912" s="26"/>
      <c r="H912" s="4"/>
    </row>
    <row r="913">
      <c r="D913" s="25"/>
      <c r="E913" s="25"/>
      <c r="F913" s="25"/>
      <c r="G913" s="26"/>
      <c r="H913" s="4"/>
    </row>
    <row r="914">
      <c r="D914" s="25"/>
      <c r="E914" s="25"/>
      <c r="F914" s="25"/>
      <c r="G914" s="26"/>
      <c r="H914" s="4"/>
    </row>
    <row r="915">
      <c r="D915" s="25"/>
      <c r="E915" s="25"/>
      <c r="F915" s="25"/>
      <c r="G915" s="26"/>
      <c r="H915" s="4"/>
    </row>
    <row r="916">
      <c r="D916" s="25"/>
      <c r="E916" s="25"/>
      <c r="F916" s="25"/>
      <c r="G916" s="26"/>
      <c r="H916" s="4"/>
    </row>
    <row r="917">
      <c r="D917" s="25"/>
      <c r="E917" s="25"/>
      <c r="F917" s="25"/>
      <c r="G917" s="26"/>
      <c r="H917" s="4"/>
    </row>
    <row r="918">
      <c r="D918" s="25"/>
      <c r="E918" s="25"/>
      <c r="F918" s="25"/>
      <c r="G918" s="26"/>
      <c r="H918" s="4"/>
    </row>
    <row r="919">
      <c r="D919" s="25"/>
      <c r="E919" s="25"/>
      <c r="F919" s="25"/>
      <c r="G919" s="26"/>
      <c r="H919" s="4"/>
    </row>
    <row r="920">
      <c r="D920" s="25"/>
      <c r="E920" s="25"/>
      <c r="F920" s="25"/>
      <c r="G920" s="26"/>
      <c r="H920" s="4"/>
    </row>
    <row r="921">
      <c r="D921" s="25"/>
      <c r="E921" s="25"/>
      <c r="F921" s="25"/>
      <c r="G921" s="26"/>
      <c r="H921" s="4"/>
    </row>
    <row r="922">
      <c r="D922" s="25"/>
      <c r="E922" s="25"/>
      <c r="F922" s="25"/>
      <c r="G922" s="26"/>
      <c r="H922" s="4"/>
    </row>
    <row r="923">
      <c r="D923" s="25"/>
      <c r="E923" s="25"/>
      <c r="F923" s="25"/>
      <c r="G923" s="26"/>
      <c r="H923" s="4"/>
    </row>
    <row r="924">
      <c r="D924" s="25"/>
      <c r="E924" s="25"/>
      <c r="F924" s="25"/>
      <c r="G924" s="26"/>
      <c r="H924" s="4"/>
    </row>
    <row r="925">
      <c r="D925" s="25"/>
      <c r="E925" s="25"/>
      <c r="F925" s="25"/>
      <c r="G925" s="26"/>
      <c r="H925" s="4"/>
    </row>
    <row r="926">
      <c r="D926" s="25"/>
      <c r="E926" s="25"/>
      <c r="F926" s="25"/>
      <c r="G926" s="26"/>
      <c r="H926" s="4"/>
    </row>
    <row r="927">
      <c r="D927" s="25"/>
      <c r="E927" s="25"/>
      <c r="F927" s="25"/>
      <c r="G927" s="26"/>
      <c r="H927" s="4"/>
    </row>
    <row r="928">
      <c r="D928" s="25"/>
      <c r="E928" s="25"/>
      <c r="F928" s="25"/>
      <c r="G928" s="26"/>
      <c r="H928" s="4"/>
    </row>
    <row r="929">
      <c r="D929" s="25"/>
      <c r="E929" s="25"/>
      <c r="F929" s="25"/>
      <c r="G929" s="26"/>
      <c r="H929" s="4"/>
    </row>
    <row r="930">
      <c r="D930" s="25"/>
      <c r="E930" s="25"/>
      <c r="F930" s="25"/>
      <c r="G930" s="26"/>
      <c r="H930" s="4"/>
    </row>
    <row r="931">
      <c r="D931" s="25"/>
      <c r="E931" s="25"/>
      <c r="F931" s="25"/>
      <c r="G931" s="26"/>
      <c r="H931" s="4"/>
    </row>
    <row r="932">
      <c r="D932" s="25"/>
      <c r="E932" s="25"/>
      <c r="F932" s="25"/>
      <c r="G932" s="26"/>
      <c r="H932" s="4"/>
    </row>
    <row r="933">
      <c r="D933" s="25"/>
      <c r="E933" s="25"/>
      <c r="F933" s="25"/>
      <c r="G933" s="26"/>
      <c r="H933" s="4"/>
    </row>
    <row r="934">
      <c r="D934" s="25"/>
      <c r="E934" s="25"/>
      <c r="F934" s="25"/>
      <c r="G934" s="26"/>
      <c r="H934" s="4"/>
    </row>
    <row r="935">
      <c r="D935" s="25"/>
      <c r="E935" s="25"/>
      <c r="F935" s="25"/>
      <c r="G935" s="26"/>
      <c r="H935" s="4"/>
    </row>
    <row r="936">
      <c r="D936" s="25"/>
      <c r="E936" s="25"/>
      <c r="F936" s="25"/>
      <c r="G936" s="26"/>
      <c r="H936" s="4"/>
    </row>
    <row r="937">
      <c r="D937" s="25"/>
      <c r="E937" s="25"/>
      <c r="F937" s="25"/>
      <c r="G937" s="26"/>
      <c r="H937" s="4"/>
    </row>
    <row r="938">
      <c r="D938" s="25"/>
      <c r="E938" s="25"/>
      <c r="F938" s="25"/>
      <c r="G938" s="26"/>
      <c r="H938" s="4"/>
    </row>
    <row r="939">
      <c r="D939" s="25"/>
      <c r="E939" s="25"/>
      <c r="F939" s="25"/>
      <c r="G939" s="26"/>
      <c r="H939" s="4"/>
    </row>
    <row r="940">
      <c r="D940" s="25"/>
      <c r="E940" s="25"/>
      <c r="F940" s="25"/>
      <c r="G940" s="26"/>
      <c r="H940" s="4"/>
    </row>
    <row r="941">
      <c r="D941" s="25"/>
      <c r="E941" s="25"/>
      <c r="F941" s="25"/>
      <c r="G941" s="26"/>
      <c r="H941" s="4"/>
    </row>
    <row r="942">
      <c r="D942" s="25"/>
      <c r="E942" s="25"/>
      <c r="F942" s="25"/>
      <c r="G942" s="26"/>
      <c r="H942" s="4"/>
    </row>
    <row r="943">
      <c r="D943" s="25"/>
      <c r="E943" s="25"/>
      <c r="F943" s="25"/>
      <c r="G943" s="26"/>
      <c r="H943" s="4"/>
    </row>
    <row r="944">
      <c r="D944" s="25"/>
      <c r="E944" s="25"/>
      <c r="F944" s="25"/>
      <c r="G944" s="26"/>
      <c r="H944" s="4"/>
    </row>
    <row r="945">
      <c r="D945" s="25"/>
      <c r="E945" s="25"/>
      <c r="F945" s="25"/>
      <c r="G945" s="26"/>
      <c r="H945" s="4"/>
    </row>
    <row r="946">
      <c r="D946" s="25"/>
      <c r="E946" s="25"/>
      <c r="F946" s="25"/>
      <c r="G946" s="26"/>
      <c r="H946" s="4"/>
    </row>
    <row r="947">
      <c r="D947" s="25"/>
      <c r="E947" s="25"/>
      <c r="F947" s="25"/>
      <c r="G947" s="26"/>
      <c r="H947" s="4"/>
    </row>
    <row r="948">
      <c r="D948" s="25"/>
      <c r="E948" s="25"/>
      <c r="F948" s="25"/>
      <c r="G948" s="26"/>
      <c r="H948" s="4"/>
    </row>
    <row r="949">
      <c r="D949" s="25"/>
      <c r="E949" s="25"/>
      <c r="F949" s="25"/>
      <c r="G949" s="26"/>
      <c r="H949" s="4"/>
    </row>
    <row r="950">
      <c r="D950" s="25"/>
      <c r="E950" s="25"/>
      <c r="F950" s="25"/>
      <c r="G950" s="26"/>
      <c r="H950" s="4"/>
    </row>
    <row r="951">
      <c r="D951" s="25"/>
      <c r="E951" s="25"/>
      <c r="F951" s="25"/>
      <c r="G951" s="26"/>
      <c r="H951" s="4"/>
    </row>
    <row r="952">
      <c r="D952" s="25"/>
      <c r="E952" s="25"/>
      <c r="F952" s="25"/>
      <c r="G952" s="26"/>
      <c r="H952" s="4"/>
    </row>
    <row r="953">
      <c r="D953" s="25"/>
      <c r="E953" s="25"/>
      <c r="F953" s="25"/>
      <c r="G953" s="26"/>
      <c r="H953" s="4"/>
    </row>
    <row r="954">
      <c r="D954" s="25"/>
      <c r="E954" s="25"/>
      <c r="F954" s="25"/>
      <c r="G954" s="26"/>
      <c r="H954" s="4"/>
    </row>
    <row r="955">
      <c r="D955" s="25"/>
      <c r="E955" s="25"/>
      <c r="F955" s="25"/>
      <c r="G955" s="26"/>
      <c r="H955" s="4"/>
    </row>
    <row r="956">
      <c r="D956" s="25"/>
      <c r="E956" s="25"/>
      <c r="F956" s="25"/>
      <c r="G956" s="26"/>
      <c r="H956" s="4"/>
    </row>
    <row r="957">
      <c r="D957" s="25"/>
      <c r="E957" s="25"/>
      <c r="F957" s="25"/>
      <c r="G957" s="26"/>
      <c r="H957" s="4"/>
    </row>
    <row r="958">
      <c r="D958" s="25"/>
      <c r="E958" s="25"/>
      <c r="F958" s="25"/>
      <c r="G958" s="26"/>
      <c r="H958" s="4"/>
    </row>
    <row r="959">
      <c r="D959" s="25"/>
      <c r="E959" s="25"/>
      <c r="F959" s="25"/>
      <c r="G959" s="26"/>
      <c r="H959" s="4"/>
    </row>
    <row r="960">
      <c r="D960" s="25"/>
      <c r="E960" s="25"/>
      <c r="F960" s="25"/>
      <c r="G960" s="26"/>
      <c r="H960" s="4"/>
    </row>
    <row r="961">
      <c r="D961" s="25"/>
      <c r="E961" s="25"/>
      <c r="F961" s="25"/>
      <c r="G961" s="26"/>
      <c r="H961" s="4"/>
    </row>
    <row r="962">
      <c r="D962" s="25"/>
      <c r="E962" s="25"/>
      <c r="F962" s="25"/>
      <c r="G962" s="26"/>
      <c r="H962" s="4"/>
    </row>
    <row r="963">
      <c r="D963" s="25"/>
      <c r="E963" s="25"/>
      <c r="F963" s="25"/>
      <c r="G963" s="26"/>
      <c r="H963" s="4"/>
    </row>
    <row r="964">
      <c r="D964" s="25"/>
      <c r="E964" s="25"/>
      <c r="F964" s="25"/>
      <c r="G964" s="26"/>
      <c r="H964" s="4"/>
    </row>
    <row r="965">
      <c r="D965" s="25"/>
      <c r="E965" s="25"/>
      <c r="F965" s="25"/>
      <c r="G965" s="26"/>
      <c r="H965" s="4"/>
    </row>
    <row r="966">
      <c r="D966" s="25"/>
      <c r="E966" s="25"/>
      <c r="F966" s="25"/>
      <c r="G966" s="26"/>
      <c r="H966" s="4"/>
    </row>
    <row r="967">
      <c r="D967" s="25"/>
      <c r="E967" s="25"/>
      <c r="F967" s="25"/>
      <c r="G967" s="26"/>
      <c r="H967" s="4"/>
    </row>
    <row r="968">
      <c r="D968" s="25"/>
      <c r="E968" s="25"/>
      <c r="F968" s="25"/>
      <c r="G968" s="26"/>
      <c r="H968" s="4"/>
    </row>
    <row r="969">
      <c r="D969" s="25"/>
      <c r="E969" s="25"/>
      <c r="F969" s="25"/>
      <c r="G969" s="26"/>
      <c r="H969" s="4"/>
    </row>
    <row r="970">
      <c r="D970" s="25"/>
      <c r="E970" s="25"/>
      <c r="F970" s="25"/>
      <c r="G970" s="26"/>
      <c r="H970" s="4"/>
    </row>
    <row r="971">
      <c r="D971" s="25"/>
      <c r="E971" s="25"/>
      <c r="F971" s="25"/>
      <c r="G971" s="26"/>
      <c r="H971" s="4"/>
    </row>
    <row r="972">
      <c r="D972" s="25"/>
      <c r="E972" s="25"/>
      <c r="F972" s="25"/>
      <c r="G972" s="26"/>
      <c r="H972" s="4"/>
    </row>
    <row r="973">
      <c r="D973" s="25"/>
      <c r="E973" s="25"/>
      <c r="F973" s="25"/>
      <c r="G973" s="26"/>
      <c r="H973" s="4"/>
    </row>
    <row r="974">
      <c r="D974" s="25"/>
      <c r="E974" s="25"/>
      <c r="F974" s="25"/>
      <c r="G974" s="26"/>
      <c r="H974" s="4"/>
    </row>
    <row r="975">
      <c r="D975" s="25"/>
      <c r="E975" s="25"/>
      <c r="F975" s="25"/>
      <c r="G975" s="26"/>
      <c r="H975" s="4"/>
    </row>
    <row r="976">
      <c r="D976" s="25"/>
      <c r="E976" s="25"/>
      <c r="F976" s="25"/>
      <c r="G976" s="26"/>
      <c r="H976" s="4"/>
    </row>
    <row r="977">
      <c r="D977" s="25"/>
      <c r="E977" s="25"/>
      <c r="F977" s="25"/>
      <c r="G977" s="26"/>
      <c r="H977" s="4"/>
    </row>
    <row r="978">
      <c r="D978" s="25"/>
      <c r="E978" s="25"/>
      <c r="F978" s="25"/>
      <c r="G978" s="26"/>
      <c r="H978" s="4"/>
    </row>
    <row r="979">
      <c r="D979" s="25"/>
      <c r="E979" s="25"/>
      <c r="F979" s="25"/>
      <c r="G979" s="26"/>
      <c r="H979" s="4"/>
    </row>
    <row r="980">
      <c r="D980" s="25"/>
      <c r="E980" s="25"/>
      <c r="F980" s="25"/>
      <c r="G980" s="26"/>
      <c r="H980" s="4"/>
    </row>
    <row r="981">
      <c r="D981" s="25"/>
      <c r="E981" s="25"/>
      <c r="F981" s="25"/>
      <c r="G981" s="26"/>
      <c r="H981" s="4"/>
    </row>
    <row r="982">
      <c r="D982" s="25"/>
      <c r="E982" s="25"/>
      <c r="F982" s="25"/>
      <c r="G982" s="26"/>
      <c r="H982" s="4"/>
    </row>
    <row r="983">
      <c r="D983" s="25"/>
      <c r="E983" s="25"/>
      <c r="F983" s="25"/>
      <c r="G983" s="26"/>
      <c r="H983" s="4"/>
    </row>
    <row r="984">
      <c r="D984" s="25"/>
      <c r="E984" s="25"/>
      <c r="F984" s="25"/>
      <c r="G984" s="26"/>
      <c r="H984" s="4"/>
    </row>
    <row r="985">
      <c r="D985" s="25"/>
      <c r="E985" s="25"/>
      <c r="F985" s="25"/>
      <c r="G985" s="26"/>
      <c r="H985" s="4"/>
    </row>
    <row r="986">
      <c r="D986" s="25"/>
      <c r="E986" s="25"/>
      <c r="F986" s="25"/>
      <c r="G986" s="26"/>
      <c r="H986" s="4"/>
    </row>
    <row r="987">
      <c r="D987" s="25"/>
      <c r="E987" s="25"/>
      <c r="F987" s="25"/>
      <c r="G987" s="26"/>
      <c r="H987" s="4"/>
    </row>
    <row r="988">
      <c r="D988" s="25"/>
      <c r="E988" s="25"/>
      <c r="F988" s="25"/>
      <c r="G988" s="26"/>
      <c r="H988" s="4"/>
    </row>
    <row r="989">
      <c r="D989" s="25"/>
      <c r="E989" s="25"/>
      <c r="F989" s="25"/>
      <c r="G989" s="26"/>
      <c r="H989" s="4"/>
    </row>
    <row r="990">
      <c r="D990" s="25"/>
      <c r="E990" s="25"/>
      <c r="F990" s="25"/>
      <c r="G990" s="26"/>
      <c r="H990" s="4"/>
    </row>
    <row r="991">
      <c r="D991" s="25"/>
      <c r="E991" s="25"/>
      <c r="F991" s="25"/>
      <c r="G991" s="26"/>
      <c r="H991" s="4"/>
    </row>
    <row r="992">
      <c r="D992" s="25"/>
      <c r="E992" s="25"/>
      <c r="F992" s="25"/>
      <c r="G992" s="26"/>
      <c r="H992" s="4"/>
    </row>
    <row r="993">
      <c r="D993" s="25"/>
      <c r="E993" s="25"/>
      <c r="F993" s="25"/>
      <c r="G993" s="26"/>
      <c r="H993" s="4"/>
    </row>
    <row r="994">
      <c r="D994" s="25"/>
      <c r="E994" s="25"/>
      <c r="F994" s="25"/>
      <c r="G994" s="26"/>
      <c r="H994" s="4"/>
    </row>
    <row r="995">
      <c r="D995" s="25"/>
      <c r="E995" s="25"/>
      <c r="F995" s="25"/>
      <c r="G995" s="26"/>
      <c r="H995" s="4"/>
    </row>
    <row r="996">
      <c r="D996" s="25"/>
      <c r="E996" s="25"/>
      <c r="F996" s="25"/>
      <c r="G996" s="26"/>
      <c r="H996" s="4"/>
    </row>
    <row r="997">
      <c r="D997" s="25"/>
      <c r="E997" s="25"/>
      <c r="F997" s="25"/>
      <c r="G997" s="26"/>
      <c r="H997" s="4"/>
    </row>
    <row r="998">
      <c r="D998" s="25"/>
      <c r="E998" s="25"/>
      <c r="F998" s="25"/>
      <c r="G998" s="26"/>
      <c r="H998" s="4"/>
    </row>
    <row r="999">
      <c r="D999" s="25"/>
      <c r="E999" s="25"/>
      <c r="F999" s="25"/>
      <c r="G999" s="26"/>
      <c r="H999" s="4"/>
    </row>
    <row r="1000"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6913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IFERROR(__xludf.DUMMYFUNCTION("IMPORTRANGE(""https://docs.google.com/spreadsheets/d/1y2wZJoQ_lf7gPC6R6Tt50N3iMypy2Zej_JFxAAbweMQ/edit#gid=1120027332"",""Leaders!A3:G502"")"),"Mitchell Creek")</f>
        <v>Mitchell Creek</v>
      </c>
      <c r="B3" s="13" t="str">
        <f>IFERROR(__xludf.DUMMYFUNCTION("""COMPUTED_VALUE"""),"ADE")</f>
        <v>ADE</v>
      </c>
      <c r="C3" s="14">
        <f>IFERROR(__xludf.DUMMYFUNCTION("""COMPUTED_VALUE"""),890.0)</f>
        <v>890</v>
      </c>
      <c r="D3" s="15">
        <f>IFERROR(__xludf.DUMMYFUNCTION("""COMPUTED_VALUE"""),4.36632568166268)</f>
        <v>4.366325682</v>
      </c>
      <c r="E3" s="15">
        <f>IFERROR(__xludf.DUMMYFUNCTION("""COMPUTED_VALUE"""),1.5945178821907078)</f>
        <v>1.594517882</v>
      </c>
      <c r="F3" s="15">
        <f>IFERROR(__xludf.DUMMYFUNCTION("""COMPUTED_VALUE"""),5.960843563853388)</f>
        <v>5.960843564</v>
      </c>
      <c r="G3" s="17">
        <f>IFERROR(__xludf.DUMMYFUNCTION("""COMPUTED_VALUE"""),2.164559751262117)</f>
        <v>2.164559751</v>
      </c>
      <c r="H3" s="4"/>
      <c r="I3" s="5" t="s">
        <v>15</v>
      </c>
      <c r="J3" s="5" t="s">
        <v>16</v>
      </c>
      <c r="K3" s="24">
        <v>890.0</v>
      </c>
      <c r="L3" s="5">
        <v>4.36633</v>
      </c>
      <c r="M3" s="5">
        <v>1.59452</v>
      </c>
      <c r="N3" s="5">
        <v>5.96084</v>
      </c>
      <c r="O3" s="5">
        <v>2.16456</v>
      </c>
    </row>
    <row r="4">
      <c r="A4" s="18" t="str">
        <f>IFERROR(__xludf.DUMMYFUNCTION("""COMPUTED_VALUE"""),"Tai Wesley")</f>
        <v>Tai Wesley</v>
      </c>
      <c r="B4" s="19" t="str">
        <f>IFERROR(__xludf.DUMMYFUNCTION("""COMPUTED_VALUE"""),"MEL")</f>
        <v>MEL</v>
      </c>
      <c r="C4" s="20">
        <f>IFERROR(__xludf.DUMMYFUNCTION("""COMPUTED_VALUE"""),854.6)</f>
        <v>854.6</v>
      </c>
      <c r="D4" s="21">
        <f>IFERROR(__xludf.DUMMYFUNCTION("""COMPUTED_VALUE"""),1.1808773012835372)</f>
        <v>1.180877301</v>
      </c>
      <c r="E4" s="21">
        <f>IFERROR(__xludf.DUMMYFUNCTION("""COMPUTED_VALUE"""),4.067256266043499)</f>
        <v>4.067256266</v>
      </c>
      <c r="F4" s="21">
        <f>IFERROR(__xludf.DUMMYFUNCTION("""COMPUTED_VALUE"""),5.248133567327036)</f>
        <v>5.248133567</v>
      </c>
      <c r="G4" s="23">
        <f>IFERROR(__xludf.DUMMYFUNCTION("""COMPUTED_VALUE"""),1.8733317555013322)</f>
        <v>1.873331756</v>
      </c>
      <c r="H4" s="4"/>
      <c r="I4" s="5" t="s">
        <v>26</v>
      </c>
      <c r="J4" s="5" t="s">
        <v>27</v>
      </c>
      <c r="K4" s="24">
        <v>855.0</v>
      </c>
      <c r="L4" s="5">
        <v>1.18088</v>
      </c>
      <c r="M4" s="5">
        <v>4.06726</v>
      </c>
      <c r="N4" s="5">
        <v>5.24813</v>
      </c>
      <c r="O4" s="5">
        <v>1.87333</v>
      </c>
    </row>
    <row r="5">
      <c r="A5" s="12" t="str">
        <f>IFERROR(__xludf.DUMMYFUNCTION("""COMPUTED_VALUE"""),"Josh Childress")</f>
        <v>Josh Childress</v>
      </c>
      <c r="B5" s="13" t="str">
        <f>IFERROR(__xludf.DUMMYFUNCTION("""COMPUTED_VALUE"""),"ADE")</f>
        <v>ADE</v>
      </c>
      <c r="C5" s="14">
        <f>IFERROR(__xludf.DUMMYFUNCTION("""COMPUTED_VALUE"""),714.1)</f>
        <v>714.1</v>
      </c>
      <c r="D5" s="15">
        <f>IFERROR(__xludf.DUMMYFUNCTION("""COMPUTED_VALUE"""),1.260673835962152)</f>
        <v>1.260673836</v>
      </c>
      <c r="E5" s="15">
        <f>IFERROR(__xludf.DUMMYFUNCTION("""COMPUTED_VALUE"""),2.69530524196935)</f>
        <v>2.695305242</v>
      </c>
      <c r="F5" s="15">
        <f>IFERROR(__xludf.DUMMYFUNCTION("""COMPUTED_VALUE"""),3.9559790779315023)</f>
        <v>3.955979078</v>
      </c>
      <c r="G5" s="17">
        <f>IFERROR(__xludf.DUMMYFUNCTION("""COMPUTED_VALUE"""),1.2993695312960962)</f>
        <v>1.299369531</v>
      </c>
      <c r="H5" s="4"/>
      <c r="I5" s="5" t="s">
        <v>31</v>
      </c>
      <c r="J5" s="5" t="s">
        <v>16</v>
      </c>
      <c r="K5" s="5">
        <v>714.0</v>
      </c>
      <c r="L5" s="5">
        <v>1.26067</v>
      </c>
      <c r="M5" s="5">
        <v>2.69531</v>
      </c>
      <c r="N5" s="5">
        <v>3.95598</v>
      </c>
      <c r="O5" s="5">
        <v>1.29937</v>
      </c>
    </row>
    <row r="6">
      <c r="A6" s="18" t="str">
        <f>IFERROR(__xludf.DUMMYFUNCTION("""COMPUTED_VALUE"""),"Casey Prather")</f>
        <v>Casey Prather</v>
      </c>
      <c r="B6" s="19" t="str">
        <f>IFERROR(__xludf.DUMMYFUNCTION("""COMPUTED_VALUE"""),"MEL")</f>
        <v>MEL</v>
      </c>
      <c r="C6" s="20">
        <f>IFERROR(__xludf.DUMMYFUNCTION("""COMPUTED_VALUE"""),660.0)</f>
        <v>660</v>
      </c>
      <c r="D6" s="21">
        <f>IFERROR(__xludf.DUMMYFUNCTION("""COMPUTED_VALUE"""),1.5455818794233258)</f>
        <v>1.545581879</v>
      </c>
      <c r="E6" s="21">
        <f>IFERROR(__xludf.DUMMYFUNCTION("""COMPUTED_VALUE"""),2.1092352061507462)</f>
        <v>2.109235206</v>
      </c>
      <c r="F6" s="21">
        <f>IFERROR(__xludf.DUMMYFUNCTION("""COMPUTED_VALUE"""),3.6548170855740723)</f>
        <v>3.654817086</v>
      </c>
      <c r="G6" s="23">
        <f>IFERROR(__xludf.DUMMYFUNCTION("""COMPUTED_VALUE"""),1.1287249259327006)</f>
        <v>1.128724926</v>
      </c>
      <c r="H6" s="4"/>
      <c r="I6" s="5" t="s">
        <v>35</v>
      </c>
      <c r="J6" s="5" t="s">
        <v>27</v>
      </c>
      <c r="K6" s="5">
        <v>660.0</v>
      </c>
      <c r="L6" s="5">
        <v>1.54558</v>
      </c>
      <c r="M6" s="5">
        <v>2.10924</v>
      </c>
      <c r="N6" s="5">
        <v>3.65482</v>
      </c>
      <c r="O6" s="5">
        <v>1.12872</v>
      </c>
    </row>
    <row r="7">
      <c r="A7" s="12" t="str">
        <f>IFERROR(__xludf.DUMMYFUNCTION("""COMPUTED_VALUE"""),"Bryce Cotton")</f>
        <v>Bryce Cotton</v>
      </c>
      <c r="B7" s="13" t="str">
        <f>IFERROR(__xludf.DUMMYFUNCTION("""COMPUTED_VALUE"""),"PER")</f>
        <v>PER</v>
      </c>
      <c r="C7" s="14">
        <f>IFERROR(__xludf.DUMMYFUNCTION("""COMPUTED_VALUE"""),979.7)</f>
        <v>979.7</v>
      </c>
      <c r="D7" s="15">
        <f>IFERROR(__xludf.DUMMYFUNCTION("""COMPUTED_VALUE"""),4.823549953172504)</f>
        <v>4.823549953</v>
      </c>
      <c r="E7" s="15">
        <f>IFERROR(__xludf.DUMMYFUNCTION("""COMPUTED_VALUE"""),-1.292597621238408)</f>
        <v>-1.292597621</v>
      </c>
      <c r="F7" s="15">
        <f>IFERROR(__xludf.DUMMYFUNCTION("""COMPUTED_VALUE"""),3.5309523319340963)</f>
        <v>3.530952332</v>
      </c>
      <c r="G7" s="17">
        <f>IFERROR(__xludf.DUMMYFUNCTION("""COMPUTED_VALUE"""),1.6609763452998705)</f>
        <v>1.660976345</v>
      </c>
      <c r="H7" s="4"/>
      <c r="I7" s="5" t="s">
        <v>38</v>
      </c>
      <c r="J7" s="5" t="s">
        <v>39</v>
      </c>
      <c r="K7" s="24">
        <v>980.0</v>
      </c>
      <c r="L7" s="5">
        <v>4.82355</v>
      </c>
      <c r="M7" s="5">
        <v>-1.2926</v>
      </c>
      <c r="N7" s="5">
        <v>3.53095</v>
      </c>
      <c r="O7" s="5">
        <v>1.66098</v>
      </c>
    </row>
    <row r="8">
      <c r="A8" s="18" t="str">
        <f>IFERROR(__xludf.DUMMYFUNCTION("""COMPUTED_VALUE"""),"Cameron Gliddon")</f>
        <v>Cameron Gliddon</v>
      </c>
      <c r="B8" s="19" t="str">
        <f>IFERROR(__xludf.DUMMYFUNCTION("""COMPUTED_VALUE"""),"CRN")</f>
        <v>CRN</v>
      </c>
      <c r="C8" s="20">
        <f>IFERROR(__xludf.DUMMYFUNCTION("""COMPUTED_VALUE"""),862.0)</f>
        <v>862</v>
      </c>
      <c r="D8" s="21">
        <f>IFERROR(__xludf.DUMMYFUNCTION("""COMPUTED_VALUE"""),3.0810568538912415)</f>
        <v>3.081056854</v>
      </c>
      <c r="E8" s="21">
        <f>IFERROR(__xludf.DUMMYFUNCTION("""COMPUTED_VALUE"""),0.4280038503209944)</f>
        <v>0.4280038503</v>
      </c>
      <c r="F8" s="21">
        <f>IFERROR(__xludf.DUMMYFUNCTION("""COMPUTED_VALUE"""),3.509060704212236)</f>
        <v>3.509060704</v>
      </c>
      <c r="G8" s="23">
        <f>IFERROR(__xludf.DUMMYFUNCTION("""COMPUTED_VALUE"""),1.4730872560528758)</f>
        <v>1.473087256</v>
      </c>
      <c r="H8" s="4"/>
      <c r="I8" s="5" t="s">
        <v>43</v>
      </c>
      <c r="J8" s="5" t="s">
        <v>44</v>
      </c>
      <c r="K8" s="5">
        <v>862.0</v>
      </c>
      <c r="L8" s="5">
        <v>3.08106</v>
      </c>
      <c r="M8" s="5">
        <v>0.428</v>
      </c>
      <c r="N8" s="5">
        <v>3.50906</v>
      </c>
      <c r="O8" s="5">
        <v>1.47309</v>
      </c>
    </row>
    <row r="9">
      <c r="A9" s="12" t="str">
        <f>IFERROR(__xludf.DUMMYFUNCTION("""COMPUTED_VALUE"""),"Nicholas Kay")</f>
        <v>Nicholas Kay</v>
      </c>
      <c r="B9" s="13" t="str">
        <f>IFERROR(__xludf.DUMMYFUNCTION("""COMPUTED_VALUE"""),"ILL")</f>
        <v>ILL</v>
      </c>
      <c r="C9" s="14">
        <f>IFERROR(__xludf.DUMMYFUNCTION("""COMPUTED_VALUE"""),717.3)</f>
        <v>717.3</v>
      </c>
      <c r="D9" s="15">
        <f>IFERROR(__xludf.DUMMYFUNCTION("""COMPUTED_VALUE"""),2.088779890988783)</f>
        <v>2.088779891</v>
      </c>
      <c r="E9" s="15">
        <f>IFERROR(__xludf.DUMMYFUNCTION("""COMPUTED_VALUE"""),1.1585569910144184)</f>
        <v>1.158556991</v>
      </c>
      <c r="F9" s="15">
        <f>IFERROR(__xludf.DUMMYFUNCTION("""COMPUTED_VALUE"""),3.2473368820032014)</f>
        <v>3.247336882</v>
      </c>
      <c r="G9" s="17">
        <f>IFERROR(__xludf.DUMMYFUNCTION("""COMPUTED_VALUE"""),1.1545032350408642)</f>
        <v>1.154503235</v>
      </c>
      <c r="H9" s="4"/>
      <c r="I9" s="5" t="s">
        <v>46</v>
      </c>
      <c r="J9" s="5" t="s">
        <v>47</v>
      </c>
      <c r="K9" s="5">
        <v>717.0</v>
      </c>
      <c r="L9" s="5">
        <v>2.08878</v>
      </c>
      <c r="M9" s="5">
        <v>1.15856</v>
      </c>
      <c r="N9" s="5">
        <v>3.24734</v>
      </c>
      <c r="O9" s="5">
        <v>1.1545</v>
      </c>
    </row>
    <row r="10">
      <c r="A10" s="18" t="str">
        <f>IFERROR(__xludf.DUMMYFUNCTION("""COMPUTED_VALUE"""),"Derek Cooke, Jr.")</f>
        <v>Derek Cooke, Jr.</v>
      </c>
      <c r="B10" s="19" t="str">
        <f>IFERROR(__xludf.DUMMYFUNCTION("""COMPUTED_VALUE"""),"PER")</f>
        <v>PER</v>
      </c>
      <c r="C10" s="20">
        <f>IFERROR(__xludf.DUMMYFUNCTION("""COMPUTED_VALUE"""),466.1)</f>
        <v>466.1</v>
      </c>
      <c r="D10" s="21">
        <f>IFERROR(__xludf.DUMMYFUNCTION("""COMPUTED_VALUE"""),-0.3195578519801295)</f>
        <v>-0.319557852</v>
      </c>
      <c r="E10" s="21">
        <f>IFERROR(__xludf.DUMMYFUNCTION("""COMPUTED_VALUE"""),3.5406215621873667)</f>
        <v>3.540621562</v>
      </c>
      <c r="F10" s="21">
        <f>IFERROR(__xludf.DUMMYFUNCTION("""COMPUTED_VALUE"""),3.221063710207237)</f>
        <v>3.22106371</v>
      </c>
      <c r="G10" s="23">
        <f>IFERROR(__xludf.DUMMYFUNCTION("""COMPUTED_VALUE"""),0.7459479410892437)</f>
        <v>0.7459479411</v>
      </c>
      <c r="H10" s="4"/>
      <c r="I10" s="5" t="s">
        <v>52</v>
      </c>
      <c r="J10" s="5" t="s">
        <v>39</v>
      </c>
      <c r="K10" s="24">
        <v>466.0</v>
      </c>
      <c r="L10" s="5">
        <v>-0.31956</v>
      </c>
      <c r="M10" s="5">
        <v>3.54062</v>
      </c>
      <c r="N10" s="5">
        <v>3.22106</v>
      </c>
      <c r="O10" s="5">
        <v>0.74595</v>
      </c>
    </row>
    <row r="11">
      <c r="A11" s="12" t="str">
        <f>IFERROR(__xludf.DUMMYFUNCTION("""COMPUTED_VALUE"""),"Mitchell McCarron")</f>
        <v>Mitchell McCarron</v>
      </c>
      <c r="B11" s="13" t="str">
        <f>IFERROR(__xludf.DUMMYFUNCTION("""COMPUTED_VALUE"""),"CRN")</f>
        <v>CRN</v>
      </c>
      <c r="C11" s="14">
        <f>IFERROR(__xludf.DUMMYFUNCTION("""COMPUTED_VALUE"""),859.6)</f>
        <v>859.6</v>
      </c>
      <c r="D11" s="15">
        <f>IFERROR(__xludf.DUMMYFUNCTION("""COMPUTED_VALUE"""),0.9289036899130527)</f>
        <v>0.9289036899</v>
      </c>
      <c r="E11" s="15">
        <f>IFERROR(__xludf.DUMMYFUNCTION("""COMPUTED_VALUE"""),1.8953268960762266)</f>
        <v>1.895326896</v>
      </c>
      <c r="F11" s="15">
        <f>IFERROR(__xludf.DUMMYFUNCTION("""COMPUTED_VALUE"""),2.8242305859892793)</f>
        <v>2.824230586</v>
      </c>
      <c r="G11" s="17">
        <f>IFERROR(__xludf.DUMMYFUNCTION("""COMPUTED_VALUE"""),1.2863765463874925)</f>
        <v>1.286376546</v>
      </c>
      <c r="H11" s="4"/>
      <c r="I11" s="5" t="s">
        <v>56</v>
      </c>
      <c r="J11" s="5" t="s">
        <v>44</v>
      </c>
      <c r="K11" s="5">
        <v>860.0</v>
      </c>
      <c r="L11" s="5">
        <v>0.9289</v>
      </c>
      <c r="M11" s="5">
        <v>1.89533</v>
      </c>
      <c r="N11" s="5">
        <v>2.82423</v>
      </c>
      <c r="O11" s="5">
        <v>1.28638</v>
      </c>
    </row>
    <row r="12">
      <c r="A12" s="18" t="str">
        <f>IFERROR(__xludf.DUMMYFUNCTION("""COMPUTED_VALUE"""),"Josh Boone")</f>
        <v>Josh Boone</v>
      </c>
      <c r="B12" s="19" t="str">
        <f>IFERROR(__xludf.DUMMYFUNCTION("""COMPUTED_VALUE"""),"MEL")</f>
        <v>MEL</v>
      </c>
      <c r="C12" s="20">
        <f>IFERROR(__xludf.DUMMYFUNCTION("""COMPUTED_VALUE"""),843.4)</f>
        <v>843.4</v>
      </c>
      <c r="D12" s="21">
        <f>IFERROR(__xludf.DUMMYFUNCTION("""COMPUTED_VALUE"""),1.4802955872637216)</f>
        <v>1.480295587</v>
      </c>
      <c r="E12" s="21">
        <f>IFERROR(__xludf.DUMMYFUNCTION("""COMPUTED_VALUE"""),1.2816340697831605)</f>
        <v>1.28163407</v>
      </c>
      <c r="F12" s="21">
        <f>IFERROR(__xludf.DUMMYFUNCTION("""COMPUTED_VALUE"""),2.761929657046882)</f>
        <v>2.761929657</v>
      </c>
      <c r="G12" s="23">
        <f>IFERROR(__xludf.DUMMYFUNCTION("""COMPUTED_VALUE"""),1.214624931252072)</f>
        <v>1.214624931</v>
      </c>
      <c r="H12" s="4"/>
      <c r="I12" s="5" t="s">
        <v>61</v>
      </c>
      <c r="J12" s="5" t="s">
        <v>27</v>
      </c>
      <c r="K12" s="24">
        <v>843.0</v>
      </c>
      <c r="L12" s="5">
        <v>1.4803</v>
      </c>
      <c r="M12" s="5">
        <v>1.28163</v>
      </c>
      <c r="N12" s="5">
        <v>2.76193</v>
      </c>
      <c r="O12" s="5">
        <v>1.21462</v>
      </c>
    </row>
    <row r="13">
      <c r="A13" s="12" t="str">
        <f>IFERROR(__xludf.DUMMYFUNCTION("""COMPUTED_VALUE"""),"J.P. Tokoto")</f>
        <v>J.P. Tokoto</v>
      </c>
      <c r="B13" s="13" t="str">
        <f>IFERROR(__xludf.DUMMYFUNCTION("""COMPUTED_VALUE"""),"PER")</f>
        <v>PER</v>
      </c>
      <c r="C13" s="14">
        <f>IFERROR(__xludf.DUMMYFUNCTION("""COMPUTED_VALUE"""),845.8)</f>
        <v>845.8</v>
      </c>
      <c r="D13" s="15">
        <f>IFERROR(__xludf.DUMMYFUNCTION("""COMPUTED_VALUE"""),-0.0821700494987288)</f>
        <v>-0.0821700495</v>
      </c>
      <c r="E13" s="15">
        <f>IFERROR(__xludf.DUMMYFUNCTION("""COMPUTED_VALUE"""),2.5567157755518024)</f>
        <v>2.556715776</v>
      </c>
      <c r="F13" s="15">
        <f>IFERROR(__xludf.DUMMYFUNCTION("""COMPUTED_VALUE"""),2.4745457260530737)</f>
        <v>2.474545726</v>
      </c>
      <c r="G13" s="17">
        <f>IFERROR(__xludf.DUMMYFUNCTION("""COMPUTED_VALUE"""),1.160077638000736)</f>
        <v>1.160077638</v>
      </c>
      <c r="H13" s="4"/>
      <c r="I13" s="5" t="s">
        <v>65</v>
      </c>
      <c r="J13" s="5" t="s">
        <v>39</v>
      </c>
      <c r="K13" s="24">
        <v>846.0</v>
      </c>
      <c r="L13" s="5">
        <v>-0.08217</v>
      </c>
      <c r="M13" s="5">
        <v>2.55672</v>
      </c>
      <c r="N13" s="5">
        <v>2.47455</v>
      </c>
      <c r="O13" s="5">
        <v>1.16008</v>
      </c>
    </row>
    <row r="14">
      <c r="A14" s="18" t="str">
        <f>IFERROR(__xludf.DUMMYFUNCTION("""COMPUTED_VALUE"""),"Chris Goulding")</f>
        <v>Chris Goulding</v>
      </c>
      <c r="B14" s="19" t="str">
        <f>IFERROR(__xludf.DUMMYFUNCTION("""COMPUTED_VALUE"""),"MEL")</f>
        <v>MEL</v>
      </c>
      <c r="C14" s="20">
        <f>IFERROR(__xludf.DUMMYFUNCTION("""COMPUTED_VALUE"""),1056.2)</f>
        <v>1056.2</v>
      </c>
      <c r="D14" s="21">
        <f>IFERROR(__xludf.DUMMYFUNCTION("""COMPUTED_VALUE"""),2.598800561612168)</f>
        <v>2.598800562</v>
      </c>
      <c r="E14" s="21">
        <f>IFERROR(__xludf.DUMMYFUNCTION("""COMPUTED_VALUE"""),-0.2996905115397639)</f>
        <v>-0.2996905115</v>
      </c>
      <c r="F14" s="21">
        <f>IFERROR(__xludf.DUMMYFUNCTION("""COMPUTED_VALUE"""),2.299110050072404)</f>
        <v>2.29911005</v>
      </c>
      <c r="G14" s="23">
        <f>IFERROR(__xludf.DUMMYFUNCTION("""COMPUTED_VALUE"""),1.3732523293719534)</f>
        <v>1.373252329</v>
      </c>
      <c r="H14" s="4"/>
      <c r="I14" s="5" t="s">
        <v>70</v>
      </c>
      <c r="J14" s="5" t="s">
        <v>27</v>
      </c>
      <c r="K14" s="24">
        <v>1056.0</v>
      </c>
      <c r="L14" s="5">
        <v>2.5988</v>
      </c>
      <c r="M14" s="5">
        <v>-0.29969</v>
      </c>
      <c r="N14" s="5">
        <v>2.29911</v>
      </c>
      <c r="O14" s="5">
        <v>1.37325</v>
      </c>
    </row>
    <row r="15">
      <c r="A15" s="12" t="str">
        <f>IFERROR(__xludf.DUMMYFUNCTION("""COMPUTED_VALUE"""),"Robert Loe")</f>
        <v>Robert Loe</v>
      </c>
      <c r="B15" s="13" t="str">
        <f>IFERROR(__xludf.DUMMYFUNCTION("""COMPUTED_VALUE"""),"NZB")</f>
        <v>NZB</v>
      </c>
      <c r="C15" s="14">
        <f>IFERROR(__xludf.DUMMYFUNCTION("""COMPUTED_VALUE"""),552.5)</f>
        <v>552.5</v>
      </c>
      <c r="D15" s="15">
        <f>IFERROR(__xludf.DUMMYFUNCTION("""COMPUTED_VALUE"""),0.8479410439277535)</f>
        <v>0.8479410439</v>
      </c>
      <c r="E15" s="15">
        <f>IFERROR(__xludf.DUMMYFUNCTION("""COMPUTED_VALUE"""),1.3688143322545412)</f>
        <v>1.368814332</v>
      </c>
      <c r="F15" s="15">
        <f>IFERROR(__xludf.DUMMYFUNCTION("""COMPUTED_VALUE"""),2.2167553761822947)</f>
        <v>2.216755376</v>
      </c>
      <c r="G15" s="17">
        <f>IFERROR(__xludf.DUMMYFUNCTION("""COMPUTED_VALUE"""),0.7109435718536864)</f>
        <v>0.7109435719</v>
      </c>
      <c r="H15" s="4"/>
      <c r="I15" s="5" t="s">
        <v>77</v>
      </c>
      <c r="J15" s="5" t="s">
        <v>78</v>
      </c>
      <c r="K15" s="5">
        <v>553.0</v>
      </c>
      <c r="L15" s="5">
        <v>0.84794</v>
      </c>
      <c r="M15" s="5">
        <v>1.36881</v>
      </c>
      <c r="N15" s="5">
        <v>2.21676</v>
      </c>
      <c r="O15" s="5">
        <v>0.71094</v>
      </c>
    </row>
    <row r="16">
      <c r="A16" s="18" t="str">
        <f>IFERROR(__xludf.DUMMYFUNCTION("""COMPUTED_VALUE"""),"Daniel Johnson")</f>
        <v>Daniel Johnson</v>
      </c>
      <c r="B16" s="19" t="str">
        <f>IFERROR(__xludf.DUMMYFUNCTION("""COMPUTED_VALUE"""),"ADE")</f>
        <v>ADE</v>
      </c>
      <c r="C16" s="20">
        <f>IFERROR(__xludf.DUMMYFUNCTION("""COMPUTED_VALUE"""),1029.0)</f>
        <v>1029</v>
      </c>
      <c r="D16" s="21">
        <f>IFERROR(__xludf.DUMMYFUNCTION("""COMPUTED_VALUE"""),1.7287063105630653)</f>
        <v>1.728706311</v>
      </c>
      <c r="E16" s="21">
        <f>IFERROR(__xludf.DUMMYFUNCTION("""COMPUTED_VALUE"""),0.3043972492509952)</f>
        <v>0.3043972493</v>
      </c>
      <c r="F16" s="21">
        <f>IFERROR(__xludf.DUMMYFUNCTION("""COMPUTED_VALUE"""),2.0331035598140605)</f>
        <v>2.03310356</v>
      </c>
      <c r="G16" s="23">
        <f>IFERROR(__xludf.DUMMYFUNCTION("""COMPUTED_VALUE"""),1.2678714741641286)</f>
        <v>1.267871474</v>
      </c>
      <c r="H16" s="4"/>
      <c r="I16" s="5" t="s">
        <v>81</v>
      </c>
      <c r="J16" s="5" t="s">
        <v>16</v>
      </c>
      <c r="K16" s="24">
        <v>1029.0</v>
      </c>
      <c r="L16" s="5">
        <v>1.72871</v>
      </c>
      <c r="M16" s="5">
        <v>0.3044</v>
      </c>
      <c r="N16" s="5">
        <v>2.0331</v>
      </c>
      <c r="O16" s="5">
        <v>1.26787</v>
      </c>
    </row>
    <row r="17">
      <c r="A17" s="12" t="str">
        <f>IFERROR(__xludf.DUMMYFUNCTION("""COMPUTED_VALUE"""),"Lucas Walker")</f>
        <v>Lucas Walker</v>
      </c>
      <c r="B17" s="13" t="str">
        <f>IFERROR(__xludf.DUMMYFUNCTION("""COMPUTED_VALUE"""),"PER")</f>
        <v>PER</v>
      </c>
      <c r="C17" s="14">
        <f>IFERROR(__xludf.DUMMYFUNCTION("""COMPUTED_VALUE"""),620.0)</f>
        <v>620</v>
      </c>
      <c r="D17" s="15">
        <f>IFERROR(__xludf.DUMMYFUNCTION("""COMPUTED_VALUE"""),1.4066814492602664)</f>
        <v>1.406681449</v>
      </c>
      <c r="E17" s="15">
        <f>IFERROR(__xludf.DUMMYFUNCTION("""COMPUTED_VALUE"""),0.5072567392778959)</f>
        <v>0.5072567393</v>
      </c>
      <c r="F17" s="15">
        <f>IFERROR(__xludf.DUMMYFUNCTION("""COMPUTED_VALUE"""),1.9139381885381623)</f>
        <v>1.913938189</v>
      </c>
      <c r="G17" s="17">
        <f>IFERROR(__xludf.DUMMYFUNCTION("""COMPUTED_VALUE"""),0.743834086372388)</f>
        <v>0.7438340864</v>
      </c>
      <c r="H17" s="4"/>
      <c r="I17" s="5" t="s">
        <v>86</v>
      </c>
      <c r="J17" s="5" t="s">
        <v>39</v>
      </c>
      <c r="K17" s="24">
        <v>620.0</v>
      </c>
      <c r="L17" s="5">
        <v>1.40668</v>
      </c>
      <c r="M17" s="5">
        <v>0.50726</v>
      </c>
      <c r="N17" s="5">
        <v>1.91394</v>
      </c>
      <c r="O17" s="5">
        <v>0.74383</v>
      </c>
    </row>
    <row r="18">
      <c r="A18" s="18" t="str">
        <f>IFERROR(__xludf.DUMMYFUNCTION("""COMPUTED_VALUE"""),"Damian Martin")</f>
        <v>Damian Martin</v>
      </c>
      <c r="B18" s="19" t="str">
        <f>IFERROR(__xludf.DUMMYFUNCTION("""COMPUTED_VALUE"""),"PER")</f>
        <v>PER</v>
      </c>
      <c r="C18" s="20">
        <f>IFERROR(__xludf.DUMMYFUNCTION("""COMPUTED_VALUE"""),720.8)</f>
        <v>720.8</v>
      </c>
      <c r="D18" s="21">
        <f>IFERROR(__xludf.DUMMYFUNCTION("""COMPUTED_VALUE"""),-0.7067745386339723)</f>
        <v>-0.7067745386</v>
      </c>
      <c r="E18" s="21">
        <f>IFERROR(__xludf.DUMMYFUNCTION("""COMPUTED_VALUE"""),2.5689772988952644)</f>
        <v>2.568977299</v>
      </c>
      <c r="F18" s="21">
        <f>IFERROR(__xludf.DUMMYFUNCTION("""COMPUTED_VALUE"""),1.862202760261292)</f>
        <v>1.86220276</v>
      </c>
      <c r="G18" s="23">
        <f>IFERROR(__xludf.DUMMYFUNCTION("""COMPUTED_VALUE"""),0.8533364008756301)</f>
        <v>0.8533364009</v>
      </c>
      <c r="H18" s="4"/>
      <c r="I18" s="5" t="s">
        <v>91</v>
      </c>
      <c r="J18" s="5" t="s">
        <v>39</v>
      </c>
      <c r="K18" s="24">
        <v>721.0</v>
      </c>
      <c r="L18" s="5">
        <v>-0.70677</v>
      </c>
      <c r="M18" s="5">
        <v>2.56898</v>
      </c>
      <c r="N18" s="5">
        <v>1.8622</v>
      </c>
      <c r="O18" s="5">
        <v>0.85334</v>
      </c>
    </row>
    <row r="19">
      <c r="A19" s="12" t="str">
        <f>IFERROR(__xludf.DUMMYFUNCTION("""COMPUTED_VALUE"""),"Shannon Shorter")</f>
        <v>Shannon Shorter</v>
      </c>
      <c r="B19" s="13" t="str">
        <f>IFERROR(__xludf.DUMMYFUNCTION("""COMPUTED_VALUE"""),"ADE")</f>
        <v>ADE</v>
      </c>
      <c r="C19" s="14">
        <f>IFERROR(__xludf.DUMMYFUNCTION("""COMPUTED_VALUE"""),943.2)</f>
        <v>943.2</v>
      </c>
      <c r="D19" s="15">
        <f>IFERROR(__xludf.DUMMYFUNCTION("""COMPUTED_VALUE"""),0.11494163261625578)</f>
        <v>0.1149416326</v>
      </c>
      <c r="E19" s="15">
        <f>IFERROR(__xludf.DUMMYFUNCTION("""COMPUTED_VALUE"""),1.5438818321921937)</f>
        <v>1.543881832</v>
      </c>
      <c r="F19" s="15">
        <f>IFERROR(__xludf.DUMMYFUNCTION("""COMPUTED_VALUE"""),1.6588234648084494)</f>
        <v>1.658823465</v>
      </c>
      <c r="G19" s="17">
        <f>IFERROR(__xludf.DUMMYFUNCTION("""COMPUTED_VALUE"""),1.0543036984467047)</f>
        <v>1.054303698</v>
      </c>
      <c r="H19" s="4"/>
      <c r="I19" s="5" t="s">
        <v>95</v>
      </c>
      <c r="J19" s="5" t="s">
        <v>16</v>
      </c>
      <c r="K19" s="5">
        <v>943.0</v>
      </c>
      <c r="L19" s="5">
        <v>0.11494</v>
      </c>
      <c r="M19" s="5">
        <v>1.54388</v>
      </c>
      <c r="N19" s="5">
        <v>1.65882</v>
      </c>
      <c r="O19" s="5">
        <v>1.0543</v>
      </c>
    </row>
    <row r="20">
      <c r="A20" s="18" t="str">
        <f>IFERROR(__xludf.DUMMYFUNCTION("""COMPUTED_VALUE"""),"A.J. Ogilvy")</f>
        <v>A.J. Ogilvy</v>
      </c>
      <c r="B20" s="19" t="str">
        <f>IFERROR(__xludf.DUMMYFUNCTION("""COMPUTED_VALUE"""),"ILL")</f>
        <v>ILL</v>
      </c>
      <c r="C20" s="20">
        <f>IFERROR(__xludf.DUMMYFUNCTION("""COMPUTED_VALUE"""),431.5)</f>
        <v>431.5</v>
      </c>
      <c r="D20" s="21">
        <f>IFERROR(__xludf.DUMMYFUNCTION("""COMPUTED_VALUE"""),-1.6720010572110298)</f>
        <v>-1.672001057</v>
      </c>
      <c r="E20" s="21">
        <f>IFERROR(__xludf.DUMMYFUNCTION("""COMPUTED_VALUE"""),3.31711198821961)</f>
        <v>3.317111988</v>
      </c>
      <c r="F20" s="21">
        <f>IFERROR(__xludf.DUMMYFUNCTION("""COMPUTED_VALUE"""),1.6451109310085803)</f>
        <v>1.645110931</v>
      </c>
      <c r="G20" s="23">
        <f>IFERROR(__xludf.DUMMYFUNCTION("""COMPUTED_VALUE"""),0.4824440182561566)</f>
        <v>0.4824440183</v>
      </c>
      <c r="H20" s="4"/>
      <c r="I20" s="5" t="s">
        <v>99</v>
      </c>
      <c r="J20" s="5" t="s">
        <v>47</v>
      </c>
      <c r="K20" s="5">
        <v>432.0</v>
      </c>
      <c r="L20" s="5">
        <v>-1.672</v>
      </c>
      <c r="M20" s="5">
        <v>3.31711</v>
      </c>
      <c r="N20" s="5">
        <v>1.64511</v>
      </c>
      <c r="O20" s="5">
        <v>0.48244</v>
      </c>
    </row>
    <row r="21">
      <c r="A21" s="12" t="str">
        <f>IFERROR(__xludf.DUMMYFUNCTION("""COMPUTED_VALUE"""),"Carrick Felix")</f>
        <v>Carrick Felix</v>
      </c>
      <c r="B21" s="13" t="str">
        <f>IFERROR(__xludf.DUMMYFUNCTION("""COMPUTED_VALUE"""),"MEL")</f>
        <v>MEL</v>
      </c>
      <c r="C21" s="14">
        <f>IFERROR(__xludf.DUMMYFUNCTION("""COMPUTED_VALUE"""),209.4)</f>
        <v>209.4</v>
      </c>
      <c r="D21" s="15">
        <f>IFERROR(__xludf.DUMMYFUNCTION("""COMPUTED_VALUE"""),-0.543553033291793)</f>
        <v>-0.5435530333</v>
      </c>
      <c r="E21" s="15">
        <f>IFERROR(__xludf.DUMMYFUNCTION("""COMPUTED_VALUE"""),2.0939922964676922)</f>
        <v>2.093992296</v>
      </c>
      <c r="F21" s="15">
        <f>IFERROR(__xludf.DUMMYFUNCTION("""COMPUTED_VALUE"""),1.5504392631758994)</f>
        <v>1.550439263</v>
      </c>
      <c r="G21" s="17">
        <f>IFERROR(__xludf.DUMMYFUNCTION("""COMPUTED_VALUE"""),0.2248455950460167)</f>
        <v>0.224845595</v>
      </c>
      <c r="H21" s="4"/>
      <c r="I21" s="5" t="s">
        <v>104</v>
      </c>
      <c r="J21" s="5" t="s">
        <v>27</v>
      </c>
      <c r="K21" s="5">
        <v>209.0</v>
      </c>
      <c r="L21" s="5">
        <v>-0.54355</v>
      </c>
      <c r="M21" s="5">
        <v>2.09399</v>
      </c>
      <c r="N21" s="5">
        <v>1.55044</v>
      </c>
      <c r="O21" s="5">
        <v>0.22485</v>
      </c>
    </row>
    <row r="22">
      <c r="A22" s="18" t="str">
        <f>IFERROR(__xludf.DUMMYFUNCTION("""COMPUTED_VALUE"""),"Perrin Buford")</f>
        <v>Perrin Buford</v>
      </c>
      <c r="B22" s="19" t="str">
        <f>IFERROR(__xludf.DUMMYFUNCTION("""COMPUTED_VALUE"""),"BRI")</f>
        <v>BRI</v>
      </c>
      <c r="C22" s="20">
        <f>IFERROR(__xludf.DUMMYFUNCTION("""COMPUTED_VALUE"""),695.2)</f>
        <v>695.2</v>
      </c>
      <c r="D22" s="21">
        <f>IFERROR(__xludf.DUMMYFUNCTION("""COMPUTED_VALUE"""),-0.08258158317308412)</f>
        <v>-0.08258158317</v>
      </c>
      <c r="E22" s="21">
        <f>IFERROR(__xludf.DUMMYFUNCTION("""COMPUTED_VALUE"""),1.584824246061573)</f>
        <v>1.584824246</v>
      </c>
      <c r="F22" s="21">
        <f>IFERROR(__xludf.DUMMYFUNCTION("""COMPUTED_VALUE"""),1.5022426628884888)</f>
        <v>1.502242663</v>
      </c>
      <c r="G22" s="23">
        <f>IFERROR(__xludf.DUMMYFUNCTION("""COMPUTED_VALUE"""),0.7412324636134121)</f>
        <v>0.7412324636</v>
      </c>
      <c r="H22" s="4"/>
      <c r="I22" s="5" t="s">
        <v>109</v>
      </c>
      <c r="J22" s="5" t="s">
        <v>110</v>
      </c>
      <c r="K22" s="5">
        <v>695.0</v>
      </c>
      <c r="L22" s="5">
        <v>-0.08258</v>
      </c>
      <c r="M22" s="5">
        <v>1.58482</v>
      </c>
      <c r="N22" s="5">
        <v>1.50224</v>
      </c>
      <c r="O22" s="5">
        <v>0.74123</v>
      </c>
    </row>
    <row r="23">
      <c r="A23" s="12" t="str">
        <f>IFERROR(__xludf.DUMMYFUNCTION("""COMPUTED_VALUE"""),"Ramone Moore")</f>
        <v>Ramone Moore</v>
      </c>
      <c r="B23" s="13" t="str">
        <f>IFERROR(__xludf.DUMMYFUNCTION("""COMPUTED_VALUE"""),"ADE")</f>
        <v>ADE</v>
      </c>
      <c r="C23" s="14">
        <f>IFERROR(__xludf.DUMMYFUNCTION("""COMPUTED_VALUE"""),729.8)</f>
        <v>729.8</v>
      </c>
      <c r="D23" s="15">
        <f>IFERROR(__xludf.DUMMYFUNCTION("""COMPUTED_VALUE"""),1.0147441685182144)</f>
        <v>1.014744169</v>
      </c>
      <c r="E23" s="15">
        <f>IFERROR(__xludf.DUMMYFUNCTION("""COMPUTED_VALUE"""),0.2240897645818074)</f>
        <v>0.2240897646</v>
      </c>
      <c r="F23" s="15">
        <f>IFERROR(__xludf.DUMMYFUNCTION("""COMPUTED_VALUE"""),1.2388339331000218)</f>
        <v>1.238833933</v>
      </c>
      <c r="G23" s="17">
        <f>IFERROR(__xludf.DUMMYFUNCTION("""COMPUTED_VALUE"""),0.7221260665946064)</f>
        <v>0.7221260666</v>
      </c>
      <c r="H23" s="4"/>
      <c r="I23" s="5" t="s">
        <v>115</v>
      </c>
      <c r="J23" s="5" t="s">
        <v>16</v>
      </c>
      <c r="K23" s="24">
        <v>730.0</v>
      </c>
      <c r="L23" s="5">
        <v>1.01474</v>
      </c>
      <c r="M23" s="5">
        <v>0.22409</v>
      </c>
      <c r="N23" s="5">
        <v>1.23883</v>
      </c>
      <c r="O23" s="5">
        <v>0.72213</v>
      </c>
    </row>
    <row r="24">
      <c r="A24" s="18" t="str">
        <f>IFERROR(__xludf.DUMMYFUNCTION("""COMPUTED_VALUE"""),"Demetrius Conger")</f>
        <v>Demetrius Conger</v>
      </c>
      <c r="B24" s="19" t="str">
        <f>IFERROR(__xludf.DUMMYFUNCTION("""COMPUTED_VALUE"""),"ILL")</f>
        <v>ILL</v>
      </c>
      <c r="C24" s="20">
        <f>IFERROR(__xludf.DUMMYFUNCTION("""COMPUTED_VALUE"""),808.7)</f>
        <v>808.7</v>
      </c>
      <c r="D24" s="21">
        <f>IFERROR(__xludf.DUMMYFUNCTION("""COMPUTED_VALUE"""),2.0991852405126656)</f>
        <v>2.099185241</v>
      </c>
      <c r="E24" s="21">
        <f>IFERROR(__xludf.DUMMYFUNCTION("""COMPUTED_VALUE"""),-0.8612909376384223)</f>
        <v>-0.8612909376</v>
      </c>
      <c r="F24" s="21">
        <f>IFERROR(__xludf.DUMMYFUNCTION("""COMPUTED_VALUE"""),1.2378943028742433)</f>
        <v>1.237894303</v>
      </c>
      <c r="G24" s="23">
        <f>IFERROR(__xludf.DUMMYFUNCTION("""COMPUTED_VALUE"""),0.8031663173957102)</f>
        <v>0.8031663174</v>
      </c>
      <c r="H24" s="4"/>
      <c r="I24" s="5" t="s">
        <v>119</v>
      </c>
      <c r="J24" s="5" t="s">
        <v>47</v>
      </c>
      <c r="K24" s="5">
        <v>809.0</v>
      </c>
      <c r="L24" s="5">
        <v>2.09919</v>
      </c>
      <c r="M24" s="5">
        <v>-0.86129</v>
      </c>
      <c r="N24" s="5">
        <v>1.23789</v>
      </c>
      <c r="O24" s="5">
        <v>0.80317</v>
      </c>
    </row>
    <row r="25">
      <c r="A25" s="12" t="str">
        <f>IFERROR(__xludf.DUMMYFUNCTION("""COMPUTED_VALUE"""),"Nnanna Egwu")</f>
        <v>Nnanna Egwu</v>
      </c>
      <c r="B25" s="13" t="str">
        <f>IFERROR(__xludf.DUMMYFUNCTION("""COMPUTED_VALUE"""),"CRN")</f>
        <v>CRN</v>
      </c>
      <c r="C25" s="14">
        <f>IFERROR(__xludf.DUMMYFUNCTION("""COMPUTED_VALUE"""),669.7)</f>
        <v>669.7</v>
      </c>
      <c r="D25" s="15">
        <f>IFERROR(__xludf.DUMMYFUNCTION("""COMPUTED_VALUE"""),-1.5065158112577737)</f>
        <v>-1.506515811</v>
      </c>
      <c r="E25" s="15">
        <f>IFERROR(__xludf.DUMMYFUNCTION("""COMPUTED_VALUE"""),2.587201913859376)</f>
        <v>2.587201914</v>
      </c>
      <c r="F25" s="15">
        <f>IFERROR(__xludf.DUMMYFUNCTION("""COMPUTED_VALUE"""),1.0806861026016021)</f>
        <v>1.080686103</v>
      </c>
      <c r="G25" s="17">
        <f>IFERROR(__xludf.DUMMYFUNCTION("""COMPUTED_VALUE"""),0.6399873606425444)</f>
        <v>0.6399873606</v>
      </c>
      <c r="H25" s="4"/>
      <c r="I25" s="5" t="s">
        <v>121</v>
      </c>
      <c r="J25" s="5" t="s">
        <v>44</v>
      </c>
      <c r="K25" s="5">
        <v>670.0</v>
      </c>
      <c r="L25" s="5">
        <v>-1.50652</v>
      </c>
      <c r="M25" s="5">
        <v>2.5872</v>
      </c>
      <c r="N25" s="5">
        <v>1.08069</v>
      </c>
      <c r="O25" s="5">
        <v>0.63999</v>
      </c>
    </row>
    <row r="26">
      <c r="A26" s="18" t="str">
        <f>IFERROR(__xludf.DUMMYFUNCTION("""COMPUTED_VALUE"""),"Dane Pineau")</f>
        <v>Dane Pineau</v>
      </c>
      <c r="B26" s="19" t="str">
        <f>IFERROR(__xludf.DUMMYFUNCTION("""COMPUTED_VALUE"""),"SYD")</f>
        <v>SYD</v>
      </c>
      <c r="C26" s="20">
        <f>IFERROR(__xludf.DUMMYFUNCTION("""COMPUTED_VALUE"""),266.1)</f>
        <v>266.1</v>
      </c>
      <c r="D26" s="21">
        <f>IFERROR(__xludf.DUMMYFUNCTION("""COMPUTED_VALUE"""),0.29321587949089806)</f>
        <v>0.2932158795</v>
      </c>
      <c r="E26" s="21">
        <f>IFERROR(__xludf.DUMMYFUNCTION("""COMPUTED_VALUE"""),0.7539045923788592)</f>
        <v>0.7539045924</v>
      </c>
      <c r="F26" s="21">
        <f>IFERROR(__xludf.DUMMYFUNCTION("""COMPUTED_VALUE"""),1.0471204718697573)</f>
        <v>1.047120472</v>
      </c>
      <c r="G26" s="23">
        <f>IFERROR(__xludf.DUMMYFUNCTION("""COMPUTED_VALUE"""),0.2452145699014236)</f>
        <v>0.2452145699</v>
      </c>
      <c r="H26" s="4"/>
      <c r="I26" s="5" t="s">
        <v>124</v>
      </c>
      <c r="J26" s="5" t="s">
        <v>125</v>
      </c>
      <c r="K26" s="24">
        <v>266.0</v>
      </c>
      <c r="L26" s="5">
        <v>0.29322</v>
      </c>
      <c r="M26" s="5">
        <v>0.7539</v>
      </c>
      <c r="N26" s="5">
        <v>1.04712</v>
      </c>
      <c r="O26" s="5">
        <v>0.24521</v>
      </c>
    </row>
    <row r="27">
      <c r="A27" s="12" t="str">
        <f>IFERROR(__xludf.DUMMYFUNCTION("""COMPUTED_VALUE"""),"Casper Ware")</f>
        <v>Casper Ware</v>
      </c>
      <c r="B27" s="13" t="str">
        <f>IFERROR(__xludf.DUMMYFUNCTION("""COMPUTED_VALUE"""),"MEL")</f>
        <v>MEL</v>
      </c>
      <c r="C27" s="14">
        <f>IFERROR(__xludf.DUMMYFUNCTION("""COMPUTED_VALUE"""),1140.1)</f>
        <v>1140.1</v>
      </c>
      <c r="D27" s="15">
        <f>IFERROR(__xludf.DUMMYFUNCTION("""COMPUTED_VALUE"""),1.3152129926549099)</f>
        <v>1.315212993</v>
      </c>
      <c r="E27" s="15">
        <f>IFERROR(__xludf.DUMMYFUNCTION("""COMPUTED_VALUE"""),-0.31158206903200125)</f>
        <v>-0.311582069</v>
      </c>
      <c r="F27" s="15">
        <f>IFERROR(__xludf.DUMMYFUNCTION("""COMPUTED_VALUE"""),1.0036309236229086)</f>
        <v>1.003630924</v>
      </c>
      <c r="G27" s="17">
        <f>IFERROR(__xludf.DUMMYFUNCTION("""COMPUTED_VALUE"""),1.0356550598508856)</f>
        <v>1.03565506</v>
      </c>
      <c r="H27" s="4"/>
      <c r="I27" s="5" t="s">
        <v>127</v>
      </c>
      <c r="J27" s="5" t="s">
        <v>27</v>
      </c>
      <c r="K27" s="24">
        <v>1140.0</v>
      </c>
      <c r="L27" s="5">
        <v>1.31521</v>
      </c>
      <c r="M27" s="5">
        <v>-0.31158</v>
      </c>
      <c r="N27" s="5">
        <v>1.00363</v>
      </c>
      <c r="O27" s="5">
        <v>1.03566</v>
      </c>
    </row>
    <row r="28">
      <c r="A28" s="18" t="str">
        <f>IFERROR(__xludf.DUMMYFUNCTION("""COMPUTED_VALUE"""),"Tohi Smith-Milner")</f>
        <v>Tohi Smith-Milner</v>
      </c>
      <c r="B28" s="19" t="str">
        <f>IFERROR(__xludf.DUMMYFUNCTION("""COMPUTED_VALUE"""),"MEL")</f>
        <v>MEL</v>
      </c>
      <c r="C28" s="20">
        <f>IFERROR(__xludf.DUMMYFUNCTION("""COMPUTED_VALUE"""),163.4)</f>
        <v>163.4</v>
      </c>
      <c r="D28" s="21">
        <f>IFERROR(__xludf.DUMMYFUNCTION("""COMPUTED_VALUE"""),-0.15547682856112638)</f>
        <v>-0.1554768286</v>
      </c>
      <c r="E28" s="21">
        <f>IFERROR(__xludf.DUMMYFUNCTION("""COMPUTED_VALUE"""),1.153645783642186)</f>
        <v>1.153645784</v>
      </c>
      <c r="F28" s="21">
        <f>IFERROR(__xludf.DUMMYFUNCTION("""COMPUTED_VALUE"""),0.9981689550810597)</f>
        <v>0.9981689551</v>
      </c>
      <c r="G28" s="23">
        <f>IFERROR(__xludf.DUMMYFUNCTION("""COMPUTED_VALUE"""),0.14816095675631152)</f>
        <v>0.1481609568</v>
      </c>
      <c r="H28" s="4"/>
      <c r="I28" s="5" t="s">
        <v>130</v>
      </c>
      <c r="J28" s="5" t="s">
        <v>27</v>
      </c>
      <c r="K28" s="5">
        <v>163.0</v>
      </c>
      <c r="L28" s="5">
        <v>-0.15548</v>
      </c>
      <c r="M28" s="5">
        <v>1.15365</v>
      </c>
      <c r="N28" s="5">
        <v>0.99817</v>
      </c>
      <c r="O28" s="5">
        <v>0.14816</v>
      </c>
    </row>
    <row r="29">
      <c r="A29" s="12" t="str">
        <f>IFERROR(__xludf.DUMMYFUNCTION("""COMPUTED_VALUE"""),"David Barlow")</f>
        <v>David Barlow</v>
      </c>
      <c r="B29" s="13" t="str">
        <f>IFERROR(__xludf.DUMMYFUNCTION("""COMPUTED_VALUE"""),"MEL")</f>
        <v>MEL</v>
      </c>
      <c r="C29" s="14">
        <f>IFERROR(__xludf.DUMMYFUNCTION("""COMPUTED_VALUE"""),495.0)</f>
        <v>495</v>
      </c>
      <c r="D29" s="15">
        <f>IFERROR(__xludf.DUMMYFUNCTION("""COMPUTED_VALUE"""),-0.2827793135021686)</f>
        <v>-0.2827793135</v>
      </c>
      <c r="E29" s="15">
        <f>IFERROR(__xludf.DUMMYFUNCTION("""COMPUTED_VALUE"""),1.2684004990572642)</f>
        <v>1.268400499</v>
      </c>
      <c r="F29" s="15">
        <f>IFERROR(__xludf.DUMMYFUNCTION("""COMPUTED_VALUE"""),0.9856211855550956)</f>
        <v>0.9856211856</v>
      </c>
      <c r="G29" s="17">
        <f>IFERROR(__xludf.DUMMYFUNCTION("""COMPUTED_VALUE"""),0.44695677161589353)</f>
        <v>0.4469567716</v>
      </c>
      <c r="H29" s="4"/>
      <c r="I29" s="5" t="s">
        <v>134</v>
      </c>
      <c r="J29" s="5" t="s">
        <v>27</v>
      </c>
      <c r="K29" s="5">
        <v>495.0</v>
      </c>
      <c r="L29" s="5">
        <v>-0.28278</v>
      </c>
      <c r="M29" s="5">
        <v>1.2684</v>
      </c>
      <c r="N29" s="5">
        <v>0.98562</v>
      </c>
      <c r="O29" s="5">
        <v>0.44696</v>
      </c>
    </row>
    <row r="30">
      <c r="A30" s="18" t="str">
        <f>IFERROR(__xludf.DUMMYFUNCTION("""COMPUTED_VALUE"""),"D.J. Newbill")</f>
        <v>D.J. Newbill</v>
      </c>
      <c r="B30" s="19" t="str">
        <f>IFERROR(__xludf.DUMMYFUNCTION("""COMPUTED_VALUE"""),"NZB")</f>
        <v>NZB</v>
      </c>
      <c r="C30" s="20">
        <f>IFERROR(__xludf.DUMMYFUNCTION("""COMPUTED_VALUE"""),916.5)</f>
        <v>916.5</v>
      </c>
      <c r="D30" s="21">
        <f>IFERROR(__xludf.DUMMYFUNCTION("""COMPUTED_VALUE"""),0.8698853456004894)</f>
        <v>0.8698853456</v>
      </c>
      <c r="E30" s="21">
        <f>IFERROR(__xludf.DUMMYFUNCTION("""COMPUTED_VALUE"""),0.03469046418747446)</f>
        <v>0.03469046419</v>
      </c>
      <c r="F30" s="21">
        <f>IFERROR(__xludf.DUMMYFUNCTION("""COMPUTED_VALUE"""),0.9045758097879638)</f>
        <v>0.9045758098</v>
      </c>
      <c r="G30" s="23">
        <f>IFERROR(__xludf.DUMMYFUNCTION("""COMPUTED_VALUE"""),0.8123433461376185)</f>
        <v>0.8123433461</v>
      </c>
      <c r="H30" s="4"/>
      <c r="I30" s="5" t="s">
        <v>140</v>
      </c>
      <c r="J30" s="5" t="s">
        <v>78</v>
      </c>
      <c r="K30" s="5">
        <v>917.0</v>
      </c>
      <c r="L30" s="5">
        <v>0.86989</v>
      </c>
      <c r="M30" s="5">
        <v>0.03469</v>
      </c>
      <c r="N30" s="5">
        <v>0.90458</v>
      </c>
      <c r="O30" s="5">
        <v>0.81234</v>
      </c>
    </row>
    <row r="31">
      <c r="A31" s="12" t="str">
        <f>IFERROR(__xludf.DUMMYFUNCTION("""COMPUTED_VALUE"""),"Edgar Sosa")</f>
        <v>Edgar Sosa</v>
      </c>
      <c r="B31" s="13" t="str">
        <f>IFERROR(__xludf.DUMMYFUNCTION("""COMPUTED_VALUE"""),"NZB")</f>
        <v>NZB</v>
      </c>
      <c r="C31" s="14">
        <f>IFERROR(__xludf.DUMMYFUNCTION("""COMPUTED_VALUE"""),775.4)</f>
        <v>775.4</v>
      </c>
      <c r="D31" s="15">
        <f>IFERROR(__xludf.DUMMYFUNCTION("""COMPUTED_VALUE"""),3.3791773453060836)</f>
        <v>3.379177345</v>
      </c>
      <c r="E31" s="15">
        <f>IFERROR(__xludf.DUMMYFUNCTION("""COMPUTED_VALUE"""),-2.486402180145493)</f>
        <v>-2.48640218</v>
      </c>
      <c r="F31" s="15">
        <f>IFERROR(__xludf.DUMMYFUNCTION("""COMPUTED_VALUE"""),0.8927751651605905)</f>
        <v>0.8927751652</v>
      </c>
      <c r="G31" s="17">
        <f>IFERROR(__xludf.DUMMYFUNCTION("""COMPUTED_VALUE"""),0.6844865505978613)</f>
        <v>0.6844865506</v>
      </c>
      <c r="H31" s="4"/>
      <c r="I31" s="5" t="s">
        <v>142</v>
      </c>
      <c r="J31" s="5" t="s">
        <v>78</v>
      </c>
      <c r="K31" s="24">
        <v>775.0</v>
      </c>
      <c r="L31" s="5">
        <v>3.37918</v>
      </c>
      <c r="M31" s="5">
        <v>-2.4864</v>
      </c>
      <c r="N31" s="5">
        <v>0.89278</v>
      </c>
      <c r="O31" s="5">
        <v>0.68449</v>
      </c>
    </row>
    <row r="32">
      <c r="A32" s="18" t="str">
        <f>IFERROR(__xludf.DUMMYFUNCTION("""COMPUTED_VALUE"""),"Jesse Wagstaff")</f>
        <v>Jesse Wagstaff</v>
      </c>
      <c r="B32" s="19" t="str">
        <f>IFERROR(__xludf.DUMMYFUNCTION("""COMPUTED_VALUE"""),"PER")</f>
        <v>PER</v>
      </c>
      <c r="C32" s="20">
        <f>IFERROR(__xludf.DUMMYFUNCTION("""COMPUTED_VALUE"""),602.2)</f>
        <v>602.2</v>
      </c>
      <c r="D32" s="21">
        <f>IFERROR(__xludf.DUMMYFUNCTION("""COMPUTED_VALUE"""),1.4194604743772443)</f>
        <v>1.419460474</v>
      </c>
      <c r="E32" s="21">
        <f>IFERROR(__xludf.DUMMYFUNCTION("""COMPUTED_VALUE"""),-0.7667063103529814)</f>
        <v>-0.7667063104</v>
      </c>
      <c r="F32" s="21">
        <f>IFERROR(__xludf.DUMMYFUNCTION("""COMPUTED_VALUE"""),0.6527541640242629)</f>
        <v>0.652754164</v>
      </c>
      <c r="G32" s="23">
        <f>IFERROR(__xludf.DUMMYFUNCTION("""COMPUTED_VALUE"""),0.4896752796381325)</f>
        <v>0.4896752796</v>
      </c>
      <c r="H32" s="4"/>
      <c r="I32" s="5" t="s">
        <v>145</v>
      </c>
      <c r="J32" s="5" t="s">
        <v>39</v>
      </c>
      <c r="K32" s="24">
        <v>602.0</v>
      </c>
      <c r="L32" s="5">
        <v>1.41946</v>
      </c>
      <c r="M32" s="5">
        <v>-0.76671</v>
      </c>
      <c r="N32" s="5">
        <v>0.65275</v>
      </c>
      <c r="O32" s="5">
        <v>0.48968</v>
      </c>
    </row>
    <row r="33">
      <c r="A33" s="12" t="str">
        <f>IFERROR(__xludf.DUMMYFUNCTION("""COMPUTED_VALUE"""),"Angus Brandt")</f>
        <v>Angus Brandt</v>
      </c>
      <c r="B33" s="13" t="str">
        <f>IFERROR(__xludf.DUMMYFUNCTION("""COMPUTED_VALUE"""),"PER")</f>
        <v>PER</v>
      </c>
      <c r="C33" s="14">
        <f>IFERROR(__xludf.DUMMYFUNCTION("""COMPUTED_VALUE"""),549.2)</f>
        <v>549.2</v>
      </c>
      <c r="D33" s="15">
        <f>IFERROR(__xludf.DUMMYFUNCTION("""COMPUTED_VALUE"""),0.9392694331919167)</f>
        <v>0.9392694332</v>
      </c>
      <c r="E33" s="15">
        <f>IFERROR(__xludf.DUMMYFUNCTION("""COMPUTED_VALUE"""),-0.31596194104815445)</f>
        <v>-0.315961941</v>
      </c>
      <c r="F33" s="15">
        <f>IFERROR(__xludf.DUMMYFUNCTION("""COMPUTED_VALUE"""),0.6233074921437622)</f>
        <v>0.6233074921</v>
      </c>
      <c r="G33" s="17">
        <f>IFERROR(__xludf.DUMMYFUNCTION("""COMPUTED_VALUE"""),0.44162144259279346)</f>
        <v>0.4416214426</v>
      </c>
      <c r="H33" s="4"/>
      <c r="I33" s="5" t="s">
        <v>146</v>
      </c>
      <c r="J33" s="5" t="s">
        <v>39</v>
      </c>
      <c r="K33" s="24">
        <v>549.0</v>
      </c>
      <c r="L33" s="5">
        <v>0.93927</v>
      </c>
      <c r="M33" s="5">
        <v>-0.31596</v>
      </c>
      <c r="N33" s="5">
        <v>0.62331</v>
      </c>
      <c r="O33" s="5">
        <v>0.44162</v>
      </c>
    </row>
    <row r="34">
      <c r="A34" s="18" t="str">
        <f>IFERROR(__xludf.DUMMYFUNCTION("""COMPUTED_VALUE"""),"Jason Cadee")</f>
        <v>Jason Cadee</v>
      </c>
      <c r="B34" s="19" t="str">
        <f>IFERROR(__xludf.DUMMYFUNCTION("""COMPUTED_VALUE"""),"SYD")</f>
        <v>SYD</v>
      </c>
      <c r="C34" s="20">
        <f>IFERROR(__xludf.DUMMYFUNCTION("""COMPUTED_VALUE"""),792.8)</f>
        <v>792.8</v>
      </c>
      <c r="D34" s="21">
        <f>IFERROR(__xludf.DUMMYFUNCTION("""COMPUTED_VALUE"""),2.3452386293879965)</f>
        <v>2.345238629</v>
      </c>
      <c r="E34" s="21">
        <f>IFERROR(__xludf.DUMMYFUNCTION("""COMPUTED_VALUE"""),-1.8083400863267975)</f>
        <v>-1.808340086</v>
      </c>
      <c r="F34" s="21">
        <f>IFERROR(__xludf.DUMMYFUNCTION("""COMPUTED_VALUE"""),0.536898543061199)</f>
        <v>0.5368985431</v>
      </c>
      <c r="G34" s="23">
        <f>IFERROR(__xludf.DUMMYFUNCTION("""COMPUTED_VALUE"""),0.6082449503088982)</f>
        <v>0.6082449503</v>
      </c>
      <c r="H34" s="4"/>
      <c r="I34" s="5" t="s">
        <v>149</v>
      </c>
      <c r="J34" s="5" t="s">
        <v>125</v>
      </c>
      <c r="K34" s="24">
        <v>793.0</v>
      </c>
      <c r="L34" s="5">
        <v>2.34524</v>
      </c>
      <c r="M34" s="5">
        <v>-1.80834</v>
      </c>
      <c r="N34" s="5">
        <v>0.5369</v>
      </c>
      <c r="O34" s="5">
        <v>0.60824</v>
      </c>
    </row>
    <row r="35">
      <c r="A35" s="12" t="str">
        <f>IFERROR(__xludf.DUMMYFUNCTION("""COMPUTED_VALUE"""),"Travis Trice")</f>
        <v>Travis Trice</v>
      </c>
      <c r="B35" s="13" t="str">
        <f>IFERROR(__xludf.DUMMYFUNCTION("""COMPUTED_VALUE"""),"BRI")</f>
        <v>BRI</v>
      </c>
      <c r="C35" s="14">
        <f>IFERROR(__xludf.DUMMYFUNCTION("""COMPUTED_VALUE"""),815.4)</f>
        <v>815.4</v>
      </c>
      <c r="D35" s="15">
        <f>IFERROR(__xludf.DUMMYFUNCTION("""COMPUTED_VALUE"""),1.5611469977403076)</f>
        <v>1.561146998</v>
      </c>
      <c r="E35" s="15">
        <f>IFERROR(__xludf.DUMMYFUNCTION("""COMPUTED_VALUE"""),-1.0565974627332777)</f>
        <v>-1.056597463</v>
      </c>
      <c r="F35" s="15">
        <f>IFERROR(__xludf.DUMMYFUNCTION("""COMPUTED_VALUE"""),0.5045495350070299)</f>
        <v>0.504549535</v>
      </c>
      <c r="G35" s="17">
        <f>IFERROR(__xludf.DUMMYFUNCTION("""COMPUTED_VALUE"""),0.6217256240391457)</f>
        <v>0.621725624</v>
      </c>
      <c r="H35" s="4"/>
      <c r="I35" s="5" t="s">
        <v>151</v>
      </c>
      <c r="J35" s="5" t="s">
        <v>110</v>
      </c>
      <c r="K35" s="5">
        <v>815.0</v>
      </c>
      <c r="L35" s="5">
        <v>1.56115</v>
      </c>
      <c r="M35" s="5">
        <v>-1.0566</v>
      </c>
      <c r="N35" s="5">
        <v>0.50455</v>
      </c>
      <c r="O35" s="5">
        <v>0.62173</v>
      </c>
    </row>
    <row r="36">
      <c r="A36" s="18" t="str">
        <f>IFERROR(__xludf.DUMMYFUNCTION("""COMPUTED_VALUE"""),"Alex Pledger")</f>
        <v>Alex Pledger</v>
      </c>
      <c r="B36" s="19" t="str">
        <f>IFERROR(__xludf.DUMMYFUNCTION("""COMPUTED_VALUE"""),"NZB")</f>
        <v>NZB</v>
      </c>
      <c r="C36" s="20">
        <f>IFERROR(__xludf.DUMMYFUNCTION("""COMPUTED_VALUE"""),432.6)</f>
        <v>432.6</v>
      </c>
      <c r="D36" s="21">
        <f>IFERROR(__xludf.DUMMYFUNCTION("""COMPUTED_VALUE"""),-0.895401157136913)</f>
        <v>-0.8954011571</v>
      </c>
      <c r="E36" s="21">
        <f>IFERROR(__xludf.DUMMYFUNCTION("""COMPUTED_VALUE"""),1.3921367328152507)</f>
        <v>1.392136733</v>
      </c>
      <c r="F36" s="21">
        <f>IFERROR(__xludf.DUMMYFUNCTION("""COMPUTED_VALUE"""),0.4967355756783377)</f>
        <v>0.4967355757</v>
      </c>
      <c r="G36" s="23">
        <f>IFERROR(__xludf.DUMMYFUNCTION("""COMPUTED_VALUE"""),0.3295971947980106)</f>
        <v>0.3295971948</v>
      </c>
      <c r="H36" s="4"/>
      <c r="I36" s="5" t="s">
        <v>153</v>
      </c>
      <c r="J36" s="5" t="s">
        <v>78</v>
      </c>
      <c r="K36" s="5">
        <v>433.0</v>
      </c>
      <c r="L36" s="5">
        <v>-0.8954</v>
      </c>
      <c r="M36" s="5">
        <v>1.39214</v>
      </c>
      <c r="N36" s="5">
        <v>0.49674</v>
      </c>
      <c r="O36" s="5">
        <v>0.3296</v>
      </c>
    </row>
    <row r="37">
      <c r="A37" s="12" t="str">
        <f>IFERROR(__xludf.DUMMYFUNCTION("""COMPUTED_VALUE"""),"Cody Ellis")</f>
        <v>Cody Ellis</v>
      </c>
      <c r="B37" s="13" t="str">
        <f>IFERROR(__xludf.DUMMYFUNCTION("""COMPUTED_VALUE"""),"ILL")</f>
        <v>ILL</v>
      </c>
      <c r="C37" s="14">
        <f>IFERROR(__xludf.DUMMYFUNCTION("""COMPUTED_VALUE"""),315.0)</f>
        <v>315</v>
      </c>
      <c r="D37" s="15">
        <f>IFERROR(__xludf.DUMMYFUNCTION("""COMPUTED_VALUE"""),1.1584042238738688)</f>
        <v>1.158404224</v>
      </c>
      <c r="E37" s="15">
        <f>IFERROR(__xludf.DUMMYFUNCTION("""COMPUTED_VALUE"""),-0.6876932933982608)</f>
        <v>-0.6876932934</v>
      </c>
      <c r="F37" s="15">
        <f>IFERROR(__xludf.DUMMYFUNCTION("""COMPUTED_VALUE"""),0.47071093047560797)</f>
        <v>0.4707109305</v>
      </c>
      <c r="G37" s="17">
        <f>IFERROR(__xludf.DUMMYFUNCTION("""COMPUTED_VALUE"""),0.23871948378754332)</f>
        <v>0.2387194838</v>
      </c>
      <c r="H37" s="4"/>
      <c r="I37" s="5" t="s">
        <v>157</v>
      </c>
      <c r="J37" s="5" t="s">
        <v>47</v>
      </c>
      <c r="K37" s="5">
        <v>315.0</v>
      </c>
      <c r="L37" s="5">
        <v>1.1584</v>
      </c>
      <c r="M37" s="5">
        <v>-0.68769</v>
      </c>
      <c r="N37" s="5">
        <v>0.47071</v>
      </c>
      <c r="O37" s="5">
        <v>0.23872</v>
      </c>
    </row>
    <row r="38">
      <c r="A38" s="18" t="str">
        <f>IFERROR(__xludf.DUMMYFUNCTION("""COMPUTED_VALUE"""),"Travis Leslie")</f>
        <v>Travis Leslie</v>
      </c>
      <c r="B38" s="19" t="str">
        <f>IFERROR(__xludf.DUMMYFUNCTION("""COMPUTED_VALUE"""),"SYD")</f>
        <v>SYD</v>
      </c>
      <c r="C38" s="20">
        <f>IFERROR(__xludf.DUMMYFUNCTION("""COMPUTED_VALUE"""),209.9)</f>
        <v>209.9</v>
      </c>
      <c r="D38" s="21">
        <f>IFERROR(__xludf.DUMMYFUNCTION("""COMPUTED_VALUE"""),0.5710557707820751)</f>
        <v>0.5710557708</v>
      </c>
      <c r="E38" s="21">
        <f>IFERROR(__xludf.DUMMYFUNCTION("""COMPUTED_VALUE"""),-0.11511100834799548)</f>
        <v>-0.1151110083</v>
      </c>
      <c r="F38" s="21">
        <f>IFERROR(__xludf.DUMMYFUNCTION("""COMPUTED_VALUE"""),0.45594476243407966)</f>
        <v>0.4559447624</v>
      </c>
      <c r="G38" s="23">
        <f>IFERROR(__xludf.DUMMYFUNCTION("""COMPUTED_VALUE"""),0.15589881167795602)</f>
        <v>0.1558988117</v>
      </c>
      <c r="H38" s="4"/>
      <c r="I38" s="5" t="s">
        <v>159</v>
      </c>
      <c r="J38" s="5" t="s">
        <v>125</v>
      </c>
      <c r="K38" s="5">
        <v>210.0</v>
      </c>
      <c r="L38" s="5">
        <v>0.57106</v>
      </c>
      <c r="M38" s="5">
        <v>-0.11511</v>
      </c>
      <c r="N38" s="5">
        <v>0.45594</v>
      </c>
      <c r="O38" s="5">
        <v>0.1559</v>
      </c>
    </row>
    <row r="39">
      <c r="A39" s="12" t="str">
        <f>IFERROR(__xludf.DUMMYFUNCTION("""COMPUTED_VALUE"""),"Caleb Davis")</f>
        <v>Caleb Davis</v>
      </c>
      <c r="B39" s="13" t="str">
        <f>IFERROR(__xludf.DUMMYFUNCTION("""COMPUTED_VALUE"""),"ADE")</f>
        <v>ADE</v>
      </c>
      <c r="C39" s="14">
        <f>IFERROR(__xludf.DUMMYFUNCTION("""COMPUTED_VALUE"""),10.1)</f>
        <v>10.1</v>
      </c>
      <c r="D39" s="15">
        <f>IFERROR(__xludf.DUMMYFUNCTION("""COMPUTED_VALUE"""),0.3099175483229293)</f>
        <v>0.3099175483</v>
      </c>
      <c r="E39" s="15">
        <f>IFERROR(__xludf.DUMMYFUNCTION("""COMPUTED_VALUE"""),-0.03550566241444514)</f>
        <v>-0.03550566241</v>
      </c>
      <c r="F39" s="15">
        <f>IFERROR(__xludf.DUMMYFUNCTION("""COMPUTED_VALUE"""),0.27441188590848414)</f>
        <v>0.2744118859</v>
      </c>
      <c r="G39" s="17">
        <f>IFERROR(__xludf.DUMMYFUNCTION("""COMPUTED_VALUE"""),0.00701796135384995)</f>
        <v>0.007017961354</v>
      </c>
      <c r="H39" s="4"/>
      <c r="I39" s="5" t="s">
        <v>162</v>
      </c>
      <c r="J39" s="5" t="s">
        <v>16</v>
      </c>
      <c r="K39" s="5">
        <v>10.0</v>
      </c>
      <c r="L39" s="5">
        <v>0.30992</v>
      </c>
      <c r="M39" s="5">
        <v>-0.03551</v>
      </c>
      <c r="N39" s="5">
        <v>0.27441</v>
      </c>
      <c r="O39" s="5">
        <v>0.00702</v>
      </c>
    </row>
    <row r="40">
      <c r="A40" s="18" t="str">
        <f>IFERROR(__xludf.DUMMYFUNCTION("""COMPUTED_VALUE"""),"Lochlan Cummings")</f>
        <v>Lochlan Cummings</v>
      </c>
      <c r="B40" s="19" t="str">
        <f>IFERROR(__xludf.DUMMYFUNCTION("""COMPUTED_VALUE"""),"PER")</f>
        <v>PER</v>
      </c>
      <c r="C40" s="20">
        <f>IFERROR(__xludf.DUMMYFUNCTION("""COMPUTED_VALUE"""),1.5)</f>
        <v>1.5</v>
      </c>
      <c r="D40" s="21">
        <f>IFERROR(__xludf.DUMMYFUNCTION("""COMPUTED_VALUE"""),0.04391476996898292)</f>
        <v>0.04391476997</v>
      </c>
      <c r="E40" s="21">
        <f>IFERROR(__xludf.DUMMYFUNCTION("""COMPUTED_VALUE"""),0.05694461307507514)</f>
        <v>0.05694461308</v>
      </c>
      <c r="F40" s="21">
        <f>IFERROR(__xludf.DUMMYFUNCTION("""COMPUTED_VALUE"""),0.10085938304405806)</f>
        <v>0.100859383</v>
      </c>
      <c r="G40" s="23">
        <f>IFERROR(__xludf.DUMMYFUNCTION("""COMPUTED_VALUE"""),9.659589431743997E-4)</f>
        <v>0.0009659589432</v>
      </c>
      <c r="H40" s="4"/>
      <c r="I40" s="5" t="s">
        <v>163</v>
      </c>
      <c r="J40" s="5" t="s">
        <v>39</v>
      </c>
      <c r="K40" s="5">
        <v>2.0</v>
      </c>
      <c r="L40" s="5">
        <v>0.04391</v>
      </c>
      <c r="M40" s="5">
        <v>0.05694</v>
      </c>
      <c r="N40" s="5">
        <v>0.10086</v>
      </c>
      <c r="O40" s="5">
        <v>9.7E-4</v>
      </c>
    </row>
    <row r="41">
      <c r="A41" s="12" t="str">
        <f>IFERROR(__xludf.DUMMYFUNCTION("""COMPUTED_VALUE"""),"Kevin Lisch")</f>
        <v>Kevin Lisch</v>
      </c>
      <c r="B41" s="13" t="str">
        <f>IFERROR(__xludf.DUMMYFUNCTION("""COMPUTED_VALUE"""),"SYD")</f>
        <v>SYD</v>
      </c>
      <c r="C41" s="14">
        <f>IFERROR(__xludf.DUMMYFUNCTION("""COMPUTED_VALUE"""),268.7)</f>
        <v>268.7</v>
      </c>
      <c r="D41" s="15">
        <f>IFERROR(__xludf.DUMMYFUNCTION("""COMPUTED_VALUE"""),1.2405775293483132)</f>
        <v>1.240577529</v>
      </c>
      <c r="E41" s="15">
        <f>IFERROR(__xludf.DUMMYFUNCTION("""COMPUTED_VALUE"""),-1.162975693968153)</f>
        <v>-1.162975694</v>
      </c>
      <c r="F41" s="15">
        <f>IFERROR(__xludf.DUMMYFUNCTION("""COMPUTED_VALUE"""),0.07760183538016013)</f>
        <v>0.07760183538</v>
      </c>
      <c r="G41" s="17">
        <f>IFERROR(__xludf.DUMMYFUNCTION("""COMPUTED_VALUE"""),0.16882694363378312)</f>
        <v>0.1688269436</v>
      </c>
      <c r="H41" s="4"/>
      <c r="I41" s="5" t="s">
        <v>166</v>
      </c>
      <c r="J41" s="5" t="s">
        <v>125</v>
      </c>
      <c r="K41" s="24">
        <v>269.0</v>
      </c>
      <c r="L41" s="5">
        <v>1.24058</v>
      </c>
      <c r="M41" s="5">
        <v>-1.16298</v>
      </c>
      <c r="N41" s="5">
        <v>0.0776</v>
      </c>
      <c r="O41" s="5">
        <v>0.16883</v>
      </c>
    </row>
    <row r="42">
      <c r="A42" s="18" t="str">
        <f>IFERROR(__xludf.DUMMYFUNCTION("""COMPUTED_VALUE"""),"Alex Loughton")</f>
        <v>Alex Loughton</v>
      </c>
      <c r="B42" s="19" t="str">
        <f>IFERROR(__xludf.DUMMYFUNCTION("""COMPUTED_VALUE"""),"CRN")</f>
        <v>CRN</v>
      </c>
      <c r="C42" s="20">
        <f>IFERROR(__xludf.DUMMYFUNCTION("""COMPUTED_VALUE"""),734.7)</f>
        <v>734.7</v>
      </c>
      <c r="D42" s="21">
        <f>IFERROR(__xludf.DUMMYFUNCTION("""COMPUTED_VALUE"""),0.9983764288481516)</f>
        <v>0.9983764288</v>
      </c>
      <c r="E42" s="21">
        <f>IFERROR(__xludf.DUMMYFUNCTION("""COMPUTED_VALUE"""),-0.9369631768681643)</f>
        <v>-0.9369631769</v>
      </c>
      <c r="F42" s="21">
        <f>IFERROR(__xludf.DUMMYFUNCTION("""COMPUTED_VALUE"""),0.06141325197998726)</f>
        <v>0.06141325198</v>
      </c>
      <c r="G42" s="23">
        <f>IFERROR(__xludf.DUMMYFUNCTION("""COMPUTED_VALUE"""),0.46980620897234626)</f>
        <v>0.469806209</v>
      </c>
      <c r="H42" s="4"/>
      <c r="I42" s="5" t="s">
        <v>168</v>
      </c>
      <c r="J42" s="5" t="s">
        <v>44</v>
      </c>
      <c r="K42" s="5">
        <v>735.0</v>
      </c>
      <c r="L42" s="5">
        <v>0.99838</v>
      </c>
      <c r="M42" s="5">
        <v>-0.93696</v>
      </c>
      <c r="N42" s="5">
        <v>0.06141</v>
      </c>
      <c r="O42" s="5">
        <v>0.46981</v>
      </c>
    </row>
    <row r="43">
      <c r="A43" s="12" t="str">
        <f>IFERROR(__xludf.DUMMYFUNCTION("""COMPUTED_VALUE"""),"Majok Deng")</f>
        <v>Majok Deng</v>
      </c>
      <c r="B43" s="13" t="str">
        <f>IFERROR(__xludf.DUMMYFUNCTION("""COMPUTED_VALUE"""),"ADE")</f>
        <v>ADE</v>
      </c>
      <c r="C43" s="14">
        <f>IFERROR(__xludf.DUMMYFUNCTION("""COMPUTED_VALUE"""),458.5)</f>
        <v>458.5</v>
      </c>
      <c r="D43" s="15">
        <f>IFERROR(__xludf.DUMMYFUNCTION("""COMPUTED_VALUE"""),0.6439692655643969)</f>
        <v>0.6439692656</v>
      </c>
      <c r="E43" s="15">
        <f>IFERROR(__xludf.DUMMYFUNCTION("""COMPUTED_VALUE"""),-0.602147147658548)</f>
        <v>-0.6021471477</v>
      </c>
      <c r="F43" s="15">
        <f>IFERROR(__xludf.DUMMYFUNCTION("""COMPUTED_VALUE"""),0.04182211790584889)</f>
        <v>0.04182211791</v>
      </c>
      <c r="G43" s="17">
        <f>IFERROR(__xludf.DUMMYFUNCTION("""COMPUTED_VALUE"""),0.2860077004846739)</f>
        <v>0.2860077005</v>
      </c>
      <c r="H43" s="4"/>
      <c r="I43" s="5" t="s">
        <v>170</v>
      </c>
      <c r="J43" s="5" t="s">
        <v>16</v>
      </c>
      <c r="K43" s="5">
        <v>459.0</v>
      </c>
      <c r="L43" s="5">
        <v>0.64397</v>
      </c>
      <c r="M43" s="5">
        <v>-0.60215</v>
      </c>
      <c r="N43" s="5">
        <v>0.04182</v>
      </c>
      <c r="O43" s="5">
        <v>0.28601</v>
      </c>
    </row>
    <row r="44">
      <c r="A44" s="18" t="str">
        <f>IFERROR(__xludf.DUMMYFUNCTION("""COMPUTED_VALUE"""),"Tom Garlepp")</f>
        <v>Tom Garlepp</v>
      </c>
      <c r="B44" s="19" t="str">
        <f>IFERROR(__xludf.DUMMYFUNCTION("""COMPUTED_VALUE"""),"SYD")</f>
        <v>SYD</v>
      </c>
      <c r="C44" s="20">
        <f>IFERROR(__xludf.DUMMYFUNCTION("""COMPUTED_VALUE"""),167.4)</f>
        <v>167.4</v>
      </c>
      <c r="D44" s="21">
        <f>IFERROR(__xludf.DUMMYFUNCTION("""COMPUTED_VALUE"""),-0.5736659410858438)</f>
        <v>-0.5736659411</v>
      </c>
      <c r="E44" s="21">
        <f>IFERROR(__xludf.DUMMYFUNCTION("""COMPUTED_VALUE"""),0.5821819832337176)</f>
        <v>0.5821819832</v>
      </c>
      <c r="F44" s="21">
        <f>IFERROR(__xludf.DUMMYFUNCTION("""COMPUTED_VALUE"""),0.008516042147873841)</f>
        <v>0.008516042148</v>
      </c>
      <c r="G44" s="23">
        <f>IFERROR(__xludf.DUMMYFUNCTION("""COMPUTED_VALUE"""),0.10168163714198783)</f>
        <v>0.1016816371</v>
      </c>
      <c r="H44" s="4"/>
      <c r="I44" s="5" t="s">
        <v>171</v>
      </c>
      <c r="J44" s="5" t="s">
        <v>125</v>
      </c>
      <c r="K44" s="5">
        <v>167.0</v>
      </c>
      <c r="L44" s="5">
        <v>-0.57367</v>
      </c>
      <c r="M44" s="5">
        <v>0.58218</v>
      </c>
      <c r="N44" s="5">
        <v>0.00852</v>
      </c>
      <c r="O44" s="5">
        <v>0.10168</v>
      </c>
    </row>
    <row r="45">
      <c r="A45" s="12" t="str">
        <f>IFERROR(__xludf.DUMMYFUNCTION("""COMPUTED_VALUE"""),"Anthony Fisher")</f>
        <v>Anthony Fisher</v>
      </c>
      <c r="B45" s="13" t="str">
        <f>IFERROR(__xludf.DUMMYFUNCTION("""COMPUTED_VALUE"""),"CRN")</f>
        <v>CRN</v>
      </c>
      <c r="C45" s="14">
        <f>IFERROR(__xludf.DUMMYFUNCTION("""COMPUTED_VALUE"""),6.2)</f>
        <v>6.2</v>
      </c>
      <c r="D45" s="15">
        <f>IFERROR(__xludf.DUMMYFUNCTION("""COMPUTED_VALUE"""),0.19351678463452401)</f>
        <v>0.1935167846</v>
      </c>
      <c r="E45" s="15">
        <f>IFERROR(__xludf.DUMMYFUNCTION("""COMPUTED_VALUE"""),-0.1937660722105949)</f>
        <v>-0.1937660722</v>
      </c>
      <c r="F45" s="15">
        <f>IFERROR(__xludf.DUMMYFUNCTION("""COMPUTED_VALUE"""),-2.492875760708842E-4)</f>
        <v>-0.0002492875761</v>
      </c>
      <c r="G45" s="17">
        <f>IFERROR(__xludf.DUMMYFUNCTION("""COMPUTED_VALUE"""),0.003846016989247914)</f>
        <v>0.003846016989</v>
      </c>
      <c r="H45" s="4"/>
      <c r="I45" s="5" t="s">
        <v>175</v>
      </c>
      <c r="J45" s="5" t="s">
        <v>44</v>
      </c>
      <c r="K45" s="24">
        <v>6.0</v>
      </c>
      <c r="L45" s="5">
        <v>0.19352</v>
      </c>
      <c r="M45" s="5">
        <v>-0.19377</v>
      </c>
      <c r="N45" s="5">
        <v>-2.5E-4</v>
      </c>
      <c r="O45" s="5">
        <v>0.00385</v>
      </c>
    </row>
    <row r="46">
      <c r="A46" s="18" t="str">
        <f>IFERROR(__xludf.DUMMYFUNCTION("""COMPUTED_VALUE"""),"Samuel Short")</f>
        <v>Samuel Short</v>
      </c>
      <c r="B46" s="19" t="str">
        <f>IFERROR(__xludf.DUMMYFUNCTION("""COMPUTED_VALUE"""),"MEL")</f>
        <v>MEL</v>
      </c>
      <c r="C46" s="20">
        <f>IFERROR(__xludf.DUMMYFUNCTION("""COMPUTED_VALUE"""),4.8)</f>
        <v>4.8</v>
      </c>
      <c r="D46" s="21">
        <f>IFERROR(__xludf.DUMMYFUNCTION("""COMPUTED_VALUE"""),-0.022477283168465697)</f>
        <v>-0.02247728317</v>
      </c>
      <c r="E46" s="21">
        <f>IFERROR(__xludf.DUMMYFUNCTION("""COMPUTED_VALUE"""),-0.002959856148071458)</f>
        <v>-0.002959856148</v>
      </c>
      <c r="F46" s="21">
        <f>IFERROR(__xludf.DUMMYFUNCTION("""COMPUTED_VALUE"""),-0.025437139316537155)</f>
        <v>-0.02543713932</v>
      </c>
      <c r="G46" s="23">
        <f>IFERROR(__xludf.DUMMYFUNCTION("""COMPUTED_VALUE"""),0.0028664067658963253)</f>
        <v>0.002866406766</v>
      </c>
      <c r="H46" s="4"/>
      <c r="I46" s="5" t="s">
        <v>177</v>
      </c>
      <c r="J46" s="5" t="s">
        <v>27</v>
      </c>
      <c r="K46" s="5">
        <v>5.0</v>
      </c>
      <c r="L46" s="5">
        <v>-0.02248</v>
      </c>
      <c r="M46" s="5">
        <v>-0.00296</v>
      </c>
      <c r="N46" s="5">
        <v>-0.02544</v>
      </c>
      <c r="O46" s="5">
        <v>0.00287</v>
      </c>
    </row>
    <row r="47">
      <c r="A47" s="12" t="str">
        <f>IFERROR(__xludf.DUMMYFUNCTION("""COMPUTED_VALUE"""),"Isaac Humphries")</f>
        <v>Isaac Humphries</v>
      </c>
      <c r="B47" s="13" t="str">
        <f>IFERROR(__xludf.DUMMYFUNCTION("""COMPUTED_VALUE"""),"SYD")</f>
        <v>SYD</v>
      </c>
      <c r="C47" s="14">
        <f>IFERROR(__xludf.DUMMYFUNCTION("""COMPUTED_VALUE"""),429.9)</f>
        <v>429.9</v>
      </c>
      <c r="D47" s="15">
        <f>IFERROR(__xludf.DUMMYFUNCTION("""COMPUTED_VALUE"""),-1.9148411596985873)</f>
        <v>-1.91484116</v>
      </c>
      <c r="E47" s="15">
        <f>IFERROR(__xludf.DUMMYFUNCTION("""COMPUTED_VALUE"""),1.8632380174764007)</f>
        <v>1.863238017</v>
      </c>
      <c r="F47" s="15">
        <f>IFERROR(__xludf.DUMMYFUNCTION("""COMPUTED_VALUE"""),-0.05160314222218654)</f>
        <v>-0.05160314222</v>
      </c>
      <c r="G47" s="17">
        <f>IFERROR(__xludf.DUMMYFUNCTION("""COMPUTED_VALUE"""),0.25331250938523336)</f>
        <v>0.2533125094</v>
      </c>
      <c r="H47" s="4"/>
      <c r="I47" s="5" t="s">
        <v>179</v>
      </c>
      <c r="J47" s="5" t="s">
        <v>125</v>
      </c>
      <c r="K47" s="24">
        <v>430.0</v>
      </c>
      <c r="L47" s="5">
        <v>-1.91484</v>
      </c>
      <c r="M47" s="5">
        <v>1.86324</v>
      </c>
      <c r="N47" s="5">
        <v>-0.0516</v>
      </c>
      <c r="O47" s="5">
        <v>0.25331</v>
      </c>
    </row>
    <row r="48">
      <c r="A48" s="18" t="str">
        <f>IFERROR(__xludf.DUMMYFUNCTION("""COMPUTED_VALUE"""),"Mitchell Newton")</f>
        <v>Mitchell Newton</v>
      </c>
      <c r="B48" s="19" t="str">
        <f>IFERROR(__xludf.DUMMYFUNCTION("""COMPUTED_VALUE"""),"NZB")</f>
        <v>NZB</v>
      </c>
      <c r="C48" s="20">
        <f>IFERROR(__xludf.DUMMYFUNCTION("""COMPUTED_VALUE"""),2.4)</f>
        <v>2.4</v>
      </c>
      <c r="D48" s="21">
        <f>IFERROR(__xludf.DUMMYFUNCTION("""COMPUTED_VALUE"""),-0.03129697209734441)</f>
        <v>-0.0312969721</v>
      </c>
      <c r="E48" s="21">
        <f>IFERROR(__xludf.DUMMYFUNCTION("""COMPUTED_VALUE"""),-0.04560796012574484)</f>
        <v>-0.04560796013</v>
      </c>
      <c r="F48" s="21">
        <f>IFERROR(__xludf.DUMMYFUNCTION("""COMPUTED_VALUE"""),-0.07690493222308925)</f>
        <v>-0.07690493222</v>
      </c>
      <c r="G48" s="23">
        <f>IFERROR(__xludf.DUMMYFUNCTION("""COMPUTED_VALUE"""),0.0014084337968334544)</f>
        <v>0.001408433797</v>
      </c>
      <c r="H48" s="4"/>
      <c r="I48" s="5" t="s">
        <v>181</v>
      </c>
      <c r="J48" s="5" t="s">
        <v>78</v>
      </c>
      <c r="K48" s="5">
        <v>2.0</v>
      </c>
      <c r="L48" s="5">
        <v>-0.0313</v>
      </c>
      <c r="M48" s="5">
        <v>-0.04561</v>
      </c>
      <c r="N48" s="5">
        <v>-0.0769</v>
      </c>
      <c r="O48" s="5">
        <v>0.00141</v>
      </c>
    </row>
    <row r="49">
      <c r="A49" s="12" t="str">
        <f>IFERROR(__xludf.DUMMYFUNCTION("""COMPUTED_VALUE"""),"Mason Bragg")</f>
        <v>Mason Bragg</v>
      </c>
      <c r="B49" s="13" t="str">
        <f>IFERROR(__xludf.DUMMYFUNCTION("""COMPUTED_VALUE"""),"PER")</f>
        <v>PER</v>
      </c>
      <c r="C49" s="14">
        <f>IFERROR(__xludf.DUMMYFUNCTION("""COMPUTED_VALUE"""),6.5)</f>
        <v>6.5</v>
      </c>
      <c r="D49" s="15">
        <f>IFERROR(__xludf.DUMMYFUNCTION("""COMPUTED_VALUE"""),0.00922387164324364)</f>
        <v>0.009223871643</v>
      </c>
      <c r="E49" s="15">
        <f>IFERROR(__xludf.DUMMYFUNCTION("""COMPUTED_VALUE"""),-0.08651931043858788)</f>
        <v>-0.08651931044</v>
      </c>
      <c r="F49" s="15">
        <f>IFERROR(__xludf.DUMMYFUNCTION("""COMPUTED_VALUE"""),-0.07729543879534423)</f>
        <v>-0.0772954388</v>
      </c>
      <c r="G49" s="17">
        <f>IFERROR(__xludf.DUMMYFUNCTION("""COMPUTED_VALUE"""),0.003830860496515468)</f>
        <v>0.003830860497</v>
      </c>
      <c r="H49" s="4"/>
      <c r="I49" s="5" t="s">
        <v>185</v>
      </c>
      <c r="J49" s="5" t="s">
        <v>39</v>
      </c>
      <c r="K49" s="5">
        <v>7.0</v>
      </c>
      <c r="L49" s="5">
        <v>0.00922</v>
      </c>
      <c r="M49" s="5">
        <v>-0.08652</v>
      </c>
      <c r="N49" s="5">
        <v>-0.0773</v>
      </c>
      <c r="O49" s="5">
        <v>0.00383</v>
      </c>
    </row>
    <row r="50">
      <c r="A50" s="18" t="str">
        <f>IFERROR(__xludf.DUMMYFUNCTION("""COMPUTED_VALUE"""),"James Hunter")</f>
        <v>James Hunter</v>
      </c>
      <c r="B50" s="19" t="str">
        <f>IFERROR(__xludf.DUMMYFUNCTION("""COMPUTED_VALUE"""),"NZB")</f>
        <v>NZB</v>
      </c>
      <c r="C50" s="20">
        <f>IFERROR(__xludf.DUMMYFUNCTION("""COMPUTED_VALUE"""),8.4)</f>
        <v>8.4</v>
      </c>
      <c r="D50" s="21">
        <f>IFERROR(__xludf.DUMMYFUNCTION("""COMPUTED_VALUE"""),0.03865930874665419)</f>
        <v>0.03865930875</v>
      </c>
      <c r="E50" s="21">
        <f>IFERROR(__xludf.DUMMYFUNCTION("""COMPUTED_VALUE"""),-0.12938081199011056)</f>
        <v>-0.129380812</v>
      </c>
      <c r="F50" s="21">
        <f>IFERROR(__xludf.DUMMYFUNCTION("""COMPUTED_VALUE"""),-0.09072150324345638)</f>
        <v>-0.09072150324</v>
      </c>
      <c r="G50" s="23">
        <f>IFERROR(__xludf.DUMMYFUNCTION("""COMPUTED_VALUE"""),0.004894101922520939)</f>
        <v>0.004894101923</v>
      </c>
      <c r="H50" s="4"/>
      <c r="I50" s="5" t="s">
        <v>188</v>
      </c>
      <c r="J50" s="5" t="s">
        <v>78</v>
      </c>
      <c r="K50" s="5">
        <v>8.0</v>
      </c>
      <c r="L50" s="5">
        <v>0.03866</v>
      </c>
      <c r="M50" s="5">
        <v>-0.12938</v>
      </c>
      <c r="N50" s="5">
        <v>-0.09072</v>
      </c>
      <c r="O50" s="5">
        <v>0.00489</v>
      </c>
    </row>
    <row r="51">
      <c r="A51" s="12" t="str">
        <f>IFERROR(__xludf.DUMMYFUNCTION("""COMPUTED_VALUE"""),"Jeremy Tyler")</f>
        <v>Jeremy Tyler</v>
      </c>
      <c r="B51" s="13" t="str">
        <f>IFERROR(__xludf.DUMMYFUNCTION("""COMPUTED_VALUE"""),"SYD")</f>
        <v>SYD</v>
      </c>
      <c r="C51" s="14">
        <f>IFERROR(__xludf.DUMMYFUNCTION("""COMPUTED_VALUE"""),237.0)</f>
        <v>237</v>
      </c>
      <c r="D51" s="15">
        <f>IFERROR(__xludf.DUMMYFUNCTION("""COMPUTED_VALUE"""),-0.24606231390091526)</f>
        <v>-0.2460623139</v>
      </c>
      <c r="E51" s="15">
        <f>IFERROR(__xludf.DUMMYFUNCTION("""COMPUTED_VALUE"""),0.14866949443520627)</f>
        <v>0.1486694944</v>
      </c>
      <c r="F51" s="15">
        <f>IFERROR(__xludf.DUMMYFUNCTION("""COMPUTED_VALUE"""),-0.09739281946570898)</f>
        <v>-0.09739281947</v>
      </c>
      <c r="G51" s="17">
        <f>IFERROR(__xludf.DUMMYFUNCTION("""COMPUTED_VALUE"""),0.13636698827714663)</f>
        <v>0.1363669883</v>
      </c>
      <c r="H51" s="4"/>
      <c r="I51" s="5" t="s">
        <v>189</v>
      </c>
      <c r="J51" s="5" t="s">
        <v>125</v>
      </c>
      <c r="K51" s="5">
        <v>237.0</v>
      </c>
      <c r="L51" s="5">
        <v>-0.24606</v>
      </c>
      <c r="M51" s="5">
        <v>0.14867</v>
      </c>
      <c r="N51" s="5">
        <v>-0.09739</v>
      </c>
      <c r="O51" s="5">
        <v>0.13637</v>
      </c>
    </row>
    <row r="52">
      <c r="A52" s="18" t="str">
        <f>IFERROR(__xludf.DUMMYFUNCTION("""COMPUTED_VALUE"""),"Tyrell Harrison")</f>
        <v>Tyrell Harrison</v>
      </c>
      <c r="B52" s="19" t="str">
        <f>IFERROR(__xludf.DUMMYFUNCTION("""COMPUTED_VALUE"""),"BRI")</f>
        <v>BRI</v>
      </c>
      <c r="C52" s="20">
        <f>IFERROR(__xludf.DUMMYFUNCTION("""COMPUTED_VALUE"""),6.3)</f>
        <v>6.3</v>
      </c>
      <c r="D52" s="21">
        <f>IFERROR(__xludf.DUMMYFUNCTION("""COMPUTED_VALUE"""),-0.18842669481345437)</f>
        <v>-0.1884266948</v>
      </c>
      <c r="E52" s="21">
        <f>IFERROR(__xludf.DUMMYFUNCTION("""COMPUTED_VALUE"""),0.024182809680535072)</f>
        <v>0.02418280968</v>
      </c>
      <c r="F52" s="21">
        <f>IFERROR(__xludf.DUMMYFUNCTION("""COMPUTED_VALUE"""),-0.1642438851329193)</f>
        <v>-0.1642438851</v>
      </c>
      <c r="G52" s="23">
        <f>IFERROR(__xludf.DUMMYFUNCTION("""COMPUTED_VALUE"""),0.003520902243124743)</f>
        <v>0.003520902243</v>
      </c>
      <c r="H52" s="4"/>
      <c r="I52" s="5" t="s">
        <v>193</v>
      </c>
      <c r="J52" s="5" t="s">
        <v>110</v>
      </c>
      <c r="K52" s="5">
        <v>6.0</v>
      </c>
      <c r="L52" s="5">
        <v>-0.18843</v>
      </c>
      <c r="M52" s="5">
        <v>0.02418</v>
      </c>
      <c r="N52" s="5">
        <v>-0.16424</v>
      </c>
      <c r="O52" s="5">
        <v>0.00352</v>
      </c>
    </row>
    <row r="53">
      <c r="A53" s="12" t="str">
        <f>IFERROR(__xludf.DUMMYFUNCTION("""COMPUTED_VALUE"""),"Anthony Drmic")</f>
        <v>Anthony Drmic</v>
      </c>
      <c r="B53" s="13" t="str">
        <f>IFERROR(__xludf.DUMMYFUNCTION("""COMPUTED_VALUE"""),"ADE")</f>
        <v>ADE</v>
      </c>
      <c r="C53" s="14">
        <f>IFERROR(__xludf.DUMMYFUNCTION("""COMPUTED_VALUE"""),432.1)</f>
        <v>432.1</v>
      </c>
      <c r="D53" s="15">
        <f>IFERROR(__xludf.DUMMYFUNCTION("""COMPUTED_VALUE"""),1.2991932721242874)</f>
        <v>1.299193272</v>
      </c>
      <c r="E53" s="15">
        <f>IFERROR(__xludf.DUMMYFUNCTION("""COMPUTED_VALUE"""),-1.506359143917588)</f>
        <v>-1.506359144</v>
      </c>
      <c r="F53" s="15">
        <f>IFERROR(__xludf.DUMMYFUNCTION("""COMPUTED_VALUE"""),-0.2071658717933007)</f>
        <v>-0.2071658718</v>
      </c>
      <c r="G53" s="17">
        <f>IFERROR(__xludf.DUMMYFUNCTION("""COMPUTED_VALUE"""),0.2366708984085555)</f>
        <v>0.2366708984</v>
      </c>
      <c r="H53" s="4"/>
      <c r="I53" s="5" t="s">
        <v>196</v>
      </c>
      <c r="J53" s="5" t="s">
        <v>16</v>
      </c>
      <c r="K53" s="5">
        <v>432.0</v>
      </c>
      <c r="L53" s="5">
        <v>1.29919</v>
      </c>
      <c r="M53" s="5">
        <v>-1.50636</v>
      </c>
      <c r="N53" s="5">
        <v>-0.20717</v>
      </c>
      <c r="O53" s="5">
        <v>0.23667</v>
      </c>
    </row>
    <row r="54">
      <c r="A54" s="18" t="str">
        <f>IFERROR(__xludf.DUMMYFUNCTION("""COMPUTED_VALUE"""),"Sam Johns")</f>
        <v>Sam Johns</v>
      </c>
      <c r="B54" s="19" t="str">
        <f>IFERROR(__xludf.DUMMYFUNCTION("""COMPUTED_VALUE"""),"ADE")</f>
        <v>ADE</v>
      </c>
      <c r="C54" s="20">
        <f>IFERROR(__xludf.DUMMYFUNCTION("""COMPUTED_VALUE"""),9.2)</f>
        <v>9.2</v>
      </c>
      <c r="D54" s="21">
        <f>IFERROR(__xludf.DUMMYFUNCTION("""COMPUTED_VALUE"""),-0.2653225593000557)</f>
        <v>-0.2653225593</v>
      </c>
      <c r="E54" s="21">
        <f>IFERROR(__xludf.DUMMYFUNCTION("""COMPUTED_VALUE"""),0.053906856517144885)</f>
        <v>0.05390685652</v>
      </c>
      <c r="F54" s="21">
        <f>IFERROR(__xludf.DUMMYFUNCTION("""COMPUTED_VALUE"""),-0.21141570278291083)</f>
        <v>-0.2114157028</v>
      </c>
      <c r="G54" s="23">
        <f>IFERROR(__xludf.DUMMYFUNCTION("""COMPUTED_VALUE"""),0.005027102301248828)</f>
        <v>0.005027102301</v>
      </c>
      <c r="H54" s="4"/>
      <c r="I54" s="5" t="s">
        <v>199</v>
      </c>
      <c r="J54" s="5" t="s">
        <v>16</v>
      </c>
      <c r="K54" s="5">
        <v>9.0</v>
      </c>
      <c r="L54" s="5">
        <v>-0.26532</v>
      </c>
      <c r="M54" s="5">
        <v>0.05391</v>
      </c>
      <c r="N54" s="5">
        <v>-0.21142</v>
      </c>
      <c r="O54" s="5">
        <v>0.00503</v>
      </c>
    </row>
    <row r="55">
      <c r="A55" s="12" t="str">
        <f>IFERROR(__xludf.DUMMYFUNCTION("""COMPUTED_VALUE"""),"Kirk Penney")</f>
        <v>Kirk Penney</v>
      </c>
      <c r="B55" s="13" t="str">
        <f>IFERROR(__xludf.DUMMYFUNCTION("""COMPUTED_VALUE"""),"NZB")</f>
        <v>NZB</v>
      </c>
      <c r="C55" s="14">
        <f>IFERROR(__xludf.DUMMYFUNCTION("""COMPUTED_VALUE"""),465.5)</f>
        <v>465.5</v>
      </c>
      <c r="D55" s="15">
        <f>IFERROR(__xludf.DUMMYFUNCTION("""COMPUTED_VALUE"""),1.8947829138554286)</f>
        <v>1.894782914</v>
      </c>
      <c r="E55" s="15">
        <f>IFERROR(__xludf.DUMMYFUNCTION("""COMPUTED_VALUE"""),-2.1280285239501984)</f>
        <v>-2.128028524</v>
      </c>
      <c r="F55" s="15">
        <f>IFERROR(__xludf.DUMMYFUNCTION("""COMPUTED_VALUE"""),-0.23324561009476985)</f>
        <v>-0.2332456101</v>
      </c>
      <c r="G55" s="17">
        <f>IFERROR(__xludf.DUMMYFUNCTION("""COMPUTED_VALUE"""),0.25096913079903055)</f>
        <v>0.2509691308</v>
      </c>
      <c r="H55" s="4"/>
      <c r="I55" s="5" t="s">
        <v>202</v>
      </c>
      <c r="J55" s="5" t="s">
        <v>78</v>
      </c>
      <c r="K55" s="5">
        <v>466.0</v>
      </c>
      <c r="L55" s="5">
        <v>1.89478</v>
      </c>
      <c r="M55" s="5">
        <v>-2.12803</v>
      </c>
      <c r="N55" s="5">
        <v>-0.23325</v>
      </c>
      <c r="O55" s="5">
        <v>0.25097</v>
      </c>
    </row>
    <row r="56">
      <c r="A56" s="18" t="str">
        <f>IFERROR(__xludf.DUMMYFUNCTION("""COMPUTED_VALUE"""),"Darcy Malone")</f>
        <v>Darcy Malone</v>
      </c>
      <c r="B56" s="19" t="str">
        <f>IFERROR(__xludf.DUMMYFUNCTION("""COMPUTED_VALUE"""),"SYD")</f>
        <v>SYD</v>
      </c>
      <c r="C56" s="20">
        <f>IFERROR(__xludf.DUMMYFUNCTION("""COMPUTED_VALUE"""),5.1)</f>
        <v>5.1</v>
      </c>
      <c r="D56" s="21">
        <f>IFERROR(__xludf.DUMMYFUNCTION("""COMPUTED_VALUE"""),-0.178165792343933)</f>
        <v>-0.1781657923</v>
      </c>
      <c r="E56" s="21">
        <f>IFERROR(__xludf.DUMMYFUNCTION("""COMPUTED_VALUE"""),-0.07589278670794805)</f>
        <v>-0.07589278671</v>
      </c>
      <c r="F56" s="21">
        <f>IFERROR(__xludf.DUMMYFUNCTION("""COMPUTED_VALUE"""),-0.25405857905188106)</f>
        <v>-0.2540585791</v>
      </c>
      <c r="G56" s="23">
        <f>IFERROR(__xludf.DUMMYFUNCTION("""COMPUTED_VALUE"""),0.0026928466111730623)</f>
        <v>0.002692846611</v>
      </c>
      <c r="H56" s="4"/>
      <c r="I56" s="5" t="s">
        <v>203</v>
      </c>
      <c r="J56" s="5" t="s">
        <v>125</v>
      </c>
      <c r="K56" s="5">
        <v>5.0</v>
      </c>
      <c r="L56" s="5">
        <v>-0.17817</v>
      </c>
      <c r="M56" s="5">
        <v>-0.07589</v>
      </c>
      <c r="N56" s="5">
        <v>-0.25406</v>
      </c>
      <c r="O56" s="5">
        <v>0.00269</v>
      </c>
    </row>
    <row r="57">
      <c r="A57" s="12" t="str">
        <f>IFERROR(__xludf.DUMMYFUNCTION("""COMPUTED_VALUE"""),"Thomas Abercrombie")</f>
        <v>Thomas Abercrombie</v>
      </c>
      <c r="B57" s="13" t="str">
        <f>IFERROR(__xludf.DUMMYFUNCTION("""COMPUTED_VALUE"""),"NZB")</f>
        <v>NZB</v>
      </c>
      <c r="C57" s="14">
        <f>IFERROR(__xludf.DUMMYFUNCTION("""COMPUTED_VALUE"""),816.6)</f>
        <v>816.6</v>
      </c>
      <c r="D57" s="15">
        <f>IFERROR(__xludf.DUMMYFUNCTION("""COMPUTED_VALUE"""),-1.6374330721822639)</f>
        <v>-1.637433072</v>
      </c>
      <c r="E57" s="15">
        <f>IFERROR(__xludf.DUMMYFUNCTION("""COMPUTED_VALUE"""),1.3660404646549646)</f>
        <v>1.366040465</v>
      </c>
      <c r="F57" s="15">
        <f>IFERROR(__xludf.DUMMYFUNCTION("""COMPUTED_VALUE"""),-0.2713926075272991)</f>
        <v>-0.2713926075</v>
      </c>
      <c r="G57" s="17">
        <f>IFERROR(__xludf.DUMMYFUNCTION("""COMPUTED_VALUE"""),0.4307548576113085)</f>
        <v>0.4307548576</v>
      </c>
      <c r="H57" s="4"/>
      <c r="I57" s="5" t="s">
        <v>206</v>
      </c>
      <c r="J57" s="5" t="s">
        <v>78</v>
      </c>
      <c r="K57" s="24">
        <v>817.0</v>
      </c>
      <c r="L57" s="5">
        <v>-1.63743</v>
      </c>
      <c r="M57" s="5">
        <v>1.36604</v>
      </c>
      <c r="N57" s="5">
        <v>-0.27139</v>
      </c>
      <c r="O57" s="5">
        <v>0.43075</v>
      </c>
    </row>
    <row r="58">
      <c r="A58" s="18" t="str">
        <f>IFERROR(__xludf.DUMMYFUNCTION("""COMPUTED_VALUE"""),"Christian Jurlina")</f>
        <v>Christian Jurlina</v>
      </c>
      <c r="B58" s="19" t="str">
        <f>IFERROR(__xludf.DUMMYFUNCTION("""COMPUTED_VALUE"""),"SYD")</f>
        <v>SYD</v>
      </c>
      <c r="C58" s="20">
        <f>IFERROR(__xludf.DUMMYFUNCTION("""COMPUTED_VALUE"""),2.1)</f>
        <v>2.1</v>
      </c>
      <c r="D58" s="21">
        <f>IFERROR(__xludf.DUMMYFUNCTION("""COMPUTED_VALUE"""),-0.20715415375176324)</f>
        <v>-0.2071541538</v>
      </c>
      <c r="E58" s="21">
        <f>IFERROR(__xludf.DUMMYFUNCTION("""COMPUTED_VALUE"""),-0.07093807918168846)</f>
        <v>-0.07093807918</v>
      </c>
      <c r="F58" s="21">
        <f>IFERROR(__xludf.DUMMYFUNCTION("""COMPUTED_VALUE"""),-0.2780922329334517)</f>
        <v>-0.2780922329</v>
      </c>
      <c r="G58" s="23">
        <f>IFERROR(__xludf.DUMMYFUNCTION("""COMPUTED_VALUE"""),0.00109355580749089)</f>
        <v>0.001093555807</v>
      </c>
      <c r="H58" s="4"/>
      <c r="I58" s="5" t="s">
        <v>209</v>
      </c>
      <c r="J58" s="5" t="s">
        <v>125</v>
      </c>
      <c r="K58" s="24">
        <v>2.0</v>
      </c>
      <c r="L58" s="5">
        <v>-0.20715</v>
      </c>
      <c r="M58" s="5">
        <v>-0.07094</v>
      </c>
      <c r="N58" s="5">
        <v>-0.27809</v>
      </c>
      <c r="O58" s="5">
        <v>0.00109</v>
      </c>
    </row>
    <row r="59">
      <c r="A59" s="12" t="str">
        <f>IFERROR(__xludf.DUMMYFUNCTION("""COMPUTED_VALUE"""),"Deng Acuoth")</f>
        <v>Deng Acuoth</v>
      </c>
      <c r="B59" s="13" t="str">
        <f>IFERROR(__xludf.DUMMYFUNCTION("""COMPUTED_VALUE"""),"SYD")</f>
        <v>SYD</v>
      </c>
      <c r="C59" s="14">
        <f>IFERROR(__xludf.DUMMYFUNCTION("""COMPUTED_VALUE"""),2.5)</f>
        <v>2.5</v>
      </c>
      <c r="D59" s="15">
        <f>IFERROR(__xludf.DUMMYFUNCTION("""COMPUTED_VALUE"""),-0.2460009986578791)</f>
        <v>-0.2460009987</v>
      </c>
      <c r="E59" s="15">
        <f>IFERROR(__xludf.DUMMYFUNCTION("""COMPUTED_VALUE"""),-0.08421192083435208)</f>
        <v>-0.08421192083</v>
      </c>
      <c r="F59" s="15">
        <f>IFERROR(__xludf.DUMMYFUNCTION("""COMPUTED_VALUE"""),-0.3302129194922312)</f>
        <v>-0.3302129195</v>
      </c>
      <c r="G59" s="17">
        <f>IFERROR(__xludf.DUMMYFUNCTION("""COMPUTED_VALUE"""),0.001262446192148979)</f>
        <v>0.001262446192</v>
      </c>
      <c r="H59" s="4"/>
      <c r="I59" s="5" t="s">
        <v>212</v>
      </c>
      <c r="J59" s="5" t="s">
        <v>125</v>
      </c>
      <c r="K59" s="5">
        <v>3.0</v>
      </c>
      <c r="L59" s="5">
        <v>-0.246</v>
      </c>
      <c r="M59" s="5">
        <v>-0.08421</v>
      </c>
      <c r="N59" s="5">
        <v>-0.33021</v>
      </c>
      <c r="O59" s="5">
        <v>0.00126</v>
      </c>
    </row>
    <row r="60">
      <c r="A60" s="18" t="str">
        <f>IFERROR(__xludf.DUMMYFUNCTION("""COMPUTED_VALUE"""),"Nic Pozoglou")</f>
        <v>Nic Pozoglou</v>
      </c>
      <c r="B60" s="19" t="str">
        <f>IFERROR(__xludf.DUMMYFUNCTION("""COMPUTED_VALUE"""),"ILL")</f>
        <v>ILL</v>
      </c>
      <c r="C60" s="20">
        <f>IFERROR(__xludf.DUMMYFUNCTION("""COMPUTED_VALUE"""),10.4)</f>
        <v>10.4</v>
      </c>
      <c r="D60" s="21">
        <f>IFERROR(__xludf.DUMMYFUNCTION("""COMPUTED_VALUE"""),-0.41884980608162603)</f>
        <v>-0.4188498061</v>
      </c>
      <c r="E60" s="21">
        <f>IFERROR(__xludf.DUMMYFUNCTION("""COMPUTED_VALUE"""),0.07105196038276412)</f>
        <v>0.07105196038</v>
      </c>
      <c r="F60" s="21">
        <f>IFERROR(__xludf.DUMMYFUNCTION("""COMPUTED_VALUE"""),-0.3477978456988619)</f>
        <v>-0.3477978457</v>
      </c>
      <c r="G60" s="23">
        <f>IFERROR(__xludf.DUMMYFUNCTION("""COMPUTED_VALUE"""),0.005270500995692768)</f>
        <v>0.005270500996</v>
      </c>
      <c r="H60" s="4"/>
      <c r="I60" s="5" t="s">
        <v>215</v>
      </c>
      <c r="J60" s="5" t="s">
        <v>47</v>
      </c>
      <c r="K60" s="5">
        <v>10.0</v>
      </c>
      <c r="L60" s="5">
        <v>-0.41885</v>
      </c>
      <c r="M60" s="5">
        <v>0.07105</v>
      </c>
      <c r="N60" s="5">
        <v>-0.3478</v>
      </c>
      <c r="O60" s="5">
        <v>0.00527</v>
      </c>
    </row>
    <row r="61">
      <c r="A61" s="12" t="str">
        <f>IFERROR(__xludf.DUMMYFUNCTION("""COMPUTED_VALUE"""),"Durrell McDonald")</f>
        <v>Durrell McDonald</v>
      </c>
      <c r="B61" s="13" t="str">
        <f>IFERROR(__xludf.DUMMYFUNCTION("""COMPUTED_VALUE"""),"MEL")</f>
        <v>MEL</v>
      </c>
      <c r="C61" s="14">
        <f>IFERROR(__xludf.DUMMYFUNCTION("""COMPUTED_VALUE"""),5.3)</f>
        <v>5.3</v>
      </c>
      <c r="D61" s="15">
        <f>IFERROR(__xludf.DUMMYFUNCTION("""COMPUTED_VALUE"""),-0.2212775724961838)</f>
        <v>-0.2212775725</v>
      </c>
      <c r="E61" s="15">
        <f>IFERROR(__xludf.DUMMYFUNCTION("""COMPUTED_VALUE"""),-0.14737693495357956)</f>
        <v>-0.147376935</v>
      </c>
      <c r="F61" s="15">
        <f>IFERROR(__xludf.DUMMYFUNCTION("""COMPUTED_VALUE"""),-0.36865450744976336)</f>
        <v>-0.3686545074</v>
      </c>
      <c r="G61" s="17">
        <f>IFERROR(__xludf.DUMMYFUNCTION("""COMPUTED_VALUE"""),0.0026148539430638153)</f>
        <v>0.002614853943</v>
      </c>
      <c r="H61" s="4"/>
      <c r="I61" s="5" t="s">
        <v>217</v>
      </c>
      <c r="J61" s="5" t="s">
        <v>27</v>
      </c>
      <c r="K61" s="5">
        <v>5.0</v>
      </c>
      <c r="L61" s="5">
        <v>-0.22128</v>
      </c>
      <c r="M61" s="5">
        <v>-0.14738</v>
      </c>
      <c r="N61" s="5">
        <v>-0.36865</v>
      </c>
      <c r="O61" s="5">
        <v>0.00261</v>
      </c>
    </row>
    <row r="62">
      <c r="A62" s="18" t="str">
        <f>IFERROR(__xludf.DUMMYFUNCTION("""COMPUTED_VALUE"""),"Matthew Kenyon")</f>
        <v>Matthew Kenyon</v>
      </c>
      <c r="B62" s="19" t="str">
        <f>IFERROR(__xludf.DUMMYFUNCTION("""COMPUTED_VALUE"""),"BRI")</f>
        <v>BRI</v>
      </c>
      <c r="C62" s="20">
        <f>IFERROR(__xludf.DUMMYFUNCTION("""COMPUTED_VALUE"""),17.8)</f>
        <v>17.8</v>
      </c>
      <c r="D62" s="21">
        <f>IFERROR(__xludf.DUMMYFUNCTION("""COMPUTED_VALUE"""),-0.3555979576485461)</f>
        <v>-0.3555979576</v>
      </c>
      <c r="E62" s="21">
        <f>IFERROR(__xludf.DUMMYFUNCTION("""COMPUTED_VALUE"""),-0.07675006188122874)</f>
        <v>-0.07675006188</v>
      </c>
      <c r="F62" s="21">
        <f>IFERROR(__xludf.DUMMYFUNCTION("""COMPUTED_VALUE"""),-0.43234801952977486)</f>
        <v>-0.4323480195</v>
      </c>
      <c r="G62" s="23">
        <f>IFERROR(__xludf.DUMMYFUNCTION("""COMPUTED_VALUE"""),0.008495092106173522)</f>
        <v>0.008495092106</v>
      </c>
      <c r="H62" s="4"/>
      <c r="I62" s="5" t="s">
        <v>219</v>
      </c>
      <c r="J62" s="5" t="s">
        <v>110</v>
      </c>
      <c r="K62" s="5">
        <v>18.0</v>
      </c>
      <c r="L62" s="5">
        <v>-0.3556</v>
      </c>
      <c r="M62" s="5">
        <v>-0.07675</v>
      </c>
      <c r="N62" s="5">
        <v>-0.43235</v>
      </c>
      <c r="O62" s="5">
        <v>0.0085</v>
      </c>
    </row>
    <row r="63">
      <c r="A63" s="12" t="str">
        <f>IFERROR(__xludf.DUMMYFUNCTION("""COMPUTED_VALUE"""),"Felix Von Hofe")</f>
        <v>Felix Von Hofe</v>
      </c>
      <c r="B63" s="13" t="str">
        <f>IFERROR(__xludf.DUMMYFUNCTION("""COMPUTED_VALUE"""),"MEL")</f>
        <v>MEL</v>
      </c>
      <c r="C63" s="14">
        <f>IFERROR(__xludf.DUMMYFUNCTION("""COMPUTED_VALUE"""),14.7)</f>
        <v>14.7</v>
      </c>
      <c r="D63" s="15">
        <f>IFERROR(__xludf.DUMMYFUNCTION("""COMPUTED_VALUE"""),-0.32561169920296607)</f>
        <v>-0.3256116992</v>
      </c>
      <c r="E63" s="15">
        <f>IFERROR(__xludf.DUMMYFUNCTION("""COMPUTED_VALUE"""),-0.14270226590239682)</f>
        <v>-0.1427022659</v>
      </c>
      <c r="F63" s="15">
        <f>IFERROR(__xludf.DUMMYFUNCTION("""COMPUTED_VALUE"""),-0.4683139651053629)</f>
        <v>-0.4683139651</v>
      </c>
      <c r="G63" s="17">
        <f>IFERROR(__xludf.DUMMYFUNCTION("""COMPUTED_VALUE"""),0.006809460518847131)</f>
        <v>0.006809460519</v>
      </c>
      <c r="H63" s="4"/>
      <c r="I63" s="5" t="s">
        <v>222</v>
      </c>
      <c r="J63" s="5" t="s">
        <v>27</v>
      </c>
      <c r="K63" s="5">
        <v>15.0</v>
      </c>
      <c r="L63" s="5">
        <v>-0.32561</v>
      </c>
      <c r="M63" s="5">
        <v>-0.1427</v>
      </c>
      <c r="N63" s="5">
        <v>-0.46831</v>
      </c>
      <c r="O63" s="5">
        <v>0.00681</v>
      </c>
    </row>
    <row r="64">
      <c r="A64" s="18" t="str">
        <f>IFERROR(__xludf.DUMMYFUNCTION("""COMPUTED_VALUE"""),"Brad Newley")</f>
        <v>Brad Newley</v>
      </c>
      <c r="B64" s="19" t="str">
        <f>IFERROR(__xludf.DUMMYFUNCTION("""COMPUTED_VALUE"""),"SYD")</f>
        <v>SYD</v>
      </c>
      <c r="C64" s="20">
        <f>IFERROR(__xludf.DUMMYFUNCTION("""COMPUTED_VALUE"""),768.1)</f>
        <v>768.1</v>
      </c>
      <c r="D64" s="21">
        <f>IFERROR(__xludf.DUMMYFUNCTION("""COMPUTED_VALUE"""),0.28087184320234004)</f>
        <v>0.2808718432</v>
      </c>
      <c r="E64" s="21">
        <f>IFERROR(__xludf.DUMMYFUNCTION("""COMPUTED_VALUE"""),-0.8017284918468663)</f>
        <v>-0.8017284918</v>
      </c>
      <c r="F64" s="21">
        <f>IFERROR(__xludf.DUMMYFUNCTION("""COMPUTED_VALUE"""),-0.5208566486445263)</f>
        <v>-0.5208566486</v>
      </c>
      <c r="G64" s="23">
        <f>IFERROR(__xludf.DUMMYFUNCTION("""COMPUTED_VALUE"""),0.34358943588711816)</f>
        <v>0.3435894359</v>
      </c>
      <c r="H64" s="4"/>
      <c r="I64" s="5" t="s">
        <v>226</v>
      </c>
      <c r="J64" s="5" t="s">
        <v>125</v>
      </c>
      <c r="K64" s="5">
        <v>768.0</v>
      </c>
      <c r="L64" s="5">
        <v>0.28087</v>
      </c>
      <c r="M64" s="5">
        <v>-0.80173</v>
      </c>
      <c r="N64" s="5">
        <v>-0.52086</v>
      </c>
      <c r="O64" s="5">
        <v>0.34359</v>
      </c>
    </row>
    <row r="65">
      <c r="A65" s="12" t="str">
        <f>IFERROR(__xludf.DUMMYFUNCTION("""COMPUTED_VALUE"""),"Kuany Kuany")</f>
        <v>Kuany Kuany</v>
      </c>
      <c r="B65" s="13" t="str">
        <f>IFERROR(__xludf.DUMMYFUNCTION("""COMPUTED_VALUE"""),"CRN")</f>
        <v>CRN</v>
      </c>
      <c r="C65" s="14">
        <f>IFERROR(__xludf.DUMMYFUNCTION("""COMPUTED_VALUE"""),22.4)</f>
        <v>22.4</v>
      </c>
      <c r="D65" s="15">
        <f>IFERROR(__xludf.DUMMYFUNCTION("""COMPUTED_VALUE"""),-0.997083364063613)</f>
        <v>-0.9970833641</v>
      </c>
      <c r="E65" s="15">
        <f>IFERROR(__xludf.DUMMYFUNCTION("""COMPUTED_VALUE"""),0.37649056594202657)</f>
        <v>0.3764905659</v>
      </c>
      <c r="F65" s="15">
        <f>IFERROR(__xludf.DUMMYFUNCTION("""COMPUTED_VALUE"""),-0.6205927981215864)</f>
        <v>-0.6205927981</v>
      </c>
      <c r="G65" s="17">
        <f>IFERROR(__xludf.DUMMYFUNCTION("""COMPUTED_VALUE"""),0.009584824297738999)</f>
        <v>0.009584824298</v>
      </c>
      <c r="H65" s="4"/>
      <c r="I65" s="5" t="s">
        <v>228</v>
      </c>
      <c r="J65" s="5" t="s">
        <v>44</v>
      </c>
      <c r="K65" s="5">
        <v>22.0</v>
      </c>
      <c r="L65" s="5">
        <v>-0.99708</v>
      </c>
      <c r="M65" s="5">
        <v>0.37649</v>
      </c>
      <c r="N65" s="5">
        <v>-0.62059</v>
      </c>
      <c r="O65" s="5">
        <v>0.00958</v>
      </c>
    </row>
    <row r="66">
      <c r="A66" s="18" t="str">
        <f>IFERROR(__xludf.DUMMYFUNCTION("""COMPUTED_VALUE"""),"Tim Coenraad")</f>
        <v>Tim Coenraad</v>
      </c>
      <c r="B66" s="19" t="str">
        <f>IFERROR(__xludf.DUMMYFUNCTION("""COMPUTED_VALUE"""),"ILL")</f>
        <v>ILL</v>
      </c>
      <c r="C66" s="20">
        <f>IFERROR(__xludf.DUMMYFUNCTION("""COMPUTED_VALUE"""),435.0)</f>
        <v>435</v>
      </c>
      <c r="D66" s="21">
        <f>IFERROR(__xludf.DUMMYFUNCTION("""COMPUTED_VALUE"""),0.3888886917629543)</f>
        <v>0.3888886918</v>
      </c>
      <c r="E66" s="21">
        <f>IFERROR(__xludf.DUMMYFUNCTION("""COMPUTED_VALUE"""),-1.019869489272451)</f>
        <v>-1.019869489</v>
      </c>
      <c r="F66" s="21">
        <f>IFERROR(__xludf.DUMMYFUNCTION("""COMPUTED_VALUE"""),-0.6309807975094966)</f>
        <v>-0.6309807975</v>
      </c>
      <c r="G66" s="23">
        <f>IFERROR(__xludf.DUMMYFUNCTION("""COMPUTED_VALUE"""),0.1826645086757784)</f>
        <v>0.1826645087</v>
      </c>
      <c r="H66" s="4"/>
      <c r="I66" s="5" t="s">
        <v>230</v>
      </c>
      <c r="J66" s="5" t="s">
        <v>47</v>
      </c>
      <c r="K66" s="5">
        <v>435.0</v>
      </c>
      <c r="L66" s="5">
        <v>0.38889</v>
      </c>
      <c r="M66" s="5">
        <v>-1.01987</v>
      </c>
      <c r="N66" s="5">
        <v>-0.63098</v>
      </c>
      <c r="O66" s="5">
        <v>0.18266</v>
      </c>
    </row>
    <row r="67">
      <c r="A67" s="12" t="str">
        <f>IFERROR(__xludf.DUMMYFUNCTION("""COMPUTED_VALUE"""),"Isaih Tueta")</f>
        <v>Isaih Tueta</v>
      </c>
      <c r="B67" s="13" t="str">
        <f>IFERROR(__xludf.DUMMYFUNCTION("""COMPUTED_VALUE"""),"BRI")</f>
        <v>BRI</v>
      </c>
      <c r="C67" s="14">
        <f>IFERROR(__xludf.DUMMYFUNCTION("""COMPUTED_VALUE"""),11.4)</f>
        <v>11.4</v>
      </c>
      <c r="D67" s="15">
        <f>IFERROR(__xludf.DUMMYFUNCTION("""COMPUTED_VALUE"""),-0.42375638830128465)</f>
        <v>-0.4237563883</v>
      </c>
      <c r="E67" s="15">
        <f>IFERROR(__xludf.DUMMYFUNCTION("""COMPUTED_VALUE"""),-0.20817531522107763)</f>
        <v>-0.2081753152</v>
      </c>
      <c r="F67" s="15">
        <f>IFERROR(__xludf.DUMMYFUNCTION("""COMPUTED_VALUE"""),-0.6319317035223623)</f>
        <v>-0.6319317035</v>
      </c>
      <c r="G67" s="17">
        <f>IFERROR(__xludf.DUMMYFUNCTION("""COMPUTED_VALUE"""),0.004748003869790928)</f>
        <v>0.00474800387</v>
      </c>
      <c r="H67" s="4"/>
      <c r="I67" s="5" t="s">
        <v>235</v>
      </c>
      <c r="J67" s="5" t="s">
        <v>110</v>
      </c>
      <c r="K67" s="5">
        <v>11.0</v>
      </c>
      <c r="L67" s="5">
        <v>-0.42376</v>
      </c>
      <c r="M67" s="5">
        <v>-0.20818</v>
      </c>
      <c r="N67" s="5">
        <v>-0.63193</v>
      </c>
      <c r="O67" s="5">
        <v>0.00475</v>
      </c>
    </row>
    <row r="68">
      <c r="A68" s="18" t="str">
        <f>IFERROR(__xludf.DUMMYFUNCTION("""COMPUTED_VALUE"""),"Matthew Knight")</f>
        <v>Matthew Knight</v>
      </c>
      <c r="B68" s="19" t="str">
        <f>IFERROR(__xludf.DUMMYFUNCTION("""COMPUTED_VALUE"""),"PER")</f>
        <v>PER</v>
      </c>
      <c r="C68" s="20">
        <f>IFERROR(__xludf.DUMMYFUNCTION("""COMPUTED_VALUE"""),63.0)</f>
        <v>63</v>
      </c>
      <c r="D68" s="21">
        <f>IFERROR(__xludf.DUMMYFUNCTION("""COMPUTED_VALUE"""),-0.5049282920032584)</f>
        <v>-0.504928292</v>
      </c>
      <c r="E68" s="21">
        <f>IFERROR(__xludf.DUMMYFUNCTION("""COMPUTED_VALUE"""),-0.13188590229425445)</f>
        <v>-0.1318859023</v>
      </c>
      <c r="F68" s="21">
        <f>IFERROR(__xludf.DUMMYFUNCTION("""COMPUTED_VALUE"""),-0.6368141942975128)</f>
        <v>-0.6368141943</v>
      </c>
      <c r="G68" s="23">
        <f>IFERROR(__xludf.DUMMYFUNCTION("""COMPUTED_VALUE"""),0.026324857482554462)</f>
        <v>0.02632485748</v>
      </c>
      <c r="H68" s="4"/>
      <c r="I68" s="5" t="s">
        <v>238</v>
      </c>
      <c r="J68" s="5" t="s">
        <v>39</v>
      </c>
      <c r="K68" s="5">
        <v>63.0</v>
      </c>
      <c r="L68" s="5">
        <v>-0.50493</v>
      </c>
      <c r="M68" s="5">
        <v>-0.13189</v>
      </c>
      <c r="N68" s="5">
        <v>-0.63681</v>
      </c>
      <c r="O68" s="5">
        <v>0.02632</v>
      </c>
    </row>
    <row r="69">
      <c r="A69" s="12" t="str">
        <f>IFERROR(__xludf.DUMMYFUNCTION("""COMPUTED_VALUE"""),"Craig Moller")</f>
        <v>Craig Moller</v>
      </c>
      <c r="B69" s="13" t="str">
        <f>IFERROR(__xludf.DUMMYFUNCTION("""COMPUTED_VALUE"""),"MEL")</f>
        <v>MEL</v>
      </c>
      <c r="C69" s="14">
        <f>IFERROR(__xludf.DUMMYFUNCTION("""COMPUTED_VALUE"""),457.3)</f>
        <v>457.3</v>
      </c>
      <c r="D69" s="15">
        <f>IFERROR(__xludf.DUMMYFUNCTION("""COMPUTED_VALUE"""),-2.6396804897666697)</f>
        <v>-2.63968049</v>
      </c>
      <c r="E69" s="15">
        <f>IFERROR(__xludf.DUMMYFUNCTION("""COMPUTED_VALUE"""),1.9964995985121807)</f>
        <v>1.996499599</v>
      </c>
      <c r="F69" s="15">
        <f>IFERROR(__xludf.DUMMYFUNCTION("""COMPUTED_VALUE"""),-0.643180891254489)</f>
        <v>-0.6431808913</v>
      </c>
      <c r="G69" s="17">
        <f>IFERROR(__xludf.DUMMYFUNCTION("""COMPUTED_VALUE"""),0.18765008758410617)</f>
        <v>0.1876500876</v>
      </c>
      <c r="H69" s="4"/>
      <c r="I69" s="5" t="s">
        <v>242</v>
      </c>
      <c r="J69" s="5" t="s">
        <v>27</v>
      </c>
      <c r="K69" s="5">
        <v>457.0</v>
      </c>
      <c r="L69" s="5">
        <v>-2.63968</v>
      </c>
      <c r="M69" s="5">
        <v>1.9965</v>
      </c>
      <c r="N69" s="5">
        <v>-0.64318</v>
      </c>
      <c r="O69" s="5">
        <v>0.18765</v>
      </c>
    </row>
    <row r="70">
      <c r="A70" s="18" t="str">
        <f>IFERROR(__xludf.DUMMYFUNCTION("""COMPUTED_VALUE"""),"Indiana Faithfull")</f>
        <v>Indiana Faithfull</v>
      </c>
      <c r="B70" s="19" t="str">
        <f>IFERROR(__xludf.DUMMYFUNCTION("""COMPUTED_VALUE"""),"ILL")</f>
        <v>ILL</v>
      </c>
      <c r="C70" s="20">
        <f>IFERROR(__xludf.DUMMYFUNCTION("""COMPUTED_VALUE"""),57.0)</f>
        <v>57</v>
      </c>
      <c r="D70" s="21">
        <f>IFERROR(__xludf.DUMMYFUNCTION("""COMPUTED_VALUE"""),-0.45756519120996103)</f>
        <v>-0.4575651912</v>
      </c>
      <c r="E70" s="21">
        <f>IFERROR(__xludf.DUMMYFUNCTION("""COMPUTED_VALUE"""),-0.19075950463899333)</f>
        <v>-0.1907595046</v>
      </c>
      <c r="F70" s="21">
        <f>IFERROR(__xludf.DUMMYFUNCTION("""COMPUTED_VALUE"""),-0.6483246958489544)</f>
        <v>-0.6483246958</v>
      </c>
      <c r="G70" s="23">
        <f>IFERROR(__xludf.DUMMYFUNCTION("""COMPUTED_VALUE"""),0.023632116071491925)</f>
        <v>0.02363211607</v>
      </c>
      <c r="H70" s="4"/>
      <c r="I70" s="5" t="s">
        <v>244</v>
      </c>
      <c r="J70" s="5" t="s">
        <v>47</v>
      </c>
      <c r="K70" s="5">
        <v>57.0</v>
      </c>
      <c r="L70" s="5">
        <v>-0.45757</v>
      </c>
      <c r="M70" s="5">
        <v>-0.19076</v>
      </c>
      <c r="N70" s="5">
        <v>-0.64832</v>
      </c>
      <c r="O70" s="5">
        <v>0.02363</v>
      </c>
    </row>
    <row r="71">
      <c r="A71" s="12" t="str">
        <f>IFERROR(__xludf.DUMMYFUNCTION("""COMPUTED_VALUE"""),"Perry Ellis")</f>
        <v>Perry Ellis</v>
      </c>
      <c r="B71" s="13" t="str">
        <f>IFERROR(__xludf.DUMMYFUNCTION("""COMPUTED_VALUE"""),"SYD")</f>
        <v>SYD</v>
      </c>
      <c r="C71" s="14">
        <f>IFERROR(__xludf.DUMMYFUNCTION("""COMPUTED_VALUE"""),821.7)</f>
        <v>821.7</v>
      </c>
      <c r="D71" s="15">
        <f>IFERROR(__xludf.DUMMYFUNCTION("""COMPUTED_VALUE"""),0.958303304671376)</f>
        <v>0.9583033047</v>
      </c>
      <c r="E71" s="15">
        <f>IFERROR(__xludf.DUMMYFUNCTION("""COMPUTED_VALUE"""),-1.6117719760720934)</f>
        <v>-1.611771976</v>
      </c>
      <c r="F71" s="15">
        <f>IFERROR(__xludf.DUMMYFUNCTION("""COMPUTED_VALUE"""),-0.6534686714007174)</f>
        <v>-0.6534686714</v>
      </c>
      <c r="G71" s="17">
        <f>IFERROR(__xludf.DUMMYFUNCTION("""COMPUTED_VALUE"""),0.33461200692847154)</f>
        <v>0.3346120069</v>
      </c>
      <c r="H71" s="4"/>
      <c r="I71" s="5" t="s">
        <v>246</v>
      </c>
      <c r="J71" s="5" t="s">
        <v>125</v>
      </c>
      <c r="K71" s="5">
        <v>822.0</v>
      </c>
      <c r="L71" s="5">
        <v>0.9583</v>
      </c>
      <c r="M71" s="5">
        <v>-1.61177</v>
      </c>
      <c r="N71" s="5">
        <v>-0.65347</v>
      </c>
      <c r="O71" s="5">
        <v>0.33461</v>
      </c>
    </row>
    <row r="72">
      <c r="A72" s="18" t="str">
        <f>IFERROR(__xludf.DUMMYFUNCTION("""COMPUTED_VALUE"""),"Nelson Larkins")</f>
        <v>Nelson Larkins</v>
      </c>
      <c r="B72" s="19" t="str">
        <f>IFERROR(__xludf.DUMMYFUNCTION("""COMPUTED_VALUE"""),"ADE")</f>
        <v>ADE</v>
      </c>
      <c r="C72" s="20">
        <f>IFERROR(__xludf.DUMMYFUNCTION("""COMPUTED_VALUE"""),35.7)</f>
        <v>35.7</v>
      </c>
      <c r="D72" s="21">
        <f>IFERROR(__xludf.DUMMYFUNCTION("""COMPUTED_VALUE"""),-0.6611371753036647)</f>
        <v>-0.6611371753</v>
      </c>
      <c r="E72" s="21">
        <f>IFERROR(__xludf.DUMMYFUNCTION("""COMPUTED_VALUE"""),3.917299969224963E-4)</f>
        <v>0.0003917299969</v>
      </c>
      <c r="F72" s="21">
        <f>IFERROR(__xludf.DUMMYFUNCTION("""COMPUTED_VALUE"""),-0.6607454453067422)</f>
        <v>-0.6607454453</v>
      </c>
      <c r="G72" s="23">
        <f>IFERROR(__xludf.DUMMYFUNCTION("""COMPUTED_VALUE"""),0.014606690611009769)</f>
        <v>0.01460669061</v>
      </c>
      <c r="H72" s="4"/>
      <c r="I72" s="5" t="s">
        <v>249</v>
      </c>
      <c r="J72" s="5" t="s">
        <v>16</v>
      </c>
      <c r="K72" s="5">
        <v>36.0</v>
      </c>
      <c r="L72" s="5">
        <v>-0.66114</v>
      </c>
      <c r="M72" s="5">
        <v>3.9E-4</v>
      </c>
      <c r="N72" s="5">
        <v>-0.66075</v>
      </c>
      <c r="O72" s="5">
        <v>0.01461</v>
      </c>
    </row>
    <row r="73">
      <c r="A73" s="12" t="str">
        <f>IFERROR(__xludf.DUMMYFUNCTION("""COMPUTED_VALUE"""),"Tevin Jackson")</f>
        <v>Tevin Jackson</v>
      </c>
      <c r="B73" s="13" t="str">
        <f>IFERROR(__xludf.DUMMYFUNCTION("""COMPUTED_VALUE"""),"CRN")</f>
        <v>CRN</v>
      </c>
      <c r="C73" s="14">
        <f>IFERROR(__xludf.DUMMYFUNCTION("""COMPUTED_VALUE"""),15.2)</f>
        <v>15.2</v>
      </c>
      <c r="D73" s="15">
        <f>IFERROR(__xludf.DUMMYFUNCTION("""COMPUTED_VALUE"""),-0.438843322414295)</f>
        <v>-0.4388433224</v>
      </c>
      <c r="E73" s="15">
        <f>IFERROR(__xludf.DUMMYFUNCTION("""COMPUTED_VALUE"""),-0.38267721299913904)</f>
        <v>-0.382677213</v>
      </c>
      <c r="F73" s="15">
        <f>IFERROR(__xludf.DUMMYFUNCTION("""COMPUTED_VALUE"""),-0.8215205354134341)</f>
        <v>-0.8215205354</v>
      </c>
      <c r="G73" s="17">
        <f>IFERROR(__xludf.DUMMYFUNCTION("""COMPUTED_VALUE"""),0.0055566015509184675)</f>
        <v>0.005556601551</v>
      </c>
      <c r="H73" s="4"/>
      <c r="I73" s="5" t="s">
        <v>251</v>
      </c>
      <c r="J73" s="5" t="s">
        <v>44</v>
      </c>
      <c r="K73" s="5">
        <v>15.0</v>
      </c>
      <c r="L73" s="5">
        <v>-0.43884</v>
      </c>
      <c r="M73" s="5">
        <v>-0.38268</v>
      </c>
      <c r="N73" s="5">
        <v>-0.82152</v>
      </c>
      <c r="O73" s="5">
        <v>0.00556</v>
      </c>
    </row>
    <row r="74">
      <c r="A74" s="18" t="str">
        <f>IFERROR(__xludf.DUMMYFUNCTION("""COMPUTED_VALUE"""),"Adam Gibson")</f>
        <v>Adam Gibson</v>
      </c>
      <c r="B74" s="19" t="str">
        <f>IFERROR(__xludf.DUMMYFUNCTION("""COMPUTED_VALUE"""),"BRI")</f>
        <v>BRI</v>
      </c>
      <c r="C74" s="20">
        <f>IFERROR(__xludf.DUMMYFUNCTION("""COMPUTED_VALUE"""),634.5)</f>
        <v>634.5</v>
      </c>
      <c r="D74" s="21">
        <f>IFERROR(__xludf.DUMMYFUNCTION("""COMPUTED_VALUE"""),0.0618306110350631)</f>
        <v>0.06183061104</v>
      </c>
      <c r="E74" s="21">
        <f>IFERROR(__xludf.DUMMYFUNCTION("""COMPUTED_VALUE"""),-0.8940983128270152)</f>
        <v>-0.8940983128</v>
      </c>
      <c r="F74" s="21">
        <f>IFERROR(__xludf.DUMMYFUNCTION("""COMPUTED_VALUE"""),-0.8322677017919522)</f>
        <v>-0.8322677018</v>
      </c>
      <c r="G74" s="23">
        <f>IFERROR(__xludf.DUMMYFUNCTION("""COMPUTED_VALUE"""),0.22556585194024867)</f>
        <v>0.2255658519</v>
      </c>
      <c r="H74" s="4"/>
      <c r="I74" s="5" t="s">
        <v>254</v>
      </c>
      <c r="J74" s="5" t="s">
        <v>110</v>
      </c>
      <c r="K74" s="5">
        <v>635.0</v>
      </c>
      <c r="L74" s="5">
        <v>0.06183</v>
      </c>
      <c r="M74" s="5">
        <v>-0.8941</v>
      </c>
      <c r="N74" s="5">
        <v>-0.83227</v>
      </c>
      <c r="O74" s="5">
        <v>0.22557</v>
      </c>
    </row>
    <row r="75">
      <c r="A75" s="12" t="str">
        <f>IFERROR(__xludf.DUMMYFUNCTION("""COMPUTED_VALUE"""),"Adam Doyle")</f>
        <v>Adam Doyle</v>
      </c>
      <c r="B75" s="13" t="str">
        <f>IFERROR(__xludf.DUMMYFUNCTION("""COMPUTED_VALUE"""),"ADE")</f>
        <v>ADE</v>
      </c>
      <c r="C75" s="14">
        <f>IFERROR(__xludf.DUMMYFUNCTION("""COMPUTED_VALUE"""),69.6)</f>
        <v>69.6</v>
      </c>
      <c r="D75" s="15">
        <f>IFERROR(__xludf.DUMMYFUNCTION("""COMPUTED_VALUE"""),-0.6606444374397842)</f>
        <v>-0.6606444374</v>
      </c>
      <c r="E75" s="15">
        <f>IFERROR(__xludf.DUMMYFUNCTION("""COMPUTED_VALUE"""),-0.24466291582276656)</f>
        <v>-0.2446629158</v>
      </c>
      <c r="F75" s="15">
        <f>IFERROR(__xludf.DUMMYFUNCTION("""COMPUTED_VALUE"""),-0.9053073532625507)</f>
        <v>-0.9053073533</v>
      </c>
      <c r="G75" s="17">
        <f>IFERROR(__xludf.DUMMYFUNCTION("""COMPUTED_VALUE"""),0.023276727521113344)</f>
        <v>0.02327672752</v>
      </c>
      <c r="H75" s="4"/>
      <c r="I75" s="5" t="s">
        <v>256</v>
      </c>
      <c r="J75" s="5" t="s">
        <v>16</v>
      </c>
      <c r="K75" s="5">
        <v>70.0</v>
      </c>
      <c r="L75" s="5">
        <v>-0.66064</v>
      </c>
      <c r="M75" s="5">
        <v>-0.24466</v>
      </c>
      <c r="N75" s="5">
        <v>-0.90531</v>
      </c>
      <c r="O75" s="5">
        <v>0.02328</v>
      </c>
    </row>
    <row r="76">
      <c r="A76" s="18" t="str">
        <f>IFERROR(__xludf.DUMMYFUNCTION("""COMPUTED_VALUE"""),"Derone Raukawa")</f>
        <v>Derone Raukawa</v>
      </c>
      <c r="B76" s="19" t="str">
        <f>IFERROR(__xludf.DUMMYFUNCTION("""COMPUTED_VALUE"""),"NZB")</f>
        <v>NZB</v>
      </c>
      <c r="C76" s="20">
        <f>IFERROR(__xludf.DUMMYFUNCTION("""COMPUTED_VALUE"""),10.2)</f>
        <v>10.2</v>
      </c>
      <c r="D76" s="21">
        <f>IFERROR(__xludf.DUMMYFUNCTION("""COMPUTED_VALUE"""),-0.6636695172856215)</f>
        <v>-0.6636695173</v>
      </c>
      <c r="E76" s="21">
        <f>IFERROR(__xludf.DUMMYFUNCTION("""COMPUTED_VALUE"""),-0.26260482273033225)</f>
        <v>-0.2626048227</v>
      </c>
      <c r="F76" s="21">
        <f>IFERROR(__xludf.DUMMYFUNCTION("""COMPUTED_VALUE"""),-0.9262743400159538)</f>
        <v>-0.92627434</v>
      </c>
      <c r="G76" s="23">
        <f>IFERROR(__xludf.DUMMYFUNCTION("""COMPUTED_VALUE"""),0.00334208849936749)</f>
        <v>0.003342088499</v>
      </c>
      <c r="H76" s="4"/>
      <c r="I76" s="5" t="s">
        <v>258</v>
      </c>
      <c r="J76" s="5" t="s">
        <v>78</v>
      </c>
      <c r="K76" s="24">
        <v>10.0</v>
      </c>
      <c r="L76" s="5">
        <v>-0.66367</v>
      </c>
      <c r="M76" s="5">
        <v>-0.2626</v>
      </c>
      <c r="N76" s="5">
        <v>-0.92627</v>
      </c>
      <c r="O76" s="5">
        <v>0.00334</v>
      </c>
    </row>
    <row r="77">
      <c r="A77" s="12" t="str">
        <f>IFERROR(__xludf.DUMMYFUNCTION("""COMPUTED_VALUE"""),"Daniel Kickert")</f>
        <v>Daniel Kickert</v>
      </c>
      <c r="B77" s="13" t="str">
        <f>IFERROR(__xludf.DUMMYFUNCTION("""COMPUTED_VALUE"""),"BRI")</f>
        <v>BRI</v>
      </c>
      <c r="C77" s="14">
        <f>IFERROR(__xludf.DUMMYFUNCTION("""COMPUTED_VALUE"""),729.6)</f>
        <v>729.6</v>
      </c>
      <c r="D77" s="15">
        <f>IFERROR(__xludf.DUMMYFUNCTION("""COMPUTED_VALUE"""),0.9445200531061584)</f>
        <v>0.9445200531</v>
      </c>
      <c r="E77" s="15">
        <f>IFERROR(__xludf.DUMMYFUNCTION("""COMPUTED_VALUE"""),-1.9409117711827368)</f>
        <v>-1.940911771</v>
      </c>
      <c r="F77" s="15">
        <f>IFERROR(__xludf.DUMMYFUNCTION("""COMPUTED_VALUE"""),-0.9963917180765784)</f>
        <v>-0.9963917181</v>
      </c>
      <c r="G77" s="17">
        <f>IFERROR(__xludf.DUMMYFUNCTION("""COMPUTED_VALUE"""),0.22291921038599216)</f>
        <v>0.2229192104</v>
      </c>
      <c r="H77" s="4"/>
      <c r="I77" s="5" t="s">
        <v>261</v>
      </c>
      <c r="J77" s="5" t="s">
        <v>110</v>
      </c>
      <c r="K77" s="5">
        <v>730.0</v>
      </c>
      <c r="L77" s="5">
        <v>0.94452</v>
      </c>
      <c r="M77" s="5">
        <v>-1.94091</v>
      </c>
      <c r="N77" s="5">
        <v>-0.99639</v>
      </c>
      <c r="O77" s="5">
        <v>0.22292</v>
      </c>
    </row>
    <row r="78">
      <c r="A78" s="18" t="str">
        <f>IFERROR(__xludf.DUMMYFUNCTION("""COMPUTED_VALUE"""),"Will Magnay")</f>
        <v>Will Magnay</v>
      </c>
      <c r="B78" s="19" t="str">
        <f>IFERROR(__xludf.DUMMYFUNCTION("""COMPUTED_VALUE"""),"BRI")</f>
        <v>BRI</v>
      </c>
      <c r="C78" s="20">
        <f>IFERROR(__xludf.DUMMYFUNCTION("""COMPUTED_VALUE"""),38.1)</f>
        <v>38.1</v>
      </c>
      <c r="D78" s="21">
        <f>IFERROR(__xludf.DUMMYFUNCTION("""COMPUTED_VALUE"""),-0.4082639293342534)</f>
        <v>-0.4082639293</v>
      </c>
      <c r="E78" s="21">
        <f>IFERROR(__xludf.DUMMYFUNCTION("""COMPUTED_VALUE"""),-0.5934836552575657)</f>
        <v>-0.5934836553</v>
      </c>
      <c r="F78" s="21">
        <f>IFERROR(__xludf.DUMMYFUNCTION("""COMPUTED_VALUE"""),-1.0017475845918191)</f>
        <v>-1.001747585</v>
      </c>
      <c r="G78" s="23">
        <f>IFERROR(__xludf.DUMMYFUNCTION("""COMPUTED_VALUE"""),0.01157880605576002)</f>
        <v>0.01157880606</v>
      </c>
      <c r="H78" s="4"/>
      <c r="I78" s="5" t="s">
        <v>263</v>
      </c>
      <c r="J78" s="5" t="s">
        <v>110</v>
      </c>
      <c r="K78" s="24">
        <v>38.0</v>
      </c>
      <c r="L78" s="5">
        <v>-0.40826</v>
      </c>
      <c r="M78" s="5">
        <v>-0.59348</v>
      </c>
      <c r="N78" s="5">
        <v>-1.00175</v>
      </c>
      <c r="O78" s="5">
        <v>0.01158</v>
      </c>
    </row>
    <row r="79">
      <c r="A79" s="12" t="str">
        <f>IFERROR(__xludf.DUMMYFUNCTION("""COMPUTED_VALUE"""),"Alan Wiggins, Jr.")</f>
        <v>Alan Wiggins, Jr.</v>
      </c>
      <c r="B79" s="13" t="str">
        <f>IFERROR(__xludf.DUMMYFUNCTION("""COMPUTED_VALUE"""),"ADE")</f>
        <v>ADE</v>
      </c>
      <c r="C79" s="14">
        <f>IFERROR(__xludf.DUMMYFUNCTION("""COMPUTED_VALUE"""),8.3)</f>
        <v>8.3</v>
      </c>
      <c r="D79" s="15">
        <f>IFERROR(__xludf.DUMMYFUNCTION("""COMPUTED_VALUE"""),-0.6798004894901639)</f>
        <v>-0.6798004895</v>
      </c>
      <c r="E79" s="15">
        <f>IFERROR(__xludf.DUMMYFUNCTION("""COMPUTED_VALUE"""),-0.34107589984415854)</f>
        <v>-0.3410758998</v>
      </c>
      <c r="F79" s="15">
        <f>IFERROR(__xludf.DUMMYFUNCTION("""COMPUTED_VALUE"""),-1.0208763893343225)</f>
        <v>-1.020876389</v>
      </c>
      <c r="G79" s="17">
        <f>IFERROR(__xludf.DUMMYFUNCTION("""COMPUTED_VALUE"""),0.002482767764229789)</f>
        <v>0.002482767764</v>
      </c>
      <c r="H79" s="4"/>
      <c r="I79" s="5" t="s">
        <v>265</v>
      </c>
      <c r="J79" s="5" t="s">
        <v>16</v>
      </c>
      <c r="K79" s="5">
        <v>8.0</v>
      </c>
      <c r="L79" s="5">
        <v>-0.6798</v>
      </c>
      <c r="M79" s="5">
        <v>-0.34108</v>
      </c>
      <c r="N79" s="5">
        <v>-1.02088</v>
      </c>
      <c r="O79" s="5">
        <v>0.00248</v>
      </c>
    </row>
    <row r="80">
      <c r="A80" s="18" t="str">
        <f>IFERROR(__xludf.DUMMYFUNCTION("""COMPUTED_VALUE"""),"Nathan Sobey")</f>
        <v>Nathan Sobey</v>
      </c>
      <c r="B80" s="19" t="str">
        <f>IFERROR(__xludf.DUMMYFUNCTION("""COMPUTED_VALUE"""),"ADE")</f>
        <v>ADE</v>
      </c>
      <c r="C80" s="20">
        <f>IFERROR(__xludf.DUMMYFUNCTION("""COMPUTED_VALUE"""),942.1)</f>
        <v>942.1</v>
      </c>
      <c r="D80" s="21">
        <f>IFERROR(__xludf.DUMMYFUNCTION("""COMPUTED_VALUE"""),-1.1924267448610704)</f>
        <v>-1.192426745</v>
      </c>
      <c r="E80" s="21">
        <f>IFERROR(__xludf.DUMMYFUNCTION("""COMPUTED_VALUE"""),0.1702594542480229)</f>
        <v>0.1702594542</v>
      </c>
      <c r="F80" s="21">
        <f>IFERROR(__xludf.DUMMYFUNCTION("""COMPUTED_VALUE"""),-1.0221672906130475)</f>
        <v>-1.022167291</v>
      </c>
      <c r="G80" s="23">
        <f>IFERROR(__xludf.DUMMYFUNCTION("""COMPUTED_VALUE"""),0.28143755344592736)</f>
        <v>0.2814375534</v>
      </c>
      <c r="H80" s="4"/>
      <c r="I80" s="5" t="s">
        <v>269</v>
      </c>
      <c r="J80" s="5" t="s">
        <v>16</v>
      </c>
      <c r="K80" s="5">
        <v>942.0</v>
      </c>
      <c r="L80" s="5">
        <v>-1.19243</v>
      </c>
      <c r="M80" s="5">
        <v>0.17026</v>
      </c>
      <c r="N80" s="5">
        <v>-1.02217</v>
      </c>
      <c r="O80" s="5">
        <v>0.28144</v>
      </c>
    </row>
    <row r="81">
      <c r="A81" s="12" t="str">
        <f>IFERROR(__xludf.DUMMYFUNCTION("""COMPUTED_VALUE"""),"Tom Fullarton")</f>
        <v>Tom Fullarton</v>
      </c>
      <c r="B81" s="13" t="str">
        <f>IFERROR(__xludf.DUMMYFUNCTION("""COMPUTED_VALUE"""),"BRI")</f>
        <v>BRI</v>
      </c>
      <c r="C81" s="14">
        <f>IFERROR(__xludf.DUMMYFUNCTION("""COMPUTED_VALUE"""),33.1)</f>
        <v>33.1</v>
      </c>
      <c r="D81" s="15">
        <f>IFERROR(__xludf.DUMMYFUNCTION("""COMPUTED_VALUE"""),-0.5504996964840994)</f>
        <v>-0.5504996965</v>
      </c>
      <c r="E81" s="15">
        <f>IFERROR(__xludf.DUMMYFUNCTION("""COMPUTED_VALUE"""),-0.6279550304645478)</f>
        <v>-0.6279550305</v>
      </c>
      <c r="F81" s="15">
        <f>IFERROR(__xludf.DUMMYFUNCTION("""COMPUTED_VALUE"""),-1.1784547269486472)</f>
        <v>-1.178454727</v>
      </c>
      <c r="G81" s="17">
        <f>IFERROR(__xludf.DUMMYFUNCTION("""COMPUTED_VALUE"""),0.008278619634492028)</f>
        <v>0.008278619634</v>
      </c>
      <c r="H81" s="4"/>
      <c r="I81" s="5" t="s">
        <v>272</v>
      </c>
      <c r="J81" s="5" t="s">
        <v>110</v>
      </c>
      <c r="K81" s="5">
        <v>33.0</v>
      </c>
      <c r="L81" s="5">
        <v>-0.5505</v>
      </c>
      <c r="M81" s="5">
        <v>-0.62796</v>
      </c>
      <c r="N81" s="5">
        <v>-1.17845</v>
      </c>
      <c r="O81" s="5">
        <v>0.00828</v>
      </c>
    </row>
    <row r="82">
      <c r="A82" s="18" t="str">
        <f>IFERROR(__xludf.DUMMYFUNCTION("""COMPUTED_VALUE"""),"Tom Jervis")</f>
        <v>Tom Jervis</v>
      </c>
      <c r="B82" s="19" t="str">
        <f>IFERROR(__xludf.DUMMYFUNCTION("""COMPUTED_VALUE"""),"BRI")</f>
        <v>BRI</v>
      </c>
      <c r="C82" s="20">
        <f>IFERROR(__xludf.DUMMYFUNCTION("""COMPUTED_VALUE"""),488.1)</f>
        <v>488.1</v>
      </c>
      <c r="D82" s="21">
        <f>IFERROR(__xludf.DUMMYFUNCTION("""COMPUTED_VALUE"""),-0.8597344946822076)</f>
        <v>-0.8597344947</v>
      </c>
      <c r="E82" s="21">
        <f>IFERROR(__xludf.DUMMYFUNCTION("""COMPUTED_VALUE"""),-0.4500455266045098)</f>
        <v>-0.4500455266</v>
      </c>
      <c r="F82" s="21">
        <f>IFERROR(__xludf.DUMMYFUNCTION("""COMPUTED_VALUE"""),-1.3097800212867174)</f>
        <v>-1.309780021</v>
      </c>
      <c r="G82" s="23">
        <f>IFERROR(__xludf.DUMMYFUNCTION("""COMPUTED_VALUE"""),0.10256395697989418)</f>
        <v>0.102563957</v>
      </c>
      <c r="H82" s="4"/>
      <c r="I82" s="5" t="s">
        <v>274</v>
      </c>
      <c r="J82" s="5" t="s">
        <v>110</v>
      </c>
      <c r="K82" s="5">
        <v>488.0</v>
      </c>
      <c r="L82" s="5">
        <v>-0.85973</v>
      </c>
      <c r="M82" s="5">
        <v>-0.45005</v>
      </c>
      <c r="N82" s="5">
        <v>-1.30978</v>
      </c>
      <c r="O82" s="5">
        <v>0.10256</v>
      </c>
    </row>
    <row r="83">
      <c r="A83" s="12" t="str">
        <f>IFERROR(__xludf.DUMMYFUNCTION("""COMPUTED_VALUE"""),"Delvon Johnson")</f>
        <v>Delvon Johnson</v>
      </c>
      <c r="B83" s="13" t="str">
        <f>IFERROR(__xludf.DUMMYFUNCTION("""COMPUTED_VALUE"""),"ILL")</f>
        <v>ILL</v>
      </c>
      <c r="C83" s="14">
        <f>IFERROR(__xludf.DUMMYFUNCTION("""COMPUTED_VALUE"""),539.8)</f>
        <v>539.8</v>
      </c>
      <c r="D83" s="15">
        <f>IFERROR(__xludf.DUMMYFUNCTION("""COMPUTED_VALUE"""),-3.170264431521257)</f>
        <v>-3.170264432</v>
      </c>
      <c r="E83" s="15">
        <f>IFERROR(__xludf.DUMMYFUNCTION("""COMPUTED_VALUE"""),1.8346603652083817)</f>
        <v>1.834660365</v>
      </c>
      <c r="F83" s="15">
        <f>IFERROR(__xludf.DUMMYFUNCTION("""COMPUTED_VALUE"""),-1.3356040663128752)</f>
        <v>-1.335604066</v>
      </c>
      <c r="G83" s="17">
        <f>IFERROR(__xludf.DUMMYFUNCTION("""COMPUTED_VALUE"""),0.11000570845417025)</f>
        <v>0.1100057085</v>
      </c>
      <c r="H83" s="4"/>
      <c r="I83" s="5" t="s">
        <v>276</v>
      </c>
      <c r="J83" s="5" t="s">
        <v>47</v>
      </c>
      <c r="K83" s="5">
        <v>540.0</v>
      </c>
      <c r="L83" s="5">
        <v>-3.17026</v>
      </c>
      <c r="M83" s="5">
        <v>1.83466</v>
      </c>
      <c r="N83" s="5">
        <v>-1.3356</v>
      </c>
      <c r="O83" s="5">
        <v>0.11001</v>
      </c>
    </row>
    <row r="84">
      <c r="A84" s="18" t="str">
        <f>IFERROR(__xludf.DUMMYFUNCTION("""COMPUTED_VALUE"""),"Nathan Jawai")</f>
        <v>Nathan Jawai</v>
      </c>
      <c r="B84" s="19" t="str">
        <f>IFERROR(__xludf.DUMMYFUNCTION("""COMPUTED_VALUE"""),"CRN")</f>
        <v>CRN</v>
      </c>
      <c r="C84" s="20">
        <f>IFERROR(__xludf.DUMMYFUNCTION("""COMPUTED_VALUE"""),97.5)</f>
        <v>97.5</v>
      </c>
      <c r="D84" s="21">
        <f>IFERROR(__xludf.DUMMYFUNCTION("""COMPUTED_VALUE"""),-1.3035327499496716)</f>
        <v>-1.30353275</v>
      </c>
      <c r="E84" s="21">
        <f>IFERROR(__xludf.DUMMYFUNCTION("""COMPUTED_VALUE"""),-0.043242482276850236)</f>
        <v>-0.04324248228</v>
      </c>
      <c r="F84" s="21">
        <f>IFERROR(__xludf.DUMMYFUNCTION("""COMPUTED_VALUE"""),-1.3467752322265218)</f>
        <v>-1.346775232</v>
      </c>
      <c r="G84" s="23">
        <f>IFERROR(__xludf.DUMMYFUNCTION("""COMPUTED_VALUE"""),0.01975654088322289)</f>
        <v>0.01975654088</v>
      </c>
      <c r="H84" s="4"/>
      <c r="I84" s="5" t="s">
        <v>280</v>
      </c>
      <c r="J84" s="5" t="s">
        <v>44</v>
      </c>
      <c r="K84" s="5">
        <v>98.0</v>
      </c>
      <c r="L84" s="5">
        <v>-1.30353</v>
      </c>
      <c r="M84" s="5">
        <v>-0.04324</v>
      </c>
      <c r="N84" s="5">
        <v>-1.34678</v>
      </c>
      <c r="O84" s="5">
        <v>0.01976</v>
      </c>
    </row>
    <row r="85">
      <c r="A85" s="12" t="str">
        <f>IFERROR(__xludf.DUMMYFUNCTION("""COMPUTED_VALUE"""),"Jordan Ngatai")</f>
        <v>Jordan Ngatai</v>
      </c>
      <c r="B85" s="13" t="str">
        <f>IFERROR(__xludf.DUMMYFUNCTION("""COMPUTED_VALUE"""),"NZB")</f>
        <v>NZB</v>
      </c>
      <c r="C85" s="14">
        <f>IFERROR(__xludf.DUMMYFUNCTION("""COMPUTED_VALUE"""),136.8)</f>
        <v>136.8</v>
      </c>
      <c r="D85" s="15">
        <f>IFERROR(__xludf.DUMMYFUNCTION("""COMPUTED_VALUE"""),-0.14327334715169635)</f>
        <v>-0.1432733472</v>
      </c>
      <c r="E85" s="15">
        <f>IFERROR(__xludf.DUMMYFUNCTION("""COMPUTED_VALUE"""),-1.27995743861591)</f>
        <v>-1.279957439</v>
      </c>
      <c r="F85" s="15">
        <f>IFERROR(__xludf.DUMMYFUNCTION("""COMPUTED_VALUE"""),-1.4232307857676063)</f>
        <v>-1.423230786</v>
      </c>
      <c r="G85" s="17">
        <f>IFERROR(__xludf.DUMMYFUNCTION("""COMPUTED_VALUE"""),0.024077567599667005)</f>
        <v>0.0240775676</v>
      </c>
      <c r="H85" s="4"/>
      <c r="I85" s="5" t="s">
        <v>283</v>
      </c>
      <c r="J85" s="5" t="s">
        <v>78</v>
      </c>
      <c r="K85" s="5">
        <v>137.0</v>
      </c>
      <c r="L85" s="5">
        <v>-0.14327</v>
      </c>
      <c r="M85" s="5">
        <v>-1.27996</v>
      </c>
      <c r="N85" s="5">
        <v>-1.42323</v>
      </c>
      <c r="O85" s="5">
        <v>0.02408</v>
      </c>
    </row>
    <row r="86">
      <c r="A86" s="18" t="str">
        <f>IFERROR(__xludf.DUMMYFUNCTION("""COMPUTED_VALUE"""),"Michael Carrera")</f>
        <v>Michael Carrera</v>
      </c>
      <c r="B86" s="19" t="str">
        <f>IFERROR(__xludf.DUMMYFUNCTION("""COMPUTED_VALUE"""),"CRN")</f>
        <v>CRN</v>
      </c>
      <c r="C86" s="20">
        <f>IFERROR(__xludf.DUMMYFUNCTION("""COMPUTED_VALUE"""),91.5)</f>
        <v>91.5</v>
      </c>
      <c r="D86" s="21">
        <f>IFERROR(__xludf.DUMMYFUNCTION("""COMPUTED_VALUE"""),-0.6079848262702593)</f>
        <v>-0.6079848263</v>
      </c>
      <c r="E86" s="21">
        <f>IFERROR(__xludf.DUMMYFUNCTION("""COMPUTED_VALUE"""),-0.8691374673770637)</f>
        <v>-0.8691374674</v>
      </c>
      <c r="F86" s="21">
        <f>IFERROR(__xludf.DUMMYFUNCTION("""COMPUTED_VALUE"""),-1.477122293647323)</f>
        <v>-1.477122294</v>
      </c>
      <c r="G86" s="23">
        <f>IFERROR(__xludf.DUMMYFUNCTION("""COMPUTED_VALUE"""),0.014841058199480265)</f>
        <v>0.0148410582</v>
      </c>
      <c r="H86" s="4"/>
      <c r="I86" s="5" t="s">
        <v>285</v>
      </c>
      <c r="J86" s="5" t="s">
        <v>44</v>
      </c>
      <c r="K86" s="24">
        <v>92.0</v>
      </c>
      <c r="L86" s="5">
        <v>-0.60798</v>
      </c>
      <c r="M86" s="5">
        <v>-0.86914</v>
      </c>
      <c r="N86" s="5">
        <v>-1.47712</v>
      </c>
      <c r="O86" s="5">
        <v>0.01484</v>
      </c>
    </row>
    <row r="87">
      <c r="A87" s="12" t="str">
        <f>IFERROR(__xludf.DUMMYFUNCTION("""COMPUTED_VALUE"""),"Jeremy Kendle")</f>
        <v>Jeremy Kendle</v>
      </c>
      <c r="B87" s="13" t="str">
        <f>IFERROR(__xludf.DUMMYFUNCTION("""COMPUTED_VALUE"""),"SYD")</f>
        <v>SYD</v>
      </c>
      <c r="C87" s="14">
        <f>IFERROR(__xludf.DUMMYFUNCTION("""COMPUTED_VALUE"""),88.3)</f>
        <v>88.3</v>
      </c>
      <c r="D87" s="15">
        <f>IFERROR(__xludf.DUMMYFUNCTION("""COMPUTED_VALUE"""),-0.7197842793205868)</f>
        <v>-0.7197842793</v>
      </c>
      <c r="E87" s="15">
        <f>IFERROR(__xludf.DUMMYFUNCTION("""COMPUTED_VALUE"""),-0.773787895440002)</f>
        <v>-0.7737878954</v>
      </c>
      <c r="F87" s="15">
        <f>IFERROR(__xludf.DUMMYFUNCTION("""COMPUTED_VALUE"""),-1.4935721747605888)</f>
        <v>-1.493572175</v>
      </c>
      <c r="G87" s="17">
        <f>IFERROR(__xludf.DUMMYFUNCTION("""COMPUTED_VALUE"""),0.01352352893975474)</f>
        <v>0.01352352894</v>
      </c>
      <c r="H87" s="4"/>
      <c r="I87" s="5" t="s">
        <v>288</v>
      </c>
      <c r="J87" s="5" t="s">
        <v>125</v>
      </c>
      <c r="K87" s="5">
        <v>88.0</v>
      </c>
      <c r="L87" s="5">
        <v>-0.71978</v>
      </c>
      <c r="M87" s="5">
        <v>-0.77379</v>
      </c>
      <c r="N87" s="5">
        <v>-1.49357</v>
      </c>
      <c r="O87" s="5">
        <v>0.01352</v>
      </c>
    </row>
    <row r="88">
      <c r="A88" s="18" t="str">
        <f>IFERROR(__xludf.DUMMYFUNCTION("""COMPUTED_VALUE"""),"Jerome Randle")</f>
        <v>Jerome Randle</v>
      </c>
      <c r="B88" s="19" t="str">
        <f>IFERROR(__xludf.DUMMYFUNCTION("""COMPUTED_VALUE"""),"SYD")</f>
        <v>SYD</v>
      </c>
      <c r="C88" s="20">
        <f>IFERROR(__xludf.DUMMYFUNCTION("""COMPUTED_VALUE"""),659.8)</f>
        <v>659.8</v>
      </c>
      <c r="D88" s="21">
        <f>IFERROR(__xludf.DUMMYFUNCTION("""COMPUTED_VALUE"""),1.4529772864624557)</f>
        <v>1.452977286</v>
      </c>
      <c r="E88" s="21">
        <f>IFERROR(__xludf.DUMMYFUNCTION("""COMPUTED_VALUE"""),-2.958842903436278)</f>
        <v>-2.958842903</v>
      </c>
      <c r="F88" s="21">
        <f>IFERROR(__xludf.DUMMYFUNCTION("""COMPUTED_VALUE"""),-1.5058656169738223)</f>
        <v>-1.505865617</v>
      </c>
      <c r="G88" s="23">
        <f>IFERROR(__xludf.DUMMYFUNCTION("""COMPUTED_VALUE"""),0.09859823867680947)</f>
        <v>0.09859823868</v>
      </c>
      <c r="H88" s="4"/>
      <c r="I88" s="5" t="s">
        <v>291</v>
      </c>
      <c r="J88" s="5" t="s">
        <v>125</v>
      </c>
      <c r="K88" s="5">
        <v>660.0</v>
      </c>
      <c r="L88" s="5">
        <v>1.45298</v>
      </c>
      <c r="M88" s="5">
        <v>-2.95884</v>
      </c>
      <c r="N88" s="5">
        <v>-1.50587</v>
      </c>
      <c r="O88" s="5">
        <v>0.0986</v>
      </c>
    </row>
    <row r="89">
      <c r="A89" s="12" t="str">
        <f>IFERROR(__xludf.DUMMYFUNCTION("""COMPUTED_VALUE"""),"Anthony Petrie")</f>
        <v>Anthony Petrie</v>
      </c>
      <c r="B89" s="13" t="str">
        <f>IFERROR(__xludf.DUMMYFUNCTION("""COMPUTED_VALUE"""),"BRI")</f>
        <v>BRI</v>
      </c>
      <c r="C89" s="14">
        <f>IFERROR(__xludf.DUMMYFUNCTION("""COMPUTED_VALUE"""),261.8)</f>
        <v>261.8</v>
      </c>
      <c r="D89" s="15">
        <f>IFERROR(__xludf.DUMMYFUNCTION("""COMPUTED_VALUE"""),-1.1243121156432916)</f>
        <v>-1.124312116</v>
      </c>
      <c r="E89" s="15">
        <f>IFERROR(__xludf.DUMMYFUNCTION("""COMPUTED_VALUE"""),-0.45302673169402286)</f>
        <v>-0.4530267317</v>
      </c>
      <c r="F89" s="15">
        <f>IFERROR(__xludf.DUMMYFUNCTION("""COMPUTED_VALUE"""),-1.5773388473373144)</f>
        <v>-1.577338847</v>
      </c>
      <c r="G89" s="17">
        <f>IFERROR(__xludf.DUMMYFUNCTION("""COMPUTED_VALUE"""),0.03368685052542196)</f>
        <v>0.03368685053</v>
      </c>
      <c r="H89" s="4"/>
      <c r="I89" s="5" t="s">
        <v>294</v>
      </c>
      <c r="J89" s="5" t="s">
        <v>110</v>
      </c>
      <c r="K89" s="5">
        <v>262.0</v>
      </c>
      <c r="L89" s="5">
        <v>-1.12431</v>
      </c>
      <c r="M89" s="5">
        <v>-0.45303</v>
      </c>
      <c r="N89" s="5">
        <v>-1.57734</v>
      </c>
      <c r="O89" s="5">
        <v>0.03369</v>
      </c>
    </row>
    <row r="90">
      <c r="A90" s="18" t="str">
        <f>IFERROR(__xludf.DUMMYFUNCTION("""COMPUTED_VALUE"""),"Mika Vukona")</f>
        <v>Mika Vukona</v>
      </c>
      <c r="B90" s="19" t="str">
        <f>IFERROR(__xludf.DUMMYFUNCTION("""COMPUTED_VALUE"""),"NZB")</f>
        <v>NZB</v>
      </c>
      <c r="C90" s="20">
        <f>IFERROR(__xludf.DUMMYFUNCTION("""COMPUTED_VALUE"""),624.8)</f>
        <v>624.8</v>
      </c>
      <c r="D90" s="21">
        <f>IFERROR(__xludf.DUMMYFUNCTION("""COMPUTED_VALUE"""),-3.2162450342499724)</f>
        <v>-3.216245034</v>
      </c>
      <c r="E90" s="21">
        <f>IFERROR(__xludf.DUMMYFUNCTION("""COMPUTED_VALUE"""),1.612261756682761)</f>
        <v>1.612261757</v>
      </c>
      <c r="F90" s="21">
        <f>IFERROR(__xludf.DUMMYFUNCTION("""COMPUTED_VALUE"""),-1.6039832775672114)</f>
        <v>-1.603983278</v>
      </c>
      <c r="G90" s="23">
        <f>IFERROR(__xludf.DUMMYFUNCTION("""COMPUTED_VALUE"""),0.07550556959001228)</f>
        <v>0.07550556959</v>
      </c>
      <c r="H90" s="4"/>
      <c r="I90" s="5" t="s">
        <v>296</v>
      </c>
      <c r="J90" s="5" t="s">
        <v>78</v>
      </c>
      <c r="K90" s="5">
        <v>625.0</v>
      </c>
      <c r="L90" s="5">
        <v>-3.21625</v>
      </c>
      <c r="M90" s="5">
        <v>1.61226</v>
      </c>
      <c r="N90" s="5">
        <v>-1.60398</v>
      </c>
      <c r="O90" s="5">
        <v>0.07551</v>
      </c>
    </row>
    <row r="91">
      <c r="A91" s="12" t="str">
        <f>IFERROR(__xludf.DUMMYFUNCTION("""COMPUTED_VALUE"""),"Matt Hodgson")</f>
        <v>Matt Hodgson</v>
      </c>
      <c r="B91" s="13" t="str">
        <f>IFERROR(__xludf.DUMMYFUNCTION("""COMPUTED_VALUE"""),"ADE")</f>
        <v>ADE</v>
      </c>
      <c r="C91" s="14">
        <f>IFERROR(__xludf.DUMMYFUNCTION("""COMPUTED_VALUE"""),434.1)</f>
        <v>434.1</v>
      </c>
      <c r="D91" s="15">
        <f>IFERROR(__xludf.DUMMYFUNCTION("""COMPUTED_VALUE"""),-1.8579237180135177)</f>
        <v>-1.857923718</v>
      </c>
      <c r="E91" s="15">
        <f>IFERROR(__xludf.DUMMYFUNCTION("""COMPUTED_VALUE"""),0.23856817701776345)</f>
        <v>0.238568177</v>
      </c>
      <c r="F91" s="15">
        <f>IFERROR(__xludf.DUMMYFUNCTION("""COMPUTED_VALUE"""),-1.6193555409957543)</f>
        <v>-1.619355541</v>
      </c>
      <c r="G91" s="17">
        <f>IFERROR(__xludf.DUMMYFUNCTION("""COMPUTED_VALUE"""),0.05048121281445355)</f>
        <v>0.05048121281</v>
      </c>
      <c r="H91" s="4"/>
      <c r="I91" s="5" t="s">
        <v>297</v>
      </c>
      <c r="J91" s="5" t="s">
        <v>16</v>
      </c>
      <c r="K91" s="5">
        <v>434.0</v>
      </c>
      <c r="L91" s="5">
        <v>-1.85792</v>
      </c>
      <c r="M91" s="5">
        <v>0.23857</v>
      </c>
      <c r="N91" s="5">
        <v>-1.61936</v>
      </c>
      <c r="O91" s="5">
        <v>0.05048</v>
      </c>
    </row>
    <row r="92">
      <c r="A92" s="18" t="str">
        <f>IFERROR(__xludf.DUMMYFUNCTION("""COMPUTED_VALUE"""),"Greg Hire")</f>
        <v>Greg Hire</v>
      </c>
      <c r="B92" s="19" t="str">
        <f>IFERROR(__xludf.DUMMYFUNCTION("""COMPUTED_VALUE"""),"PER")</f>
        <v>PER</v>
      </c>
      <c r="C92" s="20">
        <f>IFERROR(__xludf.DUMMYFUNCTION("""COMPUTED_VALUE"""),211.8)</f>
        <v>211.8</v>
      </c>
      <c r="D92" s="21">
        <f>IFERROR(__xludf.DUMMYFUNCTION("""COMPUTED_VALUE"""),-1.2816047343668933)</f>
        <v>-1.281604734</v>
      </c>
      <c r="E92" s="21">
        <f>IFERROR(__xludf.DUMMYFUNCTION("""COMPUTED_VALUE"""),-0.343927026244198)</f>
        <v>-0.3439270262</v>
      </c>
      <c r="F92" s="21">
        <f>IFERROR(__xludf.DUMMYFUNCTION("""COMPUTED_VALUE"""),-1.6255317606110913)</f>
        <v>-1.625531761</v>
      </c>
      <c r="G92" s="23">
        <f>IFERROR(__xludf.DUMMYFUNCTION("""COMPUTED_VALUE"""),0.02431147834743219)</f>
        <v>0.02431147835</v>
      </c>
      <c r="H92" s="4"/>
      <c r="I92" s="5" t="s">
        <v>300</v>
      </c>
      <c r="J92" s="5" t="s">
        <v>39</v>
      </c>
      <c r="K92" s="24">
        <v>212.0</v>
      </c>
      <c r="L92" s="5">
        <v>-1.2816</v>
      </c>
      <c r="M92" s="5">
        <v>-0.34393</v>
      </c>
      <c r="N92" s="5">
        <v>-1.62553</v>
      </c>
      <c r="O92" s="5">
        <v>0.02431</v>
      </c>
    </row>
    <row r="93">
      <c r="A93" s="12" t="str">
        <f>IFERROR(__xludf.DUMMYFUNCTION("""COMPUTED_VALUE"""),"Rhys Vague")</f>
        <v>Rhys Vague</v>
      </c>
      <c r="B93" s="13" t="str">
        <f>IFERROR(__xludf.DUMMYFUNCTION("""COMPUTED_VALUE"""),"PER")</f>
        <v>PER</v>
      </c>
      <c r="C93" s="14">
        <f>IFERROR(__xludf.DUMMYFUNCTION("""COMPUTED_VALUE"""),36.4)</f>
        <v>36.4</v>
      </c>
      <c r="D93" s="15">
        <f>IFERROR(__xludf.DUMMYFUNCTION("""COMPUTED_VALUE"""),-0.7089567743338479)</f>
        <v>-0.7089567743</v>
      </c>
      <c r="E93" s="15">
        <f>IFERROR(__xludf.DUMMYFUNCTION("""COMPUTED_VALUE"""),-0.9347443529068378)</f>
        <v>-0.9347443529</v>
      </c>
      <c r="F93" s="15">
        <f>IFERROR(__xludf.DUMMYFUNCTION("""COMPUTED_VALUE"""),-1.6437011272406856)</f>
        <v>-1.643701127</v>
      </c>
      <c r="G93" s="17">
        <f>IFERROR(__xludf.DUMMYFUNCTION("""COMPUTED_VALUE"""),0.003975449636530837)</f>
        <v>0.003975449637</v>
      </c>
      <c r="H93" s="4"/>
      <c r="I93" s="5" t="s">
        <v>302</v>
      </c>
      <c r="J93" s="5" t="s">
        <v>39</v>
      </c>
      <c r="K93" s="5">
        <v>36.0</v>
      </c>
      <c r="L93" s="5">
        <v>-0.70896</v>
      </c>
      <c r="M93" s="5">
        <v>-0.93474</v>
      </c>
      <c r="N93" s="5">
        <v>-1.6437</v>
      </c>
      <c r="O93" s="5">
        <v>0.00398</v>
      </c>
    </row>
    <row r="94">
      <c r="A94" s="18" t="str">
        <f>IFERROR(__xludf.DUMMYFUNCTION("""COMPUTED_VALUE"""),"Rotnei Clarke")</f>
        <v>Rotnei Clarke</v>
      </c>
      <c r="B94" s="19" t="str">
        <f>IFERROR(__xludf.DUMMYFUNCTION("""COMPUTED_VALUE"""),"ILL")</f>
        <v>ILL</v>
      </c>
      <c r="C94" s="20">
        <f>IFERROR(__xludf.DUMMYFUNCTION("""COMPUTED_VALUE"""),744.3)</f>
        <v>744.3</v>
      </c>
      <c r="D94" s="21">
        <f>IFERROR(__xludf.DUMMYFUNCTION("""COMPUTED_VALUE"""),2.021509953065385)</f>
        <v>2.021509953</v>
      </c>
      <c r="E94" s="21">
        <f>IFERROR(__xludf.DUMMYFUNCTION("""COMPUTED_VALUE"""),-3.688176521365772)</f>
        <v>-3.688176521</v>
      </c>
      <c r="F94" s="21">
        <f>IFERROR(__xludf.DUMMYFUNCTION("""COMPUTED_VALUE"""),-1.666666568300387)</f>
        <v>-1.666666568</v>
      </c>
      <c r="G94" s="23">
        <f>IFERROR(__xludf.DUMMYFUNCTION("""COMPUTED_VALUE"""),0.07609958155531751)</f>
        <v>0.07609958156</v>
      </c>
      <c r="H94" s="4"/>
      <c r="I94" s="5" t="s">
        <v>304</v>
      </c>
      <c r="J94" s="5" t="s">
        <v>47</v>
      </c>
      <c r="K94" s="5">
        <v>744.0</v>
      </c>
      <c r="L94" s="5">
        <v>2.02151</v>
      </c>
      <c r="M94" s="5">
        <v>-3.68818</v>
      </c>
      <c r="N94" s="5">
        <v>-1.66667</v>
      </c>
      <c r="O94" s="5">
        <v>0.0761</v>
      </c>
    </row>
    <row r="95">
      <c r="A95" s="12" t="str">
        <f>IFERROR(__xludf.DUMMYFUNCTION("""COMPUTED_VALUE"""),"Shea Ili")</f>
        <v>Shea Ili</v>
      </c>
      <c r="B95" s="13" t="str">
        <f>IFERROR(__xludf.DUMMYFUNCTION("""COMPUTED_VALUE"""),"NZB")</f>
        <v>NZB</v>
      </c>
      <c r="C95" s="14">
        <f>IFERROR(__xludf.DUMMYFUNCTION("""COMPUTED_VALUE"""),650.0)</f>
        <v>650</v>
      </c>
      <c r="D95" s="15">
        <f>IFERROR(__xludf.DUMMYFUNCTION("""COMPUTED_VALUE"""),-0.7163274052633382)</f>
        <v>-0.7163274053</v>
      </c>
      <c r="E95" s="15">
        <f>IFERROR(__xludf.DUMMYFUNCTION("""COMPUTED_VALUE"""),-1.0253056905563147)</f>
        <v>-1.025305691</v>
      </c>
      <c r="F95" s="15">
        <f>IFERROR(__xludf.DUMMYFUNCTION("""COMPUTED_VALUE"""),-1.7416330958196529)</f>
        <v>-1.741633096</v>
      </c>
      <c r="G95" s="17">
        <f>IFERROR(__xludf.DUMMYFUNCTION("""COMPUTED_VALUE"""),0.05124773554128651)</f>
        <v>0.05124773554</v>
      </c>
      <c r="H95" s="4"/>
      <c r="I95" s="5" t="s">
        <v>307</v>
      </c>
      <c r="J95" s="5" t="s">
        <v>78</v>
      </c>
      <c r="K95" s="5">
        <v>650.0</v>
      </c>
      <c r="L95" s="5">
        <v>-0.71633</v>
      </c>
      <c r="M95" s="5">
        <v>-1.02531</v>
      </c>
      <c r="N95" s="5">
        <v>-1.74163</v>
      </c>
      <c r="O95" s="5">
        <v>0.05125</v>
      </c>
    </row>
    <row r="96">
      <c r="A96" s="18" t="str">
        <f>IFERROR(__xludf.DUMMYFUNCTION("""COMPUTED_VALUE"""),"Sam Daly")</f>
        <v>Sam Daly</v>
      </c>
      <c r="B96" s="19" t="str">
        <f>IFERROR(__xludf.DUMMYFUNCTION("""COMPUTED_VALUE"""),"SYD")</f>
        <v>SYD</v>
      </c>
      <c r="C96" s="20">
        <f>IFERROR(__xludf.DUMMYFUNCTION("""COMPUTED_VALUE"""),47.8)</f>
        <v>47.8</v>
      </c>
      <c r="D96" s="21">
        <f>IFERROR(__xludf.DUMMYFUNCTION("""COMPUTED_VALUE"""),-1.4964805317621577)</f>
        <v>-1.496480532</v>
      </c>
      <c r="E96" s="21">
        <f>IFERROR(__xludf.DUMMYFUNCTION("""COMPUTED_VALUE"""),-0.2956962399806595)</f>
        <v>-0.29569624</v>
      </c>
      <c r="F96" s="21">
        <f>IFERROR(__xludf.DUMMYFUNCTION("""COMPUTED_VALUE"""),-1.7921767717428172)</f>
        <v>-1.792176772</v>
      </c>
      <c r="G96" s="23">
        <f>IFERROR(__xludf.DUMMYFUNCTION("""COMPUTED_VALUE"""),0.0030042339862680774)</f>
        <v>0.003004233986</v>
      </c>
      <c r="H96" s="4"/>
      <c r="I96" s="5" t="s">
        <v>309</v>
      </c>
      <c r="J96" s="5" t="s">
        <v>125</v>
      </c>
      <c r="K96" s="5">
        <v>48.0</v>
      </c>
      <c r="L96" s="5">
        <v>-1.49648</v>
      </c>
      <c r="M96" s="5">
        <v>-0.2957</v>
      </c>
      <c r="N96" s="5">
        <v>-1.79218</v>
      </c>
      <c r="O96" s="5">
        <v>0.003</v>
      </c>
    </row>
    <row r="97">
      <c r="A97" s="12" t="str">
        <f>IFERROR(__xludf.DUMMYFUNCTION("""COMPUTED_VALUE"""),"Rhys Martin")</f>
        <v>Rhys Martin</v>
      </c>
      <c r="B97" s="13" t="str">
        <f>IFERROR(__xludf.DUMMYFUNCTION("""COMPUTED_VALUE"""),"ILL")</f>
        <v>ILL</v>
      </c>
      <c r="C97" s="14">
        <f>IFERROR(__xludf.DUMMYFUNCTION("""COMPUTED_VALUE"""),523.3)</f>
        <v>523.3</v>
      </c>
      <c r="D97" s="15">
        <f>IFERROR(__xludf.DUMMYFUNCTION("""COMPUTED_VALUE"""),-2.188033903866095)</f>
        <v>-2.188033904</v>
      </c>
      <c r="E97" s="15">
        <f>IFERROR(__xludf.DUMMYFUNCTION("""COMPUTED_VALUE"""),0.3429654401982978)</f>
        <v>0.3429654402</v>
      </c>
      <c r="F97" s="15">
        <f>IFERROR(__xludf.DUMMYFUNCTION("""COMPUTED_VALUE"""),-1.8450684636677974)</f>
        <v>-1.845068464</v>
      </c>
      <c r="G97" s="17">
        <f>IFERROR(__xludf.DUMMYFUNCTION("""COMPUTED_VALUE"""),0.02486829087491012)</f>
        <v>0.02486829087</v>
      </c>
      <c r="H97" s="4"/>
      <c r="I97" s="5" t="s">
        <v>314</v>
      </c>
      <c r="J97" s="5" t="s">
        <v>47</v>
      </c>
      <c r="K97" s="5">
        <v>523.0</v>
      </c>
      <c r="L97" s="5">
        <v>-2.18803</v>
      </c>
      <c r="M97" s="5">
        <v>0.34297</v>
      </c>
      <c r="N97" s="5">
        <v>-1.84507</v>
      </c>
      <c r="O97" s="5">
        <v>0.02487</v>
      </c>
    </row>
    <row r="98">
      <c r="A98" s="18" t="str">
        <f>IFERROR(__xludf.DUMMYFUNCTION("""COMPUTED_VALUE"""),"Finn Delaney")</f>
        <v>Finn Delaney</v>
      </c>
      <c r="B98" s="19" t="str">
        <f>IFERROR(__xludf.DUMMYFUNCTION("""COMPUTED_VALUE"""),"NZB")</f>
        <v>NZB</v>
      </c>
      <c r="C98" s="20">
        <f>IFERROR(__xludf.DUMMYFUNCTION("""COMPUTED_VALUE"""),418.2)</f>
        <v>418.2</v>
      </c>
      <c r="D98" s="21">
        <f>IFERROR(__xludf.DUMMYFUNCTION("""COMPUTED_VALUE"""),-1.756341236653914)</f>
        <v>-1.756341237</v>
      </c>
      <c r="E98" s="21">
        <f>IFERROR(__xludf.DUMMYFUNCTION("""COMPUTED_VALUE"""),-0.1048524838814695)</f>
        <v>-0.1048524839</v>
      </c>
      <c r="F98" s="21">
        <f>IFERROR(__xludf.DUMMYFUNCTION("""COMPUTED_VALUE"""),-1.8611937205353835)</f>
        <v>-1.861193721</v>
      </c>
      <c r="G98" s="23">
        <f>IFERROR(__xludf.DUMMYFUNCTION("""COMPUTED_VALUE"""),0.017714038500363943)</f>
        <v>0.0177140385</v>
      </c>
      <c r="H98" s="4"/>
      <c r="I98" s="5" t="s">
        <v>318</v>
      </c>
      <c r="J98" s="5" t="s">
        <v>78</v>
      </c>
      <c r="K98" s="24">
        <v>418.0</v>
      </c>
      <c r="L98" s="5">
        <v>-1.75634</v>
      </c>
      <c r="M98" s="5">
        <v>-0.10485</v>
      </c>
      <c r="N98" s="5">
        <v>-1.86119</v>
      </c>
      <c r="O98" s="5">
        <v>0.01771</v>
      </c>
    </row>
    <row r="99">
      <c r="A99" s="12" t="str">
        <f>IFERROR(__xludf.DUMMYFUNCTION("""COMPUTED_VALUE"""),"Todd Blanchfield")</f>
        <v>Todd Blanchfield</v>
      </c>
      <c r="B99" s="13" t="str">
        <f>IFERROR(__xludf.DUMMYFUNCTION("""COMPUTED_VALUE"""),"SYD")</f>
        <v>SYD</v>
      </c>
      <c r="C99" s="14">
        <f>IFERROR(__xludf.DUMMYFUNCTION("""COMPUTED_VALUE"""),649.1)</f>
        <v>649.1</v>
      </c>
      <c r="D99" s="15">
        <f>IFERROR(__xludf.DUMMYFUNCTION("""COMPUTED_VALUE"""),-1.1132373092951786)</f>
        <v>-1.113237309</v>
      </c>
      <c r="E99" s="15">
        <f>IFERROR(__xludf.DUMMYFUNCTION("""COMPUTED_VALUE"""),-0.8302867671560472)</f>
        <v>-0.8302867672</v>
      </c>
      <c r="F99" s="15">
        <f>IFERROR(__xludf.DUMMYFUNCTION("""COMPUTED_VALUE"""),-1.9435240764512258)</f>
        <v>-1.943524076</v>
      </c>
      <c r="G99" s="17">
        <f>IFERROR(__xludf.DUMMYFUNCTION("""COMPUTED_VALUE"""),0.011086302443714731)</f>
        <v>0.01108630244</v>
      </c>
      <c r="H99" s="4"/>
      <c r="I99" s="5" t="s">
        <v>320</v>
      </c>
      <c r="J99" s="5" t="s">
        <v>125</v>
      </c>
      <c r="K99" s="5">
        <v>649.0</v>
      </c>
      <c r="L99" s="5">
        <v>-1.11324</v>
      </c>
      <c r="M99" s="5">
        <v>-0.83029</v>
      </c>
      <c r="N99" s="5">
        <v>-1.94352</v>
      </c>
      <c r="O99" s="5">
        <v>0.01109</v>
      </c>
    </row>
    <row r="100">
      <c r="A100" s="18" t="str">
        <f>IFERROR(__xludf.DUMMYFUNCTION("""COMPUTED_VALUE"""),"Chris Patton")</f>
        <v>Chris Patton</v>
      </c>
      <c r="B100" s="19" t="str">
        <f>IFERROR(__xludf.DUMMYFUNCTION("""COMPUTED_VALUE"""),"MEL")</f>
        <v>MEL</v>
      </c>
      <c r="C100" s="20">
        <f>IFERROR(__xludf.DUMMYFUNCTION("""COMPUTED_VALUE"""),42.75)</f>
        <v>42.75</v>
      </c>
      <c r="D100" s="21">
        <f>IFERROR(__xludf.DUMMYFUNCTION("""COMPUTED_VALUE"""),-1.6579538648938168)</f>
        <v>-1.657953865</v>
      </c>
      <c r="E100" s="21">
        <f>IFERROR(__xludf.DUMMYFUNCTION("""COMPUTED_VALUE"""),-0.3136862052709042)</f>
        <v>-0.3136862053</v>
      </c>
      <c r="F100" s="21">
        <f>IFERROR(__xludf.DUMMYFUNCTION("""COMPUTED_VALUE"""),-1.971640070164721)</f>
        <v>-1.97164007</v>
      </c>
      <c r="G100" s="23">
        <f>IFERROR(__xludf.DUMMYFUNCTION("""COMPUTED_VALUE"""),3.666628331383339E-4)</f>
        <v>0.0003666628331</v>
      </c>
      <c r="H100" s="4"/>
      <c r="I100" s="5" t="s">
        <v>323</v>
      </c>
      <c r="J100" s="5" t="s">
        <v>27</v>
      </c>
      <c r="K100" s="5">
        <v>43.0</v>
      </c>
      <c r="L100" s="5">
        <v>-1.65795</v>
      </c>
      <c r="M100" s="5">
        <v>-0.31369</v>
      </c>
      <c r="N100" s="5">
        <v>-1.97164</v>
      </c>
      <c r="O100" s="5">
        <v>3.7E-4</v>
      </c>
    </row>
    <row r="101">
      <c r="A101" s="12" t="str">
        <f>IFERROR(__xludf.DUMMYFUNCTION("""COMPUTED_VALUE"""),"Scoochie Smith")</f>
        <v>Scoochie Smith</v>
      </c>
      <c r="B101" s="13" t="str">
        <f>IFERROR(__xludf.DUMMYFUNCTION("""COMPUTED_VALUE"""),"CRN")</f>
        <v>CRN</v>
      </c>
      <c r="C101" s="14">
        <f>IFERROR(__xludf.DUMMYFUNCTION("""COMPUTED_VALUE"""),601.7)</f>
        <v>601.7</v>
      </c>
      <c r="D101" s="15">
        <f>IFERROR(__xludf.DUMMYFUNCTION("""COMPUTED_VALUE"""),-1.4196086520694118)</f>
        <v>-1.419608652</v>
      </c>
      <c r="E101" s="15">
        <f>IFERROR(__xludf.DUMMYFUNCTION("""COMPUTED_VALUE"""),-0.6320267673600111)</f>
        <v>-0.6320267674</v>
      </c>
      <c r="F101" s="15">
        <f>IFERROR(__xludf.DUMMYFUNCTION("""COMPUTED_VALUE"""),-2.051635419429423)</f>
        <v>-2.051635419</v>
      </c>
      <c r="G101" s="17">
        <f>IFERROR(__xludf.DUMMYFUNCTION("""COMPUTED_VALUE"""),-0.00963765485559402)</f>
        <v>-0.009637654856</v>
      </c>
      <c r="H101" s="4"/>
      <c r="I101" s="5" t="s">
        <v>326</v>
      </c>
      <c r="J101" s="5" t="s">
        <v>44</v>
      </c>
      <c r="K101" s="5">
        <v>602.0</v>
      </c>
      <c r="L101" s="5">
        <v>-1.41961</v>
      </c>
      <c r="M101" s="5">
        <v>-0.63203</v>
      </c>
      <c r="N101" s="5">
        <v>-2.05164</v>
      </c>
      <c r="O101" s="5">
        <v>-0.00964</v>
      </c>
    </row>
    <row r="102">
      <c r="A102" s="18" t="str">
        <f>IFERROR(__xludf.DUMMYFUNCTION("""COMPUTED_VALUE"""),"Dexter Kernich-Drew")</f>
        <v>Dexter Kernich-Drew</v>
      </c>
      <c r="B102" s="19" t="str">
        <f>IFERROR(__xludf.DUMMYFUNCTION("""COMPUTED_VALUE"""),"PER")</f>
        <v>PER</v>
      </c>
      <c r="C102" s="20">
        <f>IFERROR(__xludf.DUMMYFUNCTION("""COMPUTED_VALUE"""),109.4)</f>
        <v>109.4</v>
      </c>
      <c r="D102" s="21">
        <f>IFERROR(__xludf.DUMMYFUNCTION("""COMPUTED_VALUE"""),-0.7927515350264126)</f>
        <v>-0.792751535</v>
      </c>
      <c r="E102" s="21">
        <f>IFERROR(__xludf.DUMMYFUNCTION("""COMPUTED_VALUE"""),-1.368688187520331)</f>
        <v>-1.368688188</v>
      </c>
      <c r="F102" s="21">
        <f>IFERROR(__xludf.DUMMYFUNCTION("""COMPUTED_VALUE"""),-2.1614397225467434)</f>
        <v>-2.161439723</v>
      </c>
      <c r="G102" s="23">
        <f>IFERROR(__xludf.DUMMYFUNCTION("""COMPUTED_VALUE"""),-0.005413749397655875)</f>
        <v>-0.005413749398</v>
      </c>
      <c r="H102" s="4"/>
      <c r="I102" s="5" t="s">
        <v>329</v>
      </c>
      <c r="J102" s="5" t="s">
        <v>39</v>
      </c>
      <c r="K102" s="5">
        <v>109.0</v>
      </c>
      <c r="L102" s="5">
        <v>-0.79275</v>
      </c>
      <c r="M102" s="5">
        <v>-1.36869</v>
      </c>
      <c r="N102" s="5">
        <v>-2.16144</v>
      </c>
      <c r="O102" s="5">
        <v>-0.00541</v>
      </c>
    </row>
    <row r="103">
      <c r="A103" s="12" t="str">
        <f>IFERROR(__xludf.DUMMYFUNCTION("""COMPUTED_VALUE"""),"Jerry Evans")</f>
        <v>Jerry Evans</v>
      </c>
      <c r="B103" s="13" t="str">
        <f>IFERROR(__xludf.DUMMYFUNCTION("""COMPUTED_VALUE"""),"CRN")</f>
        <v>CRN</v>
      </c>
      <c r="C103" s="14">
        <f>IFERROR(__xludf.DUMMYFUNCTION("""COMPUTED_VALUE"""),374.5)</f>
        <v>374.5</v>
      </c>
      <c r="D103" s="15">
        <f>IFERROR(__xludf.DUMMYFUNCTION("""COMPUTED_VALUE"""),-2.7179950177121204)</f>
        <v>-2.717995018</v>
      </c>
      <c r="E103" s="15">
        <f>IFERROR(__xludf.DUMMYFUNCTION("""COMPUTED_VALUE"""),0.5280779065350907)</f>
        <v>0.5280779065</v>
      </c>
      <c r="F103" s="15">
        <f>IFERROR(__xludf.DUMMYFUNCTION("""COMPUTED_VALUE"""),-2.1899171111770297)</f>
        <v>-2.189917111</v>
      </c>
      <c r="G103" s="17">
        <f>IFERROR(__xludf.DUMMYFUNCTION("""COMPUTED_VALUE"""),-0.022062746059471946)</f>
        <v>-0.02206274606</v>
      </c>
      <c r="H103" s="4"/>
      <c r="I103" s="5" t="s">
        <v>332</v>
      </c>
      <c r="J103" s="5" t="s">
        <v>44</v>
      </c>
      <c r="K103" s="5">
        <v>375.0</v>
      </c>
      <c r="L103" s="5">
        <v>-2.718</v>
      </c>
      <c r="M103" s="5">
        <v>0.52808</v>
      </c>
      <c r="N103" s="5">
        <v>-2.18992</v>
      </c>
      <c r="O103" s="5">
        <v>-0.02206</v>
      </c>
    </row>
    <row r="104">
      <c r="A104" s="18" t="str">
        <f>IFERROR(__xludf.DUMMYFUNCTION("""COMPUTED_VALUE"""),"Stephen Holt")</f>
        <v>Stephen Holt</v>
      </c>
      <c r="B104" s="19" t="str">
        <f>IFERROR(__xludf.DUMMYFUNCTION("""COMPUTED_VALUE"""),"BRI")</f>
        <v>BRI</v>
      </c>
      <c r="C104" s="20">
        <f>IFERROR(__xludf.DUMMYFUNCTION("""COMPUTED_VALUE"""),769.3)</f>
        <v>769.3</v>
      </c>
      <c r="D104" s="21">
        <f>IFERROR(__xludf.DUMMYFUNCTION("""COMPUTED_VALUE"""),-0.3187292668892336)</f>
        <v>-0.3187292669</v>
      </c>
      <c r="E104" s="21">
        <f>IFERROR(__xludf.DUMMYFUNCTION("""COMPUTED_VALUE"""),-2.118522999222765)</f>
        <v>-2.118522999</v>
      </c>
      <c r="F104" s="21">
        <f>IFERROR(__xludf.DUMMYFUNCTION("""COMPUTED_VALUE"""),-2.4372522661119986)</f>
        <v>-2.437252266</v>
      </c>
      <c r="G104" s="23">
        <f>IFERROR(__xludf.DUMMYFUNCTION("""COMPUTED_VALUE"""),-0.10240619636143557)</f>
        <v>-0.1024061964</v>
      </c>
      <c r="H104" s="4"/>
      <c r="I104" s="5" t="s">
        <v>336</v>
      </c>
      <c r="J104" s="5" t="s">
        <v>110</v>
      </c>
      <c r="K104" s="5">
        <v>769.0</v>
      </c>
      <c r="L104" s="5">
        <v>-0.31873</v>
      </c>
      <c r="M104" s="5">
        <v>-2.11852</v>
      </c>
      <c r="N104" s="5">
        <v>-2.43725</v>
      </c>
      <c r="O104" s="5">
        <v>-0.10241</v>
      </c>
    </row>
    <row r="105">
      <c r="A105" s="12" t="str">
        <f>IFERROR(__xludf.DUMMYFUNCTION("""COMPUTED_VALUE"""),"Majok Majok")</f>
        <v>Majok Majok</v>
      </c>
      <c r="B105" s="13" t="str">
        <f>IFERROR(__xludf.DUMMYFUNCTION("""COMPUTED_VALUE"""),"MEL")</f>
        <v>MEL</v>
      </c>
      <c r="C105" s="14">
        <f>IFERROR(__xludf.DUMMYFUNCTION("""COMPUTED_VALUE"""),224.7)</f>
        <v>224.7</v>
      </c>
      <c r="D105" s="15">
        <f>IFERROR(__xludf.DUMMYFUNCTION("""COMPUTED_VALUE"""),-2.9011355180364595)</f>
        <v>-2.901135518</v>
      </c>
      <c r="E105" s="15">
        <f>IFERROR(__xludf.DUMMYFUNCTION("""COMPUTED_VALUE"""),0.37197686870056)</f>
        <v>0.3719768687</v>
      </c>
      <c r="F105" s="15">
        <f>IFERROR(__xludf.DUMMYFUNCTION("""COMPUTED_VALUE"""),-2.5291586493358995)</f>
        <v>-2.529158649</v>
      </c>
      <c r="G105" s="17">
        <f>IFERROR(__xludf.DUMMYFUNCTION("""COMPUTED_VALUE"""),-0.035959578326326874)</f>
        <v>-0.03595957833</v>
      </c>
      <c r="H105" s="4"/>
      <c r="I105" s="5" t="s">
        <v>340</v>
      </c>
      <c r="J105" s="5" t="s">
        <v>27</v>
      </c>
      <c r="K105" s="5">
        <v>225.0</v>
      </c>
      <c r="L105" s="5">
        <v>-2.90114</v>
      </c>
      <c r="M105" s="5">
        <v>0.37198</v>
      </c>
      <c r="N105" s="5">
        <v>-2.52916</v>
      </c>
      <c r="O105" s="5">
        <v>-0.03596</v>
      </c>
    </row>
    <row r="106">
      <c r="A106" s="18" t="str">
        <f>IFERROR(__xludf.DUMMYFUNCTION("""COMPUTED_VALUE"""),"Peter Hooley")</f>
        <v>Peter Hooley</v>
      </c>
      <c r="B106" s="19" t="str">
        <f>IFERROR(__xludf.DUMMYFUNCTION("""COMPUTED_VALUE"""),"MEL")</f>
        <v>MEL</v>
      </c>
      <c r="C106" s="20">
        <f>IFERROR(__xludf.DUMMYFUNCTION("""COMPUTED_VALUE"""),269.5)</f>
        <v>269.5</v>
      </c>
      <c r="D106" s="21">
        <f>IFERROR(__xludf.DUMMYFUNCTION("""COMPUTED_VALUE"""),-2.3217088309043543)</f>
        <v>-2.321708831</v>
      </c>
      <c r="E106" s="21">
        <f>IFERROR(__xludf.DUMMYFUNCTION("""COMPUTED_VALUE"""),-0.3906507462322799)</f>
        <v>-0.3906507462</v>
      </c>
      <c r="F106" s="21">
        <f>IFERROR(__xludf.DUMMYFUNCTION("""COMPUTED_VALUE"""),-2.7123595771366342)</f>
        <v>-2.712359577</v>
      </c>
      <c r="G106" s="23">
        <f>IFERROR(__xludf.DUMMYFUNCTION("""COMPUTED_VALUE"""),-0.05806088558345935)</f>
        <v>-0.05806088558</v>
      </c>
      <c r="H106" s="4"/>
      <c r="I106" s="5" t="s">
        <v>343</v>
      </c>
      <c r="J106" s="5" t="s">
        <v>27</v>
      </c>
      <c r="K106" s="5">
        <v>270.0</v>
      </c>
      <c r="L106" s="5">
        <v>-2.32171</v>
      </c>
      <c r="M106" s="5">
        <v>-0.39065</v>
      </c>
      <c r="N106" s="5">
        <v>-2.71236</v>
      </c>
      <c r="O106" s="5">
        <v>-0.05806</v>
      </c>
    </row>
    <row r="107">
      <c r="A107" s="12" t="str">
        <f>IFERROR(__xludf.DUMMYFUNCTION("""COMPUTED_VALUE"""),"Amritpal Singh")</f>
        <v>Amritpal Singh</v>
      </c>
      <c r="B107" s="13" t="str">
        <f>IFERROR(__xludf.DUMMYFUNCTION("""COMPUTED_VALUE"""),"SYD")</f>
        <v>SYD</v>
      </c>
      <c r="C107" s="14">
        <f>IFERROR(__xludf.DUMMYFUNCTION("""COMPUTED_VALUE"""),140.1)</f>
        <v>140.1</v>
      </c>
      <c r="D107" s="15">
        <f>IFERROR(__xludf.DUMMYFUNCTION("""COMPUTED_VALUE"""),-1.8575313570518672)</f>
        <v>-1.857531357</v>
      </c>
      <c r="E107" s="15">
        <f>IFERROR(__xludf.DUMMYFUNCTION("""COMPUTED_VALUE"""),-0.8901376905436937)</f>
        <v>-0.8901376905</v>
      </c>
      <c r="F107" s="15">
        <f>IFERROR(__xludf.DUMMYFUNCTION("""COMPUTED_VALUE"""),-2.747669047595561)</f>
        <v>-2.747669048</v>
      </c>
      <c r="G107" s="17">
        <f>IFERROR(__xludf.DUMMYFUNCTION("""COMPUTED_VALUE"""),-0.03167811336795188)</f>
        <v>-0.03167811337</v>
      </c>
      <c r="H107" s="4"/>
      <c r="I107" s="5" t="s">
        <v>347</v>
      </c>
      <c r="J107" s="5" t="s">
        <v>125</v>
      </c>
      <c r="K107" s="5">
        <v>140.0</v>
      </c>
      <c r="L107" s="5">
        <v>-1.85753</v>
      </c>
      <c r="M107" s="5">
        <v>-0.89014</v>
      </c>
      <c r="N107" s="5">
        <v>-2.74767</v>
      </c>
      <c r="O107" s="5">
        <v>-0.03168</v>
      </c>
    </row>
    <row r="108">
      <c r="A108" s="18" t="str">
        <f>IFERROR(__xludf.DUMMYFUNCTION("""COMPUTED_VALUE"""),"Kyle Adnam")</f>
        <v>Kyle Adnam</v>
      </c>
      <c r="B108" s="19" t="str">
        <f>IFERROR(__xludf.DUMMYFUNCTION("""COMPUTED_VALUE"""),"MEL")</f>
        <v>MEL</v>
      </c>
      <c r="C108" s="20">
        <f>IFERROR(__xludf.DUMMYFUNCTION("""COMPUTED_VALUE"""),288.9)</f>
        <v>288.9</v>
      </c>
      <c r="D108" s="21">
        <f>IFERROR(__xludf.DUMMYFUNCTION("""COMPUTED_VALUE"""),-2.175503592578014)</f>
        <v>-2.175503593</v>
      </c>
      <c r="E108" s="21">
        <f>IFERROR(__xludf.DUMMYFUNCTION("""COMPUTED_VALUE"""),-0.8527165405787867)</f>
        <v>-0.8527165406</v>
      </c>
      <c r="F108" s="21">
        <f>IFERROR(__xludf.DUMMYFUNCTION("""COMPUTED_VALUE"""),-3.028220133156801)</f>
        <v>-3.028220133</v>
      </c>
      <c r="G108" s="23">
        <f>IFERROR(__xludf.DUMMYFUNCTION("""COMPUTED_VALUE"""),-0.08983783222999472)</f>
        <v>-0.08983783223</v>
      </c>
      <c r="H108" s="4"/>
      <c r="I108" s="5" t="s">
        <v>349</v>
      </c>
      <c r="J108" s="5" t="s">
        <v>27</v>
      </c>
      <c r="K108" s="5">
        <v>289.0</v>
      </c>
      <c r="L108" s="5">
        <v>-2.1755</v>
      </c>
      <c r="M108" s="5">
        <v>-0.85272</v>
      </c>
      <c r="N108" s="5">
        <v>-3.02822</v>
      </c>
      <c r="O108" s="5">
        <v>-0.08984</v>
      </c>
    </row>
    <row r="109">
      <c r="A109" s="12" t="str">
        <f>IFERROR(__xludf.DUMMYFUNCTION("""COMPUTED_VALUE"""),"Oscar Forman")</f>
        <v>Oscar Forman</v>
      </c>
      <c r="B109" s="13" t="str">
        <f>IFERROR(__xludf.DUMMYFUNCTION("""COMPUTED_VALUE"""),"ILL")</f>
        <v>ILL</v>
      </c>
      <c r="C109" s="14">
        <f>IFERROR(__xludf.DUMMYFUNCTION("""COMPUTED_VALUE"""),243.3)</f>
        <v>243.3</v>
      </c>
      <c r="D109" s="15">
        <f>IFERROR(__xludf.DUMMYFUNCTION("""COMPUTED_VALUE"""),-0.5166233335273113)</f>
        <v>-0.5166233335</v>
      </c>
      <c r="E109" s="15">
        <f>IFERROR(__xludf.DUMMYFUNCTION("""COMPUTED_VALUE"""),-2.584984340812537)</f>
        <v>-2.584984341</v>
      </c>
      <c r="F109" s="15">
        <f>IFERROR(__xludf.DUMMYFUNCTION("""COMPUTED_VALUE"""),-3.101607674339848)</f>
        <v>-3.101607674</v>
      </c>
      <c r="G109" s="17">
        <f>IFERROR(__xludf.DUMMYFUNCTION("""COMPUTED_VALUE"""),-0.08220996021142397)</f>
        <v>-0.08220996021</v>
      </c>
      <c r="H109" s="4"/>
      <c r="I109" s="5" t="s">
        <v>352</v>
      </c>
      <c r="J109" s="5" t="s">
        <v>47</v>
      </c>
      <c r="K109" s="5">
        <v>243.0</v>
      </c>
      <c r="L109" s="5">
        <v>-0.51662</v>
      </c>
      <c r="M109" s="5">
        <v>-2.58498</v>
      </c>
      <c r="N109" s="5">
        <v>-3.10161</v>
      </c>
      <c r="O109" s="5">
        <v>-0.08221</v>
      </c>
    </row>
    <row r="110">
      <c r="A110" s="18" t="str">
        <f>IFERROR(__xludf.DUMMYFUNCTION("""COMPUTED_VALUE"""),"David Andersen")</f>
        <v>David Andersen</v>
      </c>
      <c r="B110" s="19" t="str">
        <f>IFERROR(__xludf.DUMMYFUNCTION("""COMPUTED_VALUE"""),"MEL")</f>
        <v>MEL</v>
      </c>
      <c r="C110" s="20">
        <f>IFERROR(__xludf.DUMMYFUNCTION("""COMPUTED_VALUE"""),326.6)</f>
        <v>326.6</v>
      </c>
      <c r="D110" s="21">
        <f>IFERROR(__xludf.DUMMYFUNCTION("""COMPUTED_VALUE"""),-3.962573327008426)</f>
        <v>-3.962573327</v>
      </c>
      <c r="E110" s="21">
        <f>IFERROR(__xludf.DUMMYFUNCTION("""COMPUTED_VALUE"""),0.8503940806279044)</f>
        <v>0.8503940806</v>
      </c>
      <c r="F110" s="21">
        <f>IFERROR(__xludf.DUMMYFUNCTION("""COMPUTED_VALUE"""),-3.1121792463805216)</f>
        <v>-3.112179246</v>
      </c>
      <c r="G110" s="23">
        <f>IFERROR(__xludf.DUMMYFUNCTION("""COMPUTED_VALUE"""),-0.10985417980043856)</f>
        <v>-0.1098541798</v>
      </c>
      <c r="H110" s="4"/>
      <c r="I110" s="5" t="s">
        <v>354</v>
      </c>
      <c r="J110" s="5" t="s">
        <v>27</v>
      </c>
      <c r="K110" s="24">
        <v>327.0</v>
      </c>
      <c r="L110" s="5">
        <v>-3.96257</v>
      </c>
      <c r="M110" s="5">
        <v>0.85039</v>
      </c>
      <c r="N110" s="5">
        <v>-3.11218</v>
      </c>
      <c r="O110" s="5">
        <v>-0.10985</v>
      </c>
    </row>
    <row r="111">
      <c r="A111" s="12" t="str">
        <f>IFERROR(__xludf.DUMMYFUNCTION("""COMPUTED_VALUE"""),"Mitchell Young")</f>
        <v>Mitchell Young</v>
      </c>
      <c r="B111" s="13" t="str">
        <f>IFERROR(__xludf.DUMMYFUNCTION("""COMPUTED_VALUE"""),"BRI")</f>
        <v>BRI</v>
      </c>
      <c r="C111" s="14">
        <f>IFERROR(__xludf.DUMMYFUNCTION("""COMPUTED_VALUE"""),250.0)</f>
        <v>250</v>
      </c>
      <c r="D111" s="15">
        <f>IFERROR(__xludf.DUMMYFUNCTION("""COMPUTED_VALUE"""),-1.934193064737748)</f>
        <v>-1.934193065</v>
      </c>
      <c r="E111" s="15">
        <f>IFERROR(__xludf.DUMMYFUNCTION("""COMPUTED_VALUE"""),-1.3125506220097356)</f>
        <v>-1.312550622</v>
      </c>
      <c r="F111" s="15">
        <f>IFERROR(__xludf.DUMMYFUNCTION("""COMPUTED_VALUE"""),-3.2467436867474837)</f>
        <v>-3.246743687</v>
      </c>
      <c r="G111" s="17">
        <f>IFERROR(__xludf.DUMMYFUNCTION("""COMPUTED_VALUE"""),-0.0948889455542787)</f>
        <v>-0.09488894555</v>
      </c>
      <c r="H111" s="4"/>
      <c r="I111" s="5" t="s">
        <v>357</v>
      </c>
      <c r="J111" s="5" t="s">
        <v>110</v>
      </c>
      <c r="K111" s="5">
        <v>250.0</v>
      </c>
      <c r="L111" s="5">
        <v>-1.93419</v>
      </c>
      <c r="M111" s="5">
        <v>-1.31255</v>
      </c>
      <c r="N111" s="5">
        <v>-3.24674</v>
      </c>
      <c r="O111" s="5">
        <v>-0.09489</v>
      </c>
    </row>
    <row r="112">
      <c r="A112" s="18" t="str">
        <f>IFERROR(__xludf.DUMMYFUNCTION("""COMPUTED_VALUE"""),"Adam Thoseby")</f>
        <v>Adam Thoseby</v>
      </c>
      <c r="B112" s="19" t="str">
        <f>IFERROR(__xludf.DUMMYFUNCTION("""COMPUTED_VALUE"""),"SYD")</f>
        <v>SYD</v>
      </c>
      <c r="C112" s="20">
        <f>IFERROR(__xludf.DUMMYFUNCTION("""COMPUTED_VALUE"""),89.1)</f>
        <v>89.1</v>
      </c>
      <c r="D112" s="21">
        <f>IFERROR(__xludf.DUMMYFUNCTION("""COMPUTED_VALUE"""),-2.4085292270375307)</f>
        <v>-2.408529227</v>
      </c>
      <c r="E112" s="21">
        <f>IFERROR(__xludf.DUMMYFUNCTION("""COMPUTED_VALUE"""),-0.9575198826852711)</f>
        <v>-0.9575198827</v>
      </c>
      <c r="F112" s="21">
        <f>IFERROR(__xludf.DUMMYFUNCTION("""COMPUTED_VALUE"""),-3.366049109722802)</f>
        <v>-3.36604911</v>
      </c>
      <c r="G112" s="23">
        <f>IFERROR(__xludf.DUMMYFUNCTION("""COMPUTED_VALUE"""),-0.03680914994822604)</f>
        <v>-0.03680914995</v>
      </c>
      <c r="H112" s="4"/>
      <c r="I112" s="5" t="s">
        <v>360</v>
      </c>
      <c r="J112" s="5" t="s">
        <v>125</v>
      </c>
      <c r="K112" s="5">
        <v>89.0</v>
      </c>
      <c r="L112" s="5">
        <v>-2.40853</v>
      </c>
      <c r="M112" s="5">
        <v>-0.95752</v>
      </c>
      <c r="N112" s="5">
        <v>-3.36605</v>
      </c>
      <c r="O112" s="5">
        <v>-0.03681</v>
      </c>
    </row>
    <row r="113">
      <c r="A113" s="12" t="str">
        <f>IFERROR(__xludf.DUMMYFUNCTION("""COMPUTED_VALUE"""),"Jarrad Weeks")</f>
        <v>Jarrad Weeks</v>
      </c>
      <c r="B113" s="13" t="str">
        <f>IFERROR(__xludf.DUMMYFUNCTION("""COMPUTED_VALUE"""),"CRN")</f>
        <v>CRN</v>
      </c>
      <c r="C113" s="14">
        <f>IFERROR(__xludf.DUMMYFUNCTION("""COMPUTED_VALUE"""),539.2)</f>
        <v>539.2</v>
      </c>
      <c r="D113" s="15">
        <f>IFERROR(__xludf.DUMMYFUNCTION("""COMPUTED_VALUE"""),-0.9911918214987925)</f>
        <v>-0.9911918215</v>
      </c>
      <c r="E113" s="15">
        <f>IFERROR(__xludf.DUMMYFUNCTION("""COMPUTED_VALUE"""),-2.4648749282326294)</f>
        <v>-2.464874928</v>
      </c>
      <c r="F113" s="15">
        <f>IFERROR(__xludf.DUMMYFUNCTION("""COMPUTED_VALUE"""),-3.4560667497314217)</f>
        <v>-3.45606675</v>
      </c>
      <c r="G113" s="17">
        <f>IFERROR(__xludf.DUMMYFUNCTION("""COMPUTED_VALUE"""),-0.2435425319335105)</f>
        <v>-0.2435425319</v>
      </c>
      <c r="H113" s="4"/>
      <c r="I113" s="5" t="s">
        <v>363</v>
      </c>
      <c r="J113" s="5" t="s">
        <v>44</v>
      </c>
      <c r="K113" s="5">
        <v>539.0</v>
      </c>
      <c r="L113" s="5">
        <v>-0.99119</v>
      </c>
      <c r="M113" s="5">
        <v>-2.46487</v>
      </c>
      <c r="N113" s="5">
        <v>-3.45607</v>
      </c>
      <c r="O113" s="5">
        <v>-0.24354</v>
      </c>
    </row>
    <row r="114">
      <c r="A114" s="18" t="str">
        <f>IFERROR(__xludf.DUMMYFUNCTION("""COMPUTED_VALUE"""),"Reuben Te Rangi")</f>
        <v>Reuben Te Rangi</v>
      </c>
      <c r="B114" s="19" t="str">
        <f>IFERROR(__xludf.DUMMYFUNCTION("""COMPUTED_VALUE"""),"BRI")</f>
        <v>BRI</v>
      </c>
      <c r="C114" s="20">
        <f>IFERROR(__xludf.DUMMYFUNCTION("""COMPUTED_VALUE"""),535.4)</f>
        <v>535.4</v>
      </c>
      <c r="D114" s="21">
        <f>IFERROR(__xludf.DUMMYFUNCTION("""COMPUTED_VALUE"""),-1.9712865210141854)</f>
        <v>-1.971286521</v>
      </c>
      <c r="E114" s="21">
        <f>IFERROR(__xludf.DUMMYFUNCTION("""COMPUTED_VALUE"""),-1.7541502489945364)</f>
        <v>-1.754150249</v>
      </c>
      <c r="F114" s="21">
        <f>IFERROR(__xludf.DUMMYFUNCTION("""COMPUTED_VALUE"""),-3.725436770008722)</f>
        <v>-3.72543677</v>
      </c>
      <c r="G114" s="23">
        <f>IFERROR(__xludf.DUMMYFUNCTION("""COMPUTED_VALUE"""),-0.2812391974256177)</f>
        <v>-0.2812391974</v>
      </c>
      <c r="H114" s="4"/>
      <c r="I114" s="5" t="s">
        <v>365</v>
      </c>
      <c r="J114" s="5" t="s">
        <v>110</v>
      </c>
      <c r="K114" s="5">
        <v>535.0</v>
      </c>
      <c r="L114" s="5">
        <v>-1.97129</v>
      </c>
      <c r="M114" s="5">
        <v>-1.75415</v>
      </c>
      <c r="N114" s="5">
        <v>-3.72544</v>
      </c>
      <c r="O114" s="5">
        <v>-0.28124</v>
      </c>
    </row>
    <row r="115">
      <c r="A115" s="12" t="str">
        <f>IFERROR(__xludf.DUMMYFUNCTION("""COMPUTED_VALUE"""),"Rakeem Christmas")</f>
        <v>Rakeem Christmas</v>
      </c>
      <c r="B115" s="13" t="str">
        <f>IFERROR(__xludf.DUMMYFUNCTION("""COMPUTED_VALUE"""),"NZB")</f>
        <v>NZB</v>
      </c>
      <c r="C115" s="14">
        <f>IFERROR(__xludf.DUMMYFUNCTION("""COMPUTED_VALUE"""),184.6)</f>
        <v>184.6</v>
      </c>
      <c r="D115" s="15">
        <f>IFERROR(__xludf.DUMMYFUNCTION("""COMPUTED_VALUE"""),-3.0595402045198044)</f>
        <v>-3.059540205</v>
      </c>
      <c r="E115" s="15">
        <f>IFERROR(__xludf.DUMMYFUNCTION("""COMPUTED_VALUE"""),-0.6772956851460359)</f>
        <v>-0.6772956851</v>
      </c>
      <c r="F115" s="15">
        <f>IFERROR(__xludf.DUMMYFUNCTION("""COMPUTED_VALUE"""),-3.7368358896658402)</f>
        <v>-3.73683589</v>
      </c>
      <c r="G115" s="17">
        <f>IFERROR(__xludf.DUMMYFUNCTION("""COMPUTED_VALUE"""),-0.09783965746008456)</f>
        <v>-0.09783965746</v>
      </c>
      <c r="H115" s="4"/>
      <c r="I115" s="5" t="s">
        <v>368</v>
      </c>
      <c r="J115" s="5" t="s">
        <v>78</v>
      </c>
      <c r="K115" s="5">
        <v>185.0</v>
      </c>
      <c r="L115" s="5">
        <v>-3.05954</v>
      </c>
      <c r="M115" s="5">
        <v>-0.6773</v>
      </c>
      <c r="N115" s="5">
        <v>-3.73684</v>
      </c>
      <c r="O115" s="5">
        <v>-0.09784</v>
      </c>
    </row>
    <row r="116">
      <c r="A116" s="18" t="str">
        <f>IFERROR(__xludf.DUMMYFUNCTION("""COMPUTED_VALUE"""),"Jarrod Kenny")</f>
        <v>Jarrod Kenny</v>
      </c>
      <c r="B116" s="19" t="str">
        <f>IFERROR(__xludf.DUMMYFUNCTION("""COMPUTED_VALUE"""),"PER")</f>
        <v>PER</v>
      </c>
      <c r="C116" s="20">
        <f>IFERROR(__xludf.DUMMYFUNCTION("""COMPUTED_VALUE"""),483.4)</f>
        <v>483.4</v>
      </c>
      <c r="D116" s="21">
        <f>IFERROR(__xludf.DUMMYFUNCTION("""COMPUTED_VALUE"""),-2.131594880697358)</f>
        <v>-2.131594881</v>
      </c>
      <c r="E116" s="21">
        <f>IFERROR(__xludf.DUMMYFUNCTION("""COMPUTED_VALUE"""),-1.7160592331876727)</f>
        <v>-1.716059233</v>
      </c>
      <c r="F116" s="21">
        <f>IFERROR(__xludf.DUMMYFUNCTION("""COMPUTED_VALUE"""),-3.8476541138850306)</f>
        <v>-3.847654114</v>
      </c>
      <c r="G116" s="23">
        <f>IFERROR(__xludf.DUMMYFUNCTION("""COMPUTED_VALUE"""),-0.273777493633008)</f>
        <v>-0.2737774936</v>
      </c>
      <c r="H116" s="4"/>
      <c r="I116" s="5" t="s">
        <v>370</v>
      </c>
      <c r="J116" s="5" t="s">
        <v>39</v>
      </c>
      <c r="K116" s="5">
        <v>483.0</v>
      </c>
      <c r="L116" s="5">
        <v>-2.13159</v>
      </c>
      <c r="M116" s="5">
        <v>-1.71606</v>
      </c>
      <c r="N116" s="5">
        <v>-3.84765</v>
      </c>
      <c r="O116" s="5">
        <v>-0.27378</v>
      </c>
    </row>
    <row r="117">
      <c r="A117" s="12" t="str">
        <f>IFERROR(__xludf.DUMMYFUNCTION("""COMPUTED_VALUE"""),"Mitchell Norton")</f>
        <v>Mitchell Norton</v>
      </c>
      <c r="B117" s="13" t="str">
        <f>IFERROR(__xludf.DUMMYFUNCTION("""COMPUTED_VALUE"""),"ILL")</f>
        <v>ILL</v>
      </c>
      <c r="C117" s="14">
        <f>IFERROR(__xludf.DUMMYFUNCTION("""COMPUTED_VALUE"""),399.6)</f>
        <v>399.6</v>
      </c>
      <c r="D117" s="15">
        <f>IFERROR(__xludf.DUMMYFUNCTION("""COMPUTED_VALUE"""),-1.7217567355925234)</f>
        <v>-1.721756736</v>
      </c>
      <c r="E117" s="15">
        <f>IFERROR(__xludf.DUMMYFUNCTION("""COMPUTED_VALUE"""),-2.31485783417711)</f>
        <v>-2.314857834</v>
      </c>
      <c r="F117" s="15">
        <f>IFERROR(__xludf.DUMMYFUNCTION("""COMPUTED_VALUE"""),-4.036614569769633)</f>
        <v>-4.03661457</v>
      </c>
      <c r="G117" s="17">
        <f>IFERROR(__xludf.DUMMYFUNCTION("""COMPUTED_VALUE"""),-0.24962593364302568)</f>
        <v>-0.2496259336</v>
      </c>
      <c r="H117" s="4"/>
      <c r="I117" s="5" t="s">
        <v>373</v>
      </c>
      <c r="J117" s="5" t="s">
        <v>47</v>
      </c>
      <c r="K117" s="5">
        <v>400.0</v>
      </c>
      <c r="L117" s="5">
        <v>-1.72176</v>
      </c>
      <c r="M117" s="5">
        <v>-2.31486</v>
      </c>
      <c r="N117" s="5">
        <v>-4.03661</v>
      </c>
      <c r="O117" s="5">
        <v>-0.24963</v>
      </c>
    </row>
    <row r="118">
      <c r="A118" s="18" t="str">
        <f>IFERROR(__xludf.DUMMYFUNCTION("""COMPUTED_VALUE"""),"Brendan Teys")</f>
        <v>Brendan Teys</v>
      </c>
      <c r="B118" s="19" t="str">
        <f>IFERROR(__xludf.DUMMYFUNCTION("""COMPUTED_VALUE"""),"ADE")</f>
        <v>ADE</v>
      </c>
      <c r="C118" s="20">
        <f>IFERROR(__xludf.DUMMYFUNCTION("""COMPUTED_VALUE"""),279.8)</f>
        <v>279.8</v>
      </c>
      <c r="D118" s="21">
        <f>IFERROR(__xludf.DUMMYFUNCTION("""COMPUTED_VALUE"""),-4.223998599347574)</f>
        <v>-4.223998599</v>
      </c>
      <c r="E118" s="21">
        <f>IFERROR(__xludf.DUMMYFUNCTION("""COMPUTED_VALUE"""),-0.14844210866749297)</f>
        <v>-0.1484421087</v>
      </c>
      <c r="F118" s="21">
        <f>IFERROR(__xludf.DUMMYFUNCTION("""COMPUTED_VALUE"""),-4.372440708015067)</f>
        <v>-4.372440708</v>
      </c>
      <c r="G118" s="23">
        <f>IFERROR(__xludf.DUMMYFUNCTION("""COMPUTED_VALUE"""),-0.2027979496287096)</f>
        <v>-0.2027979496</v>
      </c>
      <c r="H118" s="4"/>
      <c r="I118" s="5" t="s">
        <v>376</v>
      </c>
      <c r="J118" s="5" t="s">
        <v>16</v>
      </c>
      <c r="K118" s="5">
        <v>280.0</v>
      </c>
      <c r="L118" s="5">
        <v>-4.224</v>
      </c>
      <c r="M118" s="5">
        <v>-0.14844</v>
      </c>
      <c r="N118" s="5">
        <v>-4.37244</v>
      </c>
      <c r="O118" s="5">
        <v>-0.2028</v>
      </c>
    </row>
    <row r="119">
      <c r="A119" s="12" t="str">
        <f>IFERROR(__xludf.DUMMYFUNCTION("""COMPUTED_VALUE"""),"Clint Steindl")</f>
        <v>Clint Steindl</v>
      </c>
      <c r="B119" s="13" t="str">
        <f>IFERROR(__xludf.DUMMYFUNCTION("""COMPUTED_VALUE"""),"PER")</f>
        <v>PER</v>
      </c>
      <c r="C119" s="14">
        <f>IFERROR(__xludf.DUMMYFUNCTION("""COMPUTED_VALUE"""),271.9)</f>
        <v>271.9</v>
      </c>
      <c r="D119" s="15">
        <f>IFERROR(__xludf.DUMMYFUNCTION("""COMPUTED_VALUE"""),-3.5434368809976724)</f>
        <v>-3.543436881</v>
      </c>
      <c r="E119" s="15">
        <f>IFERROR(__xludf.DUMMYFUNCTION("""COMPUTED_VALUE"""),-1.4188410256145354)</f>
        <v>-1.418841026</v>
      </c>
      <c r="F119" s="15">
        <f>IFERROR(__xludf.DUMMYFUNCTION("""COMPUTED_VALUE"""),-4.962277906612208)</f>
        <v>-4.962277907</v>
      </c>
      <c r="G119" s="17">
        <f>IFERROR(__xludf.DUMMYFUNCTION("""COMPUTED_VALUE"""),-0.24689109793326203)</f>
        <v>-0.2468910979</v>
      </c>
      <c r="H119" s="4"/>
      <c r="I119" s="5" t="s">
        <v>379</v>
      </c>
      <c r="J119" s="5" t="s">
        <v>39</v>
      </c>
      <c r="K119" s="5">
        <v>272.0</v>
      </c>
      <c r="L119" s="5">
        <v>-3.54344</v>
      </c>
      <c r="M119" s="5">
        <v>-1.41884</v>
      </c>
      <c r="N119" s="5">
        <v>-4.96228</v>
      </c>
      <c r="O119" s="5">
        <v>-0.24689</v>
      </c>
    </row>
    <row r="120">
      <c r="A120" s="18" t="str">
        <f>IFERROR(__xludf.DUMMYFUNCTION("""COMPUTED_VALUE"""),"Kevin White")</f>
        <v>Kevin White</v>
      </c>
      <c r="B120" s="19" t="str">
        <f>IFERROR(__xludf.DUMMYFUNCTION("""COMPUTED_VALUE"""),"ILL")</f>
        <v>ILL</v>
      </c>
      <c r="C120" s="20">
        <f>IFERROR(__xludf.DUMMYFUNCTION("""COMPUTED_VALUE"""),341.0)</f>
        <v>341</v>
      </c>
      <c r="D120" s="21">
        <f>IFERROR(__xludf.DUMMYFUNCTION("""COMPUTED_VALUE"""),-3.7208830512013344)</f>
        <v>-3.720883051</v>
      </c>
      <c r="E120" s="21">
        <f>IFERROR(__xludf.DUMMYFUNCTION("""COMPUTED_VALUE"""),-2.199363738955303)</f>
        <v>-2.199363739</v>
      </c>
      <c r="F120" s="21">
        <f>IFERROR(__xludf.DUMMYFUNCTION("""COMPUTED_VALUE"""),-5.920246790156638)</f>
        <v>-5.92024679</v>
      </c>
      <c r="G120" s="23">
        <f>IFERROR(__xludf.DUMMYFUNCTION("""COMPUTED_VALUE"""),-0.41003710935182364)</f>
        <v>-0.4100371094</v>
      </c>
      <c r="H120" s="4"/>
      <c r="I120" s="5" t="s">
        <v>382</v>
      </c>
      <c r="J120" s="5" t="s">
        <v>47</v>
      </c>
      <c r="K120" s="5">
        <v>341.0</v>
      </c>
      <c r="L120" s="5">
        <v>-3.72088</v>
      </c>
      <c r="M120" s="5">
        <v>-2.19936</v>
      </c>
      <c r="N120" s="5">
        <v>-5.92025</v>
      </c>
      <c r="O120" s="5">
        <v>-0.41004</v>
      </c>
    </row>
    <row r="121">
      <c r="A121" s="12" t="str">
        <f>IFERROR(__xludf.DUMMYFUNCTION("""COMPUTED_VALUE"""),"Stephen Weigh")</f>
        <v>Stephen Weigh</v>
      </c>
      <c r="B121" s="13" t="str">
        <f>IFERROR(__xludf.DUMMYFUNCTION("""COMPUTED_VALUE"""),"CRN")</f>
        <v>CRN</v>
      </c>
      <c r="C121" s="14">
        <f>IFERROR(__xludf.DUMMYFUNCTION("""COMPUTED_VALUE"""),323.6)</f>
        <v>323.6</v>
      </c>
      <c r="D121" s="15">
        <f>IFERROR(__xludf.DUMMYFUNCTION("""COMPUTED_VALUE"""),-4.74838545633539)</f>
        <v>-4.748385456</v>
      </c>
      <c r="E121" s="15">
        <f>IFERROR(__xludf.DUMMYFUNCTION("""COMPUTED_VALUE"""),-1.3316632244333926)</f>
        <v>-1.331663224</v>
      </c>
      <c r="F121" s="15">
        <f>IFERROR(__xludf.DUMMYFUNCTION("""COMPUTED_VALUE"""),-6.080048680768782)</f>
        <v>-6.080048681</v>
      </c>
      <c r="G121" s="17">
        <f>IFERROR(__xludf.DUMMYFUNCTION("""COMPUTED_VALUE"""),-0.40955997373381126)</f>
        <v>-0.4095599737</v>
      </c>
      <c r="H121" s="4"/>
      <c r="I121" s="5" t="s">
        <v>383</v>
      </c>
      <c r="J121" s="5" t="s">
        <v>44</v>
      </c>
      <c r="K121" s="5">
        <v>324.0</v>
      </c>
      <c r="L121" s="5">
        <v>-4.74839</v>
      </c>
      <c r="M121" s="5">
        <v>-1.33166</v>
      </c>
      <c r="N121" s="5">
        <v>-6.08005</v>
      </c>
      <c r="O121" s="5">
        <v>-0.40956</v>
      </c>
    </row>
    <row r="122">
      <c r="A122" s="18" t="str">
        <f>IFERROR(__xludf.DUMMYFUNCTION("""COMPUTED_VALUE"""),"Shaun Bruce")</f>
        <v>Shaun Bruce</v>
      </c>
      <c r="B122" s="19" t="str">
        <f>IFERROR(__xludf.DUMMYFUNCTION("""COMPUTED_VALUE"""),"BRI")</f>
        <v>BRI</v>
      </c>
      <c r="C122" s="20">
        <f>IFERROR(__xludf.DUMMYFUNCTION("""COMPUTED_VALUE"""),322.1)</f>
        <v>322.1</v>
      </c>
      <c r="D122" s="21">
        <f>IFERROR(__xludf.DUMMYFUNCTION("""COMPUTED_VALUE"""),-5.31535764008041)</f>
        <v>-5.31535764</v>
      </c>
      <c r="E122" s="21">
        <f>IFERROR(__xludf.DUMMYFUNCTION("""COMPUTED_VALUE"""),-2.0563392126776527)</f>
        <v>-2.056339213</v>
      </c>
      <c r="F122" s="21">
        <f>IFERROR(__xludf.DUMMYFUNCTION("""COMPUTED_VALUE"""),-7.371696852758062)</f>
        <v>-7.371696853</v>
      </c>
      <c r="G122" s="23">
        <f>IFERROR(__xludf.DUMMYFUNCTION("""COMPUTED_VALUE"""),-0.5267452823643851)</f>
        <v>-0.5267452824</v>
      </c>
      <c r="H122" s="4"/>
      <c r="I122" s="5" t="s">
        <v>386</v>
      </c>
      <c r="J122" s="5" t="s">
        <v>110</v>
      </c>
      <c r="K122" s="5">
        <v>322.0</v>
      </c>
      <c r="L122" s="5">
        <v>-5.31536</v>
      </c>
      <c r="M122" s="5">
        <v>-2.05634</v>
      </c>
      <c r="N122" s="5">
        <v>-7.3717</v>
      </c>
      <c r="O122" s="5">
        <v>-0.52675</v>
      </c>
    </row>
    <row r="123">
      <c r="A123" s="12" t="str">
        <f>IFERROR(__xludf.DUMMYFUNCTION("""COMPUTED_VALUE"""),"Damon Heuir")</f>
        <v>Damon Heuir</v>
      </c>
      <c r="B123" s="13" t="str">
        <f>IFERROR(__xludf.DUMMYFUNCTION("""COMPUTED_VALUE"""),"CRN")</f>
        <v>CRN</v>
      </c>
      <c r="C123" s="14">
        <f>IFERROR(__xludf.DUMMYFUNCTION("""COMPUTED_VALUE"""),306.1)</f>
        <v>306.1</v>
      </c>
      <c r="D123" s="15">
        <f>IFERROR(__xludf.DUMMYFUNCTION("""COMPUTED_VALUE"""),-4.663311356901426)</f>
        <v>-4.663311357</v>
      </c>
      <c r="E123" s="15">
        <f>IFERROR(__xludf.DUMMYFUNCTION("""COMPUTED_VALUE"""),-3.400244989037123)</f>
        <v>-3.400244989</v>
      </c>
      <c r="F123" s="15">
        <f>IFERROR(__xludf.DUMMYFUNCTION("""COMPUTED_VALUE"""),-8.063556345938549)</f>
        <v>-8.063556346</v>
      </c>
      <c r="G123" s="17">
        <f>IFERROR(__xludf.DUMMYFUNCTION("""COMPUTED_VALUE"""),-0.5757505955839974)</f>
        <v>-0.5757505956</v>
      </c>
      <c r="H123" s="4"/>
      <c r="I123" s="5" t="s">
        <v>388</v>
      </c>
      <c r="J123" s="5" t="s">
        <v>44</v>
      </c>
      <c r="K123" s="5">
        <v>306.0</v>
      </c>
      <c r="L123" s="5">
        <v>-4.66331</v>
      </c>
      <c r="M123" s="5">
        <v>-3.40024</v>
      </c>
      <c r="N123" s="5">
        <v>-8.06356</v>
      </c>
      <c r="O123" s="5">
        <v>-0.57575</v>
      </c>
    </row>
    <row r="124">
      <c r="A124" s="18" t="str">
        <f>IFERROR(__xludf.DUMMYFUNCTION("""COMPUTED_VALUE"""),"")</f>
        <v/>
      </c>
      <c r="B124" s="19" t="str">
        <f>IFERROR(__xludf.DUMMYFUNCTION("""COMPUTED_VALUE"""),"")</f>
        <v/>
      </c>
      <c r="C124" s="20" t="str">
        <f>IFERROR(__xludf.DUMMYFUNCTION("""COMPUTED_VALUE"""),"")</f>
        <v/>
      </c>
      <c r="D124" s="21" t="str">
        <f>IFERROR(__xludf.DUMMYFUNCTION("""COMPUTED_VALUE"""),"")</f>
        <v/>
      </c>
      <c r="E124" s="21" t="str">
        <f>IFERROR(__xludf.DUMMYFUNCTION("""COMPUTED_VALUE"""),"")</f>
        <v/>
      </c>
      <c r="F124" s="21" t="str">
        <f>IFERROR(__xludf.DUMMYFUNCTION("""COMPUTED_VALUE"""),"")</f>
        <v/>
      </c>
      <c r="G124" s="23" t="str">
        <f>IFERROR(__xludf.DUMMYFUNCTION("""COMPUTED_VALUE"""),"")</f>
        <v/>
      </c>
      <c r="H124" s="4"/>
      <c r="I124" s="5"/>
      <c r="J124" s="5"/>
      <c r="K124" s="5"/>
      <c r="L124" s="5"/>
      <c r="M124" s="5"/>
      <c r="N124" s="5"/>
      <c r="O124" s="5"/>
    </row>
    <row r="125">
      <c r="A125" s="12" t="str">
        <f>IFERROR(__xludf.DUMMYFUNCTION("""COMPUTED_VALUE"""),"")</f>
        <v/>
      </c>
      <c r="B125" s="13" t="str">
        <f>IFERROR(__xludf.DUMMYFUNCTION("""COMPUTED_VALUE"""),"")</f>
        <v/>
      </c>
      <c r="C125" s="14" t="str">
        <f>IFERROR(__xludf.DUMMYFUNCTION("""COMPUTED_VALUE"""),"")</f>
        <v/>
      </c>
      <c r="D125" s="15" t="str">
        <f>IFERROR(__xludf.DUMMYFUNCTION("""COMPUTED_VALUE"""),"")</f>
        <v/>
      </c>
      <c r="E125" s="15" t="str">
        <f>IFERROR(__xludf.DUMMYFUNCTION("""COMPUTED_VALUE"""),"")</f>
        <v/>
      </c>
      <c r="F125" s="15" t="str">
        <f>IFERROR(__xludf.DUMMYFUNCTION("""COMPUTED_VALUE"""),"")</f>
        <v/>
      </c>
      <c r="G125" s="17" t="str">
        <f>IFERROR(__xludf.DUMMYFUNCTION("""COMPUTED_VALUE"""),"")</f>
        <v/>
      </c>
      <c r="H125" s="4"/>
      <c r="I125" s="5"/>
      <c r="J125" s="5"/>
      <c r="K125" s="5"/>
      <c r="L125" s="5"/>
      <c r="M125" s="5"/>
      <c r="N125" s="5"/>
      <c r="O125" s="5"/>
    </row>
    <row r="126">
      <c r="A126" s="18" t="str">
        <f>IFERROR(__xludf.DUMMYFUNCTION("""COMPUTED_VALUE"""),"")</f>
        <v/>
      </c>
      <c r="B126" s="19" t="str">
        <f>IFERROR(__xludf.DUMMYFUNCTION("""COMPUTED_VALUE"""),"")</f>
        <v/>
      </c>
      <c r="C126" s="20" t="str">
        <f>IFERROR(__xludf.DUMMYFUNCTION("""COMPUTED_VALUE"""),"")</f>
        <v/>
      </c>
      <c r="D126" s="21" t="str">
        <f>IFERROR(__xludf.DUMMYFUNCTION("""COMPUTED_VALUE"""),"")</f>
        <v/>
      </c>
      <c r="E126" s="21" t="str">
        <f>IFERROR(__xludf.DUMMYFUNCTION("""COMPUTED_VALUE"""),"")</f>
        <v/>
      </c>
      <c r="F126" s="21" t="str">
        <f>IFERROR(__xludf.DUMMYFUNCTION("""COMPUTED_VALUE"""),"")</f>
        <v/>
      </c>
      <c r="G126" s="23" t="str">
        <f>IFERROR(__xludf.DUMMYFUNCTION("""COMPUTED_VALUE"""),"")</f>
        <v/>
      </c>
      <c r="H126" s="4"/>
      <c r="I126" s="5"/>
      <c r="J126" s="5"/>
      <c r="K126" s="5"/>
      <c r="L126" s="5"/>
      <c r="M126" s="5"/>
      <c r="N126" s="5"/>
      <c r="O126" s="5"/>
    </row>
    <row r="127">
      <c r="A127" s="12" t="str">
        <f>IFERROR(__xludf.DUMMYFUNCTION("""COMPUTED_VALUE"""),"")</f>
        <v/>
      </c>
      <c r="B127" s="13" t="str">
        <f>IFERROR(__xludf.DUMMYFUNCTION("""COMPUTED_VALUE"""),"")</f>
        <v/>
      </c>
      <c r="C127" s="14" t="str">
        <f>IFERROR(__xludf.DUMMYFUNCTION("""COMPUTED_VALUE"""),"")</f>
        <v/>
      </c>
      <c r="D127" s="15" t="str">
        <f>IFERROR(__xludf.DUMMYFUNCTION("""COMPUTED_VALUE"""),"")</f>
        <v/>
      </c>
      <c r="E127" s="15" t="str">
        <f>IFERROR(__xludf.DUMMYFUNCTION("""COMPUTED_VALUE"""),"")</f>
        <v/>
      </c>
      <c r="F127" s="15" t="str">
        <f>IFERROR(__xludf.DUMMYFUNCTION("""COMPUTED_VALUE"""),"")</f>
        <v/>
      </c>
      <c r="G127" s="17" t="str">
        <f>IFERROR(__xludf.DUMMYFUNCTION("""COMPUTED_VALUE"""),"")</f>
        <v/>
      </c>
      <c r="H127" s="4"/>
      <c r="I127" s="5"/>
      <c r="J127" s="5"/>
      <c r="K127" s="5"/>
      <c r="L127" s="5"/>
      <c r="M127" s="5"/>
      <c r="N127" s="5"/>
      <c r="O127" s="5"/>
    </row>
    <row r="128">
      <c r="A128" s="18" t="str">
        <f>IFERROR(__xludf.DUMMYFUNCTION("""COMPUTED_VALUE"""),"")</f>
        <v/>
      </c>
      <c r="B128" s="19" t="str">
        <f>IFERROR(__xludf.DUMMYFUNCTION("""COMPUTED_VALUE"""),"")</f>
        <v/>
      </c>
      <c r="C128" s="20" t="str">
        <f>IFERROR(__xludf.DUMMYFUNCTION("""COMPUTED_VALUE"""),"")</f>
        <v/>
      </c>
      <c r="D128" s="21" t="str">
        <f>IFERROR(__xludf.DUMMYFUNCTION("""COMPUTED_VALUE"""),"")</f>
        <v/>
      </c>
      <c r="E128" s="21" t="str">
        <f>IFERROR(__xludf.DUMMYFUNCTION("""COMPUTED_VALUE"""),"")</f>
        <v/>
      </c>
      <c r="F128" s="21" t="str">
        <f>IFERROR(__xludf.DUMMYFUNCTION("""COMPUTED_VALUE"""),"")</f>
        <v/>
      </c>
      <c r="G128" s="23" t="str">
        <f>IFERROR(__xludf.DUMMYFUNCTION("""COMPUTED_VALUE"""),"")</f>
        <v/>
      </c>
      <c r="H128" s="4"/>
      <c r="I128" s="5"/>
      <c r="J128" s="5"/>
      <c r="K128" s="5"/>
      <c r="L128" s="5"/>
      <c r="M128" s="5"/>
      <c r="N128" s="5"/>
      <c r="O128" s="5"/>
    </row>
    <row r="129">
      <c r="A129" s="12" t="str">
        <f>IFERROR(__xludf.DUMMYFUNCTION("""COMPUTED_VALUE"""),"")</f>
        <v/>
      </c>
      <c r="B129" s="13" t="str">
        <f>IFERROR(__xludf.DUMMYFUNCTION("""COMPUTED_VALUE"""),"")</f>
        <v/>
      </c>
      <c r="C129" s="14" t="str">
        <f>IFERROR(__xludf.DUMMYFUNCTION("""COMPUTED_VALUE"""),"")</f>
        <v/>
      </c>
      <c r="D129" s="15" t="str">
        <f>IFERROR(__xludf.DUMMYFUNCTION("""COMPUTED_VALUE"""),"")</f>
        <v/>
      </c>
      <c r="E129" s="15" t="str">
        <f>IFERROR(__xludf.DUMMYFUNCTION("""COMPUTED_VALUE"""),"")</f>
        <v/>
      </c>
      <c r="F129" s="15" t="str">
        <f>IFERROR(__xludf.DUMMYFUNCTION("""COMPUTED_VALUE"""),"")</f>
        <v/>
      </c>
      <c r="G129" s="17" t="str">
        <f>IFERROR(__xludf.DUMMYFUNCTION("""COMPUTED_VALUE"""),"")</f>
        <v/>
      </c>
      <c r="H129" s="4"/>
      <c r="I129" s="5"/>
      <c r="J129" s="5"/>
      <c r="K129" s="5"/>
      <c r="L129" s="5"/>
      <c r="M129" s="5"/>
      <c r="N129" s="5"/>
      <c r="O129" s="5"/>
    </row>
    <row r="130">
      <c r="A130" s="18" t="str">
        <f>IFERROR(__xludf.DUMMYFUNCTION("""COMPUTED_VALUE"""),"")</f>
        <v/>
      </c>
      <c r="B130" s="19" t="str">
        <f>IFERROR(__xludf.DUMMYFUNCTION("""COMPUTED_VALUE"""),"")</f>
        <v/>
      </c>
      <c r="C130" s="20" t="str">
        <f>IFERROR(__xludf.DUMMYFUNCTION("""COMPUTED_VALUE"""),"")</f>
        <v/>
      </c>
      <c r="D130" s="21" t="str">
        <f>IFERROR(__xludf.DUMMYFUNCTION("""COMPUTED_VALUE"""),"")</f>
        <v/>
      </c>
      <c r="E130" s="21" t="str">
        <f>IFERROR(__xludf.DUMMYFUNCTION("""COMPUTED_VALUE"""),"")</f>
        <v/>
      </c>
      <c r="F130" s="21" t="str">
        <f>IFERROR(__xludf.DUMMYFUNCTION("""COMPUTED_VALUE"""),"")</f>
        <v/>
      </c>
      <c r="G130" s="23" t="str">
        <f>IFERROR(__xludf.DUMMYFUNCTION("""COMPUTED_VALUE"""),"")</f>
        <v/>
      </c>
      <c r="H130" s="4"/>
      <c r="I130" s="5"/>
      <c r="J130" s="5"/>
      <c r="K130" s="5"/>
      <c r="L130" s="5"/>
      <c r="M130" s="5"/>
      <c r="N130" s="5"/>
      <c r="O130" s="5"/>
    </row>
    <row r="131">
      <c r="A131" s="12" t="str">
        <f>IFERROR(__xludf.DUMMYFUNCTION("""COMPUTED_VALUE"""),"")</f>
        <v/>
      </c>
      <c r="B131" s="13" t="str">
        <f>IFERROR(__xludf.DUMMYFUNCTION("""COMPUTED_VALUE"""),"")</f>
        <v/>
      </c>
      <c r="C131" s="14" t="str">
        <f>IFERROR(__xludf.DUMMYFUNCTION("""COMPUTED_VALUE"""),"")</f>
        <v/>
      </c>
      <c r="D131" s="15" t="str">
        <f>IFERROR(__xludf.DUMMYFUNCTION("""COMPUTED_VALUE"""),"")</f>
        <v/>
      </c>
      <c r="E131" s="15" t="str">
        <f>IFERROR(__xludf.DUMMYFUNCTION("""COMPUTED_VALUE"""),"")</f>
        <v/>
      </c>
      <c r="F131" s="15" t="str">
        <f>IFERROR(__xludf.DUMMYFUNCTION("""COMPUTED_VALUE"""),"")</f>
        <v/>
      </c>
      <c r="G131" s="17" t="str">
        <f>IFERROR(__xludf.DUMMYFUNCTION("""COMPUTED_VALUE"""),"")</f>
        <v/>
      </c>
      <c r="H131" s="4"/>
      <c r="I131" s="5"/>
      <c r="J131" s="5"/>
      <c r="K131" s="5"/>
      <c r="L131" s="5"/>
      <c r="M131" s="5"/>
      <c r="N131" s="5"/>
      <c r="O131" s="5"/>
    </row>
    <row r="132">
      <c r="A132" s="18" t="str">
        <f>IFERROR(__xludf.DUMMYFUNCTION("""COMPUTED_VALUE"""),"")</f>
        <v/>
      </c>
      <c r="B132" s="19" t="str">
        <f>IFERROR(__xludf.DUMMYFUNCTION("""COMPUTED_VALUE"""),"")</f>
        <v/>
      </c>
      <c r="C132" s="20" t="str">
        <f>IFERROR(__xludf.DUMMYFUNCTION("""COMPUTED_VALUE"""),"")</f>
        <v/>
      </c>
      <c r="D132" s="21" t="str">
        <f>IFERROR(__xludf.DUMMYFUNCTION("""COMPUTED_VALUE"""),"")</f>
        <v/>
      </c>
      <c r="E132" s="21" t="str">
        <f>IFERROR(__xludf.DUMMYFUNCTION("""COMPUTED_VALUE"""),"")</f>
        <v/>
      </c>
      <c r="F132" s="21" t="str">
        <f>IFERROR(__xludf.DUMMYFUNCTION("""COMPUTED_VALUE"""),"")</f>
        <v/>
      </c>
      <c r="G132" s="23" t="str">
        <f>IFERROR(__xludf.DUMMYFUNCTION("""COMPUTED_VALUE"""),"")</f>
        <v/>
      </c>
      <c r="H132" s="4"/>
      <c r="I132" s="5"/>
      <c r="J132" s="5"/>
      <c r="K132" s="5"/>
      <c r="L132" s="5"/>
      <c r="M132" s="5"/>
      <c r="N132" s="5"/>
      <c r="O132" s="5"/>
    </row>
    <row r="133">
      <c r="A133" s="12" t="str">
        <f>IFERROR(__xludf.DUMMYFUNCTION("""COMPUTED_VALUE"""),"")</f>
        <v/>
      </c>
      <c r="B133" s="13" t="str">
        <f>IFERROR(__xludf.DUMMYFUNCTION("""COMPUTED_VALUE"""),"")</f>
        <v/>
      </c>
      <c r="C133" s="14" t="str">
        <f>IFERROR(__xludf.DUMMYFUNCTION("""COMPUTED_VALUE"""),"")</f>
        <v/>
      </c>
      <c r="D133" s="15" t="str">
        <f>IFERROR(__xludf.DUMMYFUNCTION("""COMPUTED_VALUE"""),"")</f>
        <v/>
      </c>
      <c r="E133" s="15" t="str">
        <f>IFERROR(__xludf.DUMMYFUNCTION("""COMPUTED_VALUE"""),"")</f>
        <v/>
      </c>
      <c r="F133" s="15" t="str">
        <f>IFERROR(__xludf.DUMMYFUNCTION("""COMPUTED_VALUE"""),"")</f>
        <v/>
      </c>
      <c r="G133" s="17" t="str">
        <f>IFERROR(__xludf.DUMMYFUNCTION("""COMPUTED_VALUE"""),"")</f>
        <v/>
      </c>
      <c r="H133" s="4"/>
      <c r="I133" s="5"/>
      <c r="J133" s="5"/>
      <c r="K133" s="5"/>
      <c r="L133" s="5"/>
      <c r="M133" s="5"/>
      <c r="N133" s="5"/>
      <c r="O133" s="5"/>
    </row>
    <row r="134">
      <c r="A134" s="18" t="str">
        <f>IFERROR(__xludf.DUMMYFUNCTION("""COMPUTED_VALUE"""),"")</f>
        <v/>
      </c>
      <c r="B134" s="19" t="str">
        <f>IFERROR(__xludf.DUMMYFUNCTION("""COMPUTED_VALUE"""),"")</f>
        <v/>
      </c>
      <c r="C134" s="20" t="str">
        <f>IFERROR(__xludf.DUMMYFUNCTION("""COMPUTED_VALUE"""),"")</f>
        <v/>
      </c>
      <c r="D134" s="21" t="str">
        <f>IFERROR(__xludf.DUMMYFUNCTION("""COMPUTED_VALUE"""),"")</f>
        <v/>
      </c>
      <c r="E134" s="21" t="str">
        <f>IFERROR(__xludf.DUMMYFUNCTION("""COMPUTED_VALUE"""),"")</f>
        <v/>
      </c>
      <c r="F134" s="21" t="str">
        <f>IFERROR(__xludf.DUMMYFUNCTION("""COMPUTED_VALUE"""),"")</f>
        <v/>
      </c>
      <c r="G134" s="23" t="str">
        <f>IFERROR(__xludf.DUMMYFUNCTION("""COMPUTED_VALUE"""),"")</f>
        <v/>
      </c>
      <c r="H134" s="4"/>
      <c r="I134" s="5"/>
      <c r="J134" s="5"/>
      <c r="K134" s="5"/>
      <c r="L134" s="5"/>
      <c r="M134" s="5"/>
      <c r="N134" s="5"/>
      <c r="O134" s="5"/>
    </row>
    <row r="135">
      <c r="A135" s="12" t="str">
        <f>IFERROR(__xludf.DUMMYFUNCTION("""COMPUTED_VALUE"""),"")</f>
        <v/>
      </c>
      <c r="B135" s="13" t="str">
        <f>IFERROR(__xludf.DUMMYFUNCTION("""COMPUTED_VALUE"""),"")</f>
        <v/>
      </c>
      <c r="C135" s="14" t="str">
        <f>IFERROR(__xludf.DUMMYFUNCTION("""COMPUTED_VALUE"""),"")</f>
        <v/>
      </c>
      <c r="D135" s="15" t="str">
        <f>IFERROR(__xludf.DUMMYFUNCTION("""COMPUTED_VALUE"""),"")</f>
        <v/>
      </c>
      <c r="E135" s="15" t="str">
        <f>IFERROR(__xludf.DUMMYFUNCTION("""COMPUTED_VALUE"""),"")</f>
        <v/>
      </c>
      <c r="F135" s="15" t="str">
        <f>IFERROR(__xludf.DUMMYFUNCTION("""COMPUTED_VALUE"""),"")</f>
        <v/>
      </c>
      <c r="G135" s="17" t="str">
        <f>IFERROR(__xludf.DUMMYFUNCTION("""COMPUTED_VALUE"""),"")</f>
        <v/>
      </c>
      <c r="H135" s="4"/>
      <c r="I135" s="5"/>
      <c r="J135" s="5"/>
      <c r="K135" s="5"/>
      <c r="L135" s="5"/>
      <c r="M135" s="5"/>
      <c r="N135" s="5"/>
      <c r="O135" s="5"/>
    </row>
    <row r="136">
      <c r="A136" s="18" t="str">
        <f>IFERROR(__xludf.DUMMYFUNCTION("""COMPUTED_VALUE"""),"")</f>
        <v/>
      </c>
      <c r="B136" s="19" t="str">
        <f>IFERROR(__xludf.DUMMYFUNCTION("""COMPUTED_VALUE"""),"")</f>
        <v/>
      </c>
      <c r="C136" s="20" t="str">
        <f>IFERROR(__xludf.DUMMYFUNCTION("""COMPUTED_VALUE"""),"")</f>
        <v/>
      </c>
      <c r="D136" s="21" t="str">
        <f>IFERROR(__xludf.DUMMYFUNCTION("""COMPUTED_VALUE"""),"")</f>
        <v/>
      </c>
      <c r="E136" s="21" t="str">
        <f>IFERROR(__xludf.DUMMYFUNCTION("""COMPUTED_VALUE"""),"")</f>
        <v/>
      </c>
      <c r="F136" s="21" t="str">
        <f>IFERROR(__xludf.DUMMYFUNCTION("""COMPUTED_VALUE"""),"")</f>
        <v/>
      </c>
      <c r="G136" s="23" t="str">
        <f>IFERROR(__xludf.DUMMYFUNCTION("""COMPUTED_VALUE"""),"")</f>
        <v/>
      </c>
      <c r="H136" s="4"/>
      <c r="I136" s="5"/>
      <c r="J136" s="5"/>
      <c r="K136" s="5"/>
      <c r="L136" s="5"/>
      <c r="M136" s="5"/>
      <c r="N136" s="5"/>
      <c r="O136" s="5"/>
    </row>
    <row r="137">
      <c r="A137" s="12" t="str">
        <f>IFERROR(__xludf.DUMMYFUNCTION("""COMPUTED_VALUE"""),"")</f>
        <v/>
      </c>
      <c r="B137" s="13" t="str">
        <f>IFERROR(__xludf.DUMMYFUNCTION("""COMPUTED_VALUE"""),"")</f>
        <v/>
      </c>
      <c r="C137" s="14" t="str">
        <f>IFERROR(__xludf.DUMMYFUNCTION("""COMPUTED_VALUE"""),"")</f>
        <v/>
      </c>
      <c r="D137" s="15" t="str">
        <f>IFERROR(__xludf.DUMMYFUNCTION("""COMPUTED_VALUE"""),"")</f>
        <v/>
      </c>
      <c r="E137" s="15" t="str">
        <f>IFERROR(__xludf.DUMMYFUNCTION("""COMPUTED_VALUE"""),"")</f>
        <v/>
      </c>
      <c r="F137" s="15" t="str">
        <f>IFERROR(__xludf.DUMMYFUNCTION("""COMPUTED_VALUE"""),"")</f>
        <v/>
      </c>
      <c r="G137" s="17" t="str">
        <f>IFERROR(__xludf.DUMMYFUNCTION("""COMPUTED_VALUE"""),"")</f>
        <v/>
      </c>
      <c r="H137" s="4"/>
      <c r="I137" s="5"/>
      <c r="J137" s="5"/>
      <c r="K137" s="5"/>
      <c r="L137" s="5"/>
      <c r="M137" s="5"/>
      <c r="N137" s="5"/>
      <c r="O137" s="5"/>
    </row>
    <row r="138">
      <c r="A138" s="18" t="str">
        <f>IFERROR(__xludf.DUMMYFUNCTION("""COMPUTED_VALUE"""),"")</f>
        <v/>
      </c>
      <c r="B138" s="19" t="str">
        <f>IFERROR(__xludf.DUMMYFUNCTION("""COMPUTED_VALUE"""),"")</f>
        <v/>
      </c>
      <c r="C138" s="20" t="str">
        <f>IFERROR(__xludf.DUMMYFUNCTION("""COMPUTED_VALUE"""),"")</f>
        <v/>
      </c>
      <c r="D138" s="21" t="str">
        <f>IFERROR(__xludf.DUMMYFUNCTION("""COMPUTED_VALUE"""),"")</f>
        <v/>
      </c>
      <c r="E138" s="21" t="str">
        <f>IFERROR(__xludf.DUMMYFUNCTION("""COMPUTED_VALUE"""),"")</f>
        <v/>
      </c>
      <c r="F138" s="21" t="str">
        <f>IFERROR(__xludf.DUMMYFUNCTION("""COMPUTED_VALUE"""),"")</f>
        <v/>
      </c>
      <c r="G138" s="23" t="str">
        <f>IFERROR(__xludf.DUMMYFUNCTION("""COMPUTED_VALUE"""),"")</f>
        <v/>
      </c>
      <c r="H138" s="4"/>
      <c r="I138" s="5"/>
      <c r="J138" s="5"/>
      <c r="K138" s="5"/>
      <c r="L138" s="5"/>
      <c r="M138" s="5"/>
      <c r="N138" s="5"/>
      <c r="O138" s="5"/>
    </row>
    <row r="139">
      <c r="A139" s="12" t="str">
        <f>IFERROR(__xludf.DUMMYFUNCTION("""COMPUTED_VALUE"""),"")</f>
        <v/>
      </c>
      <c r="B139" s="13" t="str">
        <f>IFERROR(__xludf.DUMMYFUNCTION("""COMPUTED_VALUE"""),"")</f>
        <v/>
      </c>
      <c r="C139" s="14" t="str">
        <f>IFERROR(__xludf.DUMMYFUNCTION("""COMPUTED_VALUE"""),"")</f>
        <v/>
      </c>
      <c r="D139" s="15" t="str">
        <f>IFERROR(__xludf.DUMMYFUNCTION("""COMPUTED_VALUE"""),"")</f>
        <v/>
      </c>
      <c r="E139" s="15" t="str">
        <f>IFERROR(__xludf.DUMMYFUNCTION("""COMPUTED_VALUE"""),"")</f>
        <v/>
      </c>
      <c r="F139" s="15" t="str">
        <f>IFERROR(__xludf.DUMMYFUNCTION("""COMPUTED_VALUE"""),"")</f>
        <v/>
      </c>
      <c r="G139" s="17" t="str">
        <f>IFERROR(__xludf.DUMMYFUNCTION("""COMPUTED_VALUE"""),"")</f>
        <v/>
      </c>
      <c r="H139" s="4"/>
      <c r="I139" s="5"/>
      <c r="J139" s="5"/>
      <c r="K139" s="5"/>
      <c r="L139" s="5"/>
      <c r="M139" s="5"/>
      <c r="N139" s="5"/>
      <c r="O139" s="5"/>
    </row>
    <row r="140">
      <c r="A140" s="18" t="str">
        <f>IFERROR(__xludf.DUMMYFUNCTION("""COMPUTED_VALUE"""),"")</f>
        <v/>
      </c>
      <c r="B140" s="19" t="str">
        <f>IFERROR(__xludf.DUMMYFUNCTION("""COMPUTED_VALUE"""),"")</f>
        <v/>
      </c>
      <c r="C140" s="20" t="str">
        <f>IFERROR(__xludf.DUMMYFUNCTION("""COMPUTED_VALUE"""),"")</f>
        <v/>
      </c>
      <c r="D140" s="21" t="str">
        <f>IFERROR(__xludf.DUMMYFUNCTION("""COMPUTED_VALUE"""),"")</f>
        <v/>
      </c>
      <c r="E140" s="21" t="str">
        <f>IFERROR(__xludf.DUMMYFUNCTION("""COMPUTED_VALUE"""),"")</f>
        <v/>
      </c>
      <c r="F140" s="21" t="str">
        <f>IFERROR(__xludf.DUMMYFUNCTION("""COMPUTED_VALUE"""),"")</f>
        <v/>
      </c>
      <c r="G140" s="23" t="str">
        <f>IFERROR(__xludf.DUMMYFUNCTION("""COMPUTED_VALUE"""),"")</f>
        <v/>
      </c>
      <c r="H140" s="4"/>
      <c r="I140" s="5"/>
      <c r="J140" s="5"/>
      <c r="K140" s="5"/>
      <c r="L140" s="5"/>
      <c r="M140" s="5"/>
      <c r="N140" s="5"/>
      <c r="O140" s="5"/>
    </row>
    <row r="141">
      <c r="A141" s="12" t="str">
        <f>IFERROR(__xludf.DUMMYFUNCTION("""COMPUTED_VALUE"""),"")</f>
        <v/>
      </c>
      <c r="B141" s="13" t="str">
        <f>IFERROR(__xludf.DUMMYFUNCTION("""COMPUTED_VALUE"""),"")</f>
        <v/>
      </c>
      <c r="C141" s="14" t="str">
        <f>IFERROR(__xludf.DUMMYFUNCTION("""COMPUTED_VALUE"""),"")</f>
        <v/>
      </c>
      <c r="D141" s="15" t="str">
        <f>IFERROR(__xludf.DUMMYFUNCTION("""COMPUTED_VALUE"""),"")</f>
        <v/>
      </c>
      <c r="E141" s="15" t="str">
        <f>IFERROR(__xludf.DUMMYFUNCTION("""COMPUTED_VALUE"""),"")</f>
        <v/>
      </c>
      <c r="F141" s="15" t="str">
        <f>IFERROR(__xludf.DUMMYFUNCTION("""COMPUTED_VALUE"""),"")</f>
        <v/>
      </c>
      <c r="G141" s="17" t="str">
        <f>IFERROR(__xludf.DUMMYFUNCTION("""COMPUTED_VALUE"""),"")</f>
        <v/>
      </c>
      <c r="H141" s="4"/>
      <c r="I141" s="5"/>
      <c r="J141" s="5"/>
      <c r="K141" s="5"/>
      <c r="L141" s="5"/>
      <c r="M141" s="5"/>
      <c r="N141" s="5"/>
      <c r="O141" s="5"/>
    </row>
    <row r="142">
      <c r="A142" s="18" t="str">
        <f>IFERROR(__xludf.DUMMYFUNCTION("""COMPUTED_VALUE"""),"")</f>
        <v/>
      </c>
      <c r="B142" s="19" t="str">
        <f>IFERROR(__xludf.DUMMYFUNCTION("""COMPUTED_VALUE"""),"")</f>
        <v/>
      </c>
      <c r="C142" s="20" t="str">
        <f>IFERROR(__xludf.DUMMYFUNCTION("""COMPUTED_VALUE"""),"")</f>
        <v/>
      </c>
      <c r="D142" s="21" t="str">
        <f>IFERROR(__xludf.DUMMYFUNCTION("""COMPUTED_VALUE"""),"")</f>
        <v/>
      </c>
      <c r="E142" s="21" t="str">
        <f>IFERROR(__xludf.DUMMYFUNCTION("""COMPUTED_VALUE"""),"")</f>
        <v/>
      </c>
      <c r="F142" s="21" t="str">
        <f>IFERROR(__xludf.DUMMYFUNCTION("""COMPUTED_VALUE"""),"")</f>
        <v/>
      </c>
      <c r="G142" s="23" t="str">
        <f>IFERROR(__xludf.DUMMYFUNCTION("""COMPUTED_VALUE"""),"")</f>
        <v/>
      </c>
      <c r="H142" s="4"/>
      <c r="I142" s="5"/>
      <c r="J142" s="5"/>
      <c r="K142" s="5"/>
      <c r="L142" s="5"/>
      <c r="M142" s="5"/>
      <c r="N142" s="5"/>
      <c r="O142" s="5"/>
    </row>
    <row r="143">
      <c r="A143" s="12" t="str">
        <f>IFERROR(__xludf.DUMMYFUNCTION("""COMPUTED_VALUE"""),"")</f>
        <v/>
      </c>
      <c r="B143" s="13" t="str">
        <f>IFERROR(__xludf.DUMMYFUNCTION("""COMPUTED_VALUE"""),"")</f>
        <v/>
      </c>
      <c r="C143" s="14" t="str">
        <f>IFERROR(__xludf.DUMMYFUNCTION("""COMPUTED_VALUE"""),"")</f>
        <v/>
      </c>
      <c r="D143" s="15" t="str">
        <f>IFERROR(__xludf.DUMMYFUNCTION("""COMPUTED_VALUE"""),"")</f>
        <v/>
      </c>
      <c r="E143" s="15" t="str">
        <f>IFERROR(__xludf.DUMMYFUNCTION("""COMPUTED_VALUE"""),"")</f>
        <v/>
      </c>
      <c r="F143" s="15" t="str">
        <f>IFERROR(__xludf.DUMMYFUNCTION("""COMPUTED_VALUE"""),"")</f>
        <v/>
      </c>
      <c r="G143" s="17" t="str">
        <f>IFERROR(__xludf.DUMMYFUNCTION("""COMPUTED_VALUE"""),"")</f>
        <v/>
      </c>
      <c r="H143" s="4"/>
      <c r="I143" s="5"/>
      <c r="J143" s="5"/>
      <c r="K143" s="5"/>
      <c r="L143" s="5"/>
      <c r="M143" s="5"/>
      <c r="N143" s="5"/>
      <c r="O143" s="5"/>
    </row>
    <row r="144">
      <c r="A144" s="18" t="str">
        <f>IFERROR(__xludf.DUMMYFUNCTION("""COMPUTED_VALUE"""),"")</f>
        <v/>
      </c>
      <c r="B144" s="19" t="str">
        <f>IFERROR(__xludf.DUMMYFUNCTION("""COMPUTED_VALUE"""),"")</f>
        <v/>
      </c>
      <c r="C144" s="20" t="str">
        <f>IFERROR(__xludf.DUMMYFUNCTION("""COMPUTED_VALUE"""),"")</f>
        <v/>
      </c>
      <c r="D144" s="21" t="str">
        <f>IFERROR(__xludf.DUMMYFUNCTION("""COMPUTED_VALUE"""),"")</f>
        <v/>
      </c>
      <c r="E144" s="21" t="str">
        <f>IFERROR(__xludf.DUMMYFUNCTION("""COMPUTED_VALUE"""),"")</f>
        <v/>
      </c>
      <c r="F144" s="21" t="str">
        <f>IFERROR(__xludf.DUMMYFUNCTION("""COMPUTED_VALUE"""),"")</f>
        <v/>
      </c>
      <c r="G144" s="23" t="str">
        <f>IFERROR(__xludf.DUMMYFUNCTION("""COMPUTED_VALUE"""),"")</f>
        <v/>
      </c>
      <c r="H144" s="4"/>
      <c r="I144" s="5"/>
      <c r="J144" s="5"/>
      <c r="K144" s="5"/>
      <c r="L144" s="5"/>
      <c r="M144" s="5"/>
      <c r="N144" s="5"/>
      <c r="O144" s="5"/>
    </row>
    <row r="145">
      <c r="A145" s="12" t="str">
        <f>IFERROR(__xludf.DUMMYFUNCTION("""COMPUTED_VALUE"""),"")</f>
        <v/>
      </c>
      <c r="B145" s="13" t="str">
        <f>IFERROR(__xludf.DUMMYFUNCTION("""COMPUTED_VALUE"""),"")</f>
        <v/>
      </c>
      <c r="C145" s="14" t="str">
        <f>IFERROR(__xludf.DUMMYFUNCTION("""COMPUTED_VALUE"""),"")</f>
        <v/>
      </c>
      <c r="D145" s="15" t="str">
        <f>IFERROR(__xludf.DUMMYFUNCTION("""COMPUTED_VALUE"""),"")</f>
        <v/>
      </c>
      <c r="E145" s="15" t="str">
        <f>IFERROR(__xludf.DUMMYFUNCTION("""COMPUTED_VALUE"""),"")</f>
        <v/>
      </c>
      <c r="F145" s="15" t="str">
        <f>IFERROR(__xludf.DUMMYFUNCTION("""COMPUTED_VALUE"""),"")</f>
        <v/>
      </c>
      <c r="G145" s="17" t="str">
        <f>IFERROR(__xludf.DUMMYFUNCTION("""COMPUTED_VALUE"""),"")</f>
        <v/>
      </c>
      <c r="H145" s="4"/>
      <c r="I145" s="5"/>
      <c r="J145" s="5"/>
      <c r="K145" s="5"/>
      <c r="L145" s="5"/>
      <c r="M145" s="5"/>
      <c r="N145" s="5"/>
      <c r="O145" s="5"/>
    </row>
    <row r="146">
      <c r="A146" s="18" t="str">
        <f>IFERROR(__xludf.DUMMYFUNCTION("""COMPUTED_VALUE"""),"")</f>
        <v/>
      </c>
      <c r="B146" s="19" t="str">
        <f>IFERROR(__xludf.DUMMYFUNCTION("""COMPUTED_VALUE"""),"")</f>
        <v/>
      </c>
      <c r="C146" s="20" t="str">
        <f>IFERROR(__xludf.DUMMYFUNCTION("""COMPUTED_VALUE"""),"")</f>
        <v/>
      </c>
      <c r="D146" s="21" t="str">
        <f>IFERROR(__xludf.DUMMYFUNCTION("""COMPUTED_VALUE"""),"")</f>
        <v/>
      </c>
      <c r="E146" s="21" t="str">
        <f>IFERROR(__xludf.DUMMYFUNCTION("""COMPUTED_VALUE"""),"")</f>
        <v/>
      </c>
      <c r="F146" s="21" t="str">
        <f>IFERROR(__xludf.DUMMYFUNCTION("""COMPUTED_VALUE"""),"")</f>
        <v/>
      </c>
      <c r="G146" s="23" t="str">
        <f>IFERROR(__xludf.DUMMYFUNCTION("""COMPUTED_VALUE"""),"")</f>
        <v/>
      </c>
      <c r="H146" s="4"/>
      <c r="I146" s="5"/>
      <c r="J146" s="5"/>
      <c r="K146" s="5"/>
      <c r="L146" s="5"/>
      <c r="M146" s="5"/>
      <c r="N146" s="5"/>
      <c r="O146" s="5"/>
    </row>
    <row r="147">
      <c r="A147" s="12" t="str">
        <f>IFERROR(__xludf.DUMMYFUNCTION("""COMPUTED_VALUE"""),"")</f>
        <v/>
      </c>
      <c r="B147" s="13" t="str">
        <f>IFERROR(__xludf.DUMMYFUNCTION("""COMPUTED_VALUE"""),"")</f>
        <v/>
      </c>
      <c r="C147" s="14" t="str">
        <f>IFERROR(__xludf.DUMMYFUNCTION("""COMPUTED_VALUE"""),"")</f>
        <v/>
      </c>
      <c r="D147" s="15" t="str">
        <f>IFERROR(__xludf.DUMMYFUNCTION("""COMPUTED_VALUE"""),"")</f>
        <v/>
      </c>
      <c r="E147" s="15" t="str">
        <f>IFERROR(__xludf.DUMMYFUNCTION("""COMPUTED_VALUE"""),"")</f>
        <v/>
      </c>
      <c r="F147" s="15" t="str">
        <f>IFERROR(__xludf.DUMMYFUNCTION("""COMPUTED_VALUE"""),"")</f>
        <v/>
      </c>
      <c r="G147" s="17" t="str">
        <f>IFERROR(__xludf.DUMMYFUNCTION("""COMPUTED_VALUE"""),"")</f>
        <v/>
      </c>
      <c r="H147" s="4"/>
      <c r="I147" s="5"/>
      <c r="J147" s="5"/>
      <c r="K147" s="5"/>
      <c r="L147" s="5"/>
      <c r="M147" s="5"/>
      <c r="N147" s="5"/>
      <c r="O147" s="5"/>
    </row>
    <row r="148">
      <c r="A148" s="18" t="str">
        <f>IFERROR(__xludf.DUMMYFUNCTION("""COMPUTED_VALUE"""),"")</f>
        <v/>
      </c>
      <c r="B148" s="19" t="str">
        <f>IFERROR(__xludf.DUMMYFUNCTION("""COMPUTED_VALUE"""),"")</f>
        <v/>
      </c>
      <c r="C148" s="20" t="str">
        <f>IFERROR(__xludf.DUMMYFUNCTION("""COMPUTED_VALUE"""),"")</f>
        <v/>
      </c>
      <c r="D148" s="21" t="str">
        <f>IFERROR(__xludf.DUMMYFUNCTION("""COMPUTED_VALUE"""),"")</f>
        <v/>
      </c>
      <c r="E148" s="21" t="str">
        <f>IFERROR(__xludf.DUMMYFUNCTION("""COMPUTED_VALUE"""),"")</f>
        <v/>
      </c>
      <c r="F148" s="21" t="str">
        <f>IFERROR(__xludf.DUMMYFUNCTION("""COMPUTED_VALUE"""),"")</f>
        <v/>
      </c>
      <c r="G148" s="23" t="str">
        <f>IFERROR(__xludf.DUMMYFUNCTION("""COMPUTED_VALUE"""),"")</f>
        <v/>
      </c>
      <c r="H148" s="4"/>
      <c r="I148" s="5"/>
      <c r="J148" s="5"/>
      <c r="K148" s="5"/>
      <c r="L148" s="5"/>
      <c r="M148" s="5"/>
      <c r="N148" s="5"/>
      <c r="O148" s="5"/>
    </row>
    <row r="149">
      <c r="A149" s="12" t="str">
        <f>IFERROR(__xludf.DUMMYFUNCTION("""COMPUTED_VALUE"""),"")</f>
        <v/>
      </c>
      <c r="B149" s="13" t="str">
        <f>IFERROR(__xludf.DUMMYFUNCTION("""COMPUTED_VALUE"""),"")</f>
        <v/>
      </c>
      <c r="C149" s="14" t="str">
        <f>IFERROR(__xludf.DUMMYFUNCTION("""COMPUTED_VALUE"""),"")</f>
        <v/>
      </c>
      <c r="D149" s="15" t="str">
        <f>IFERROR(__xludf.DUMMYFUNCTION("""COMPUTED_VALUE"""),"")</f>
        <v/>
      </c>
      <c r="E149" s="15" t="str">
        <f>IFERROR(__xludf.DUMMYFUNCTION("""COMPUTED_VALUE"""),"")</f>
        <v/>
      </c>
      <c r="F149" s="15" t="str">
        <f>IFERROR(__xludf.DUMMYFUNCTION("""COMPUTED_VALUE"""),"")</f>
        <v/>
      </c>
      <c r="G149" s="17" t="str">
        <f>IFERROR(__xludf.DUMMYFUNCTION("""COMPUTED_VALUE"""),"")</f>
        <v/>
      </c>
      <c r="H149" s="4"/>
      <c r="I149" s="5"/>
      <c r="J149" s="5"/>
      <c r="K149" s="24"/>
      <c r="L149" s="5"/>
      <c r="M149" s="5"/>
      <c r="N149" s="5"/>
      <c r="O149" s="5"/>
    </row>
    <row r="150">
      <c r="A150" s="18" t="str">
        <f>IFERROR(__xludf.DUMMYFUNCTION("""COMPUTED_VALUE"""),"")</f>
        <v/>
      </c>
      <c r="B150" s="19" t="str">
        <f>IFERROR(__xludf.DUMMYFUNCTION("""COMPUTED_VALUE"""),"")</f>
        <v/>
      </c>
      <c r="C150" s="20" t="str">
        <f>IFERROR(__xludf.DUMMYFUNCTION("""COMPUTED_VALUE"""),"")</f>
        <v/>
      </c>
      <c r="D150" s="21" t="str">
        <f>IFERROR(__xludf.DUMMYFUNCTION("""COMPUTED_VALUE"""),"")</f>
        <v/>
      </c>
      <c r="E150" s="21" t="str">
        <f>IFERROR(__xludf.DUMMYFUNCTION("""COMPUTED_VALUE"""),"")</f>
        <v/>
      </c>
      <c r="F150" s="21" t="str">
        <f>IFERROR(__xludf.DUMMYFUNCTION("""COMPUTED_VALUE"""),"")</f>
        <v/>
      </c>
      <c r="G150" s="23" t="str">
        <f>IFERROR(__xludf.DUMMYFUNCTION("""COMPUTED_VALUE"""),"")</f>
        <v/>
      </c>
      <c r="H150" s="4"/>
      <c r="I150" s="5"/>
      <c r="J150" s="5"/>
      <c r="K150" s="5"/>
      <c r="L150" s="5"/>
      <c r="M150" s="5"/>
      <c r="N150" s="5"/>
      <c r="O150" s="5"/>
    </row>
    <row r="151">
      <c r="A151" s="12" t="str">
        <f>IFERROR(__xludf.DUMMYFUNCTION("""COMPUTED_VALUE"""),"")</f>
        <v/>
      </c>
      <c r="B151" s="13" t="str">
        <f>IFERROR(__xludf.DUMMYFUNCTION("""COMPUTED_VALUE"""),"")</f>
        <v/>
      </c>
      <c r="C151" s="14" t="str">
        <f>IFERROR(__xludf.DUMMYFUNCTION("""COMPUTED_VALUE"""),"")</f>
        <v/>
      </c>
      <c r="D151" s="15" t="str">
        <f>IFERROR(__xludf.DUMMYFUNCTION("""COMPUTED_VALUE"""),"")</f>
        <v/>
      </c>
      <c r="E151" s="15" t="str">
        <f>IFERROR(__xludf.DUMMYFUNCTION("""COMPUTED_VALUE"""),"")</f>
        <v/>
      </c>
      <c r="F151" s="15" t="str">
        <f>IFERROR(__xludf.DUMMYFUNCTION("""COMPUTED_VALUE"""),"")</f>
        <v/>
      </c>
      <c r="G151" s="17" t="str">
        <f>IFERROR(__xludf.DUMMYFUNCTION("""COMPUTED_VALUE"""),"")</f>
        <v/>
      </c>
      <c r="H151" s="4"/>
      <c r="I151" s="5"/>
      <c r="J151" s="5"/>
      <c r="K151" s="5"/>
      <c r="L151" s="5"/>
      <c r="M151" s="5"/>
      <c r="N151" s="5"/>
      <c r="O151" s="5"/>
    </row>
    <row r="152">
      <c r="A152" s="18" t="str">
        <f>IFERROR(__xludf.DUMMYFUNCTION("""COMPUTED_VALUE"""),"")</f>
        <v/>
      </c>
      <c r="B152" s="19" t="str">
        <f>IFERROR(__xludf.DUMMYFUNCTION("""COMPUTED_VALUE"""),"")</f>
        <v/>
      </c>
      <c r="C152" s="20" t="str">
        <f>IFERROR(__xludf.DUMMYFUNCTION("""COMPUTED_VALUE"""),"")</f>
        <v/>
      </c>
      <c r="D152" s="21" t="str">
        <f>IFERROR(__xludf.DUMMYFUNCTION("""COMPUTED_VALUE"""),"")</f>
        <v/>
      </c>
      <c r="E152" s="21" t="str">
        <f>IFERROR(__xludf.DUMMYFUNCTION("""COMPUTED_VALUE"""),"")</f>
        <v/>
      </c>
      <c r="F152" s="21" t="str">
        <f>IFERROR(__xludf.DUMMYFUNCTION("""COMPUTED_VALUE"""),"")</f>
        <v/>
      </c>
      <c r="G152" s="23" t="str">
        <f>IFERROR(__xludf.DUMMYFUNCTION("""COMPUTED_VALUE"""),"")</f>
        <v/>
      </c>
      <c r="H152" s="4"/>
      <c r="I152" s="5"/>
      <c r="J152" s="5"/>
      <c r="K152" s="5"/>
      <c r="L152" s="5"/>
      <c r="M152" s="5"/>
      <c r="N152" s="5"/>
      <c r="O152" s="5"/>
    </row>
    <row r="153">
      <c r="A153" s="12" t="str">
        <f>IFERROR(__xludf.DUMMYFUNCTION("""COMPUTED_VALUE"""),"")</f>
        <v/>
      </c>
      <c r="B153" s="13" t="str">
        <f>IFERROR(__xludf.DUMMYFUNCTION("""COMPUTED_VALUE"""),"")</f>
        <v/>
      </c>
      <c r="C153" s="14" t="str">
        <f>IFERROR(__xludf.DUMMYFUNCTION("""COMPUTED_VALUE"""),"")</f>
        <v/>
      </c>
      <c r="D153" s="15" t="str">
        <f>IFERROR(__xludf.DUMMYFUNCTION("""COMPUTED_VALUE"""),"")</f>
        <v/>
      </c>
      <c r="E153" s="15" t="str">
        <f>IFERROR(__xludf.DUMMYFUNCTION("""COMPUTED_VALUE"""),"")</f>
        <v/>
      </c>
      <c r="F153" s="15" t="str">
        <f>IFERROR(__xludf.DUMMYFUNCTION("""COMPUTED_VALUE"""),"")</f>
        <v/>
      </c>
      <c r="G153" s="17" t="str">
        <f>IFERROR(__xludf.DUMMYFUNCTION("""COMPUTED_VALUE"""),"")</f>
        <v/>
      </c>
      <c r="H153" s="4"/>
      <c r="I153" s="5"/>
      <c r="J153" s="5"/>
      <c r="K153" s="5"/>
      <c r="L153" s="5"/>
      <c r="M153" s="5"/>
      <c r="N153" s="5"/>
      <c r="O153" s="5"/>
    </row>
    <row r="154">
      <c r="A154" s="18" t="str">
        <f>IFERROR(__xludf.DUMMYFUNCTION("""COMPUTED_VALUE"""),"")</f>
        <v/>
      </c>
      <c r="B154" s="19" t="str">
        <f>IFERROR(__xludf.DUMMYFUNCTION("""COMPUTED_VALUE"""),"")</f>
        <v/>
      </c>
      <c r="C154" s="20" t="str">
        <f>IFERROR(__xludf.DUMMYFUNCTION("""COMPUTED_VALUE"""),"")</f>
        <v/>
      </c>
      <c r="D154" s="21" t="str">
        <f>IFERROR(__xludf.DUMMYFUNCTION("""COMPUTED_VALUE"""),"")</f>
        <v/>
      </c>
      <c r="E154" s="21" t="str">
        <f>IFERROR(__xludf.DUMMYFUNCTION("""COMPUTED_VALUE"""),"")</f>
        <v/>
      </c>
      <c r="F154" s="21" t="str">
        <f>IFERROR(__xludf.DUMMYFUNCTION("""COMPUTED_VALUE"""),"")</f>
        <v/>
      </c>
      <c r="G154" s="23" t="str">
        <f>IFERROR(__xludf.DUMMYFUNCTION("""COMPUTED_VALUE"""),"")</f>
        <v/>
      </c>
      <c r="H154" s="4"/>
      <c r="I154" s="5"/>
      <c r="J154" s="5"/>
      <c r="K154" s="5"/>
      <c r="L154" s="5"/>
      <c r="M154" s="5"/>
      <c r="N154" s="5"/>
      <c r="O154" s="5"/>
    </row>
    <row r="155">
      <c r="A155" s="12" t="str">
        <f>IFERROR(__xludf.DUMMYFUNCTION("""COMPUTED_VALUE"""),"")</f>
        <v/>
      </c>
      <c r="B155" s="13" t="str">
        <f>IFERROR(__xludf.DUMMYFUNCTION("""COMPUTED_VALUE"""),"")</f>
        <v/>
      </c>
      <c r="C155" s="14" t="str">
        <f>IFERROR(__xludf.DUMMYFUNCTION("""COMPUTED_VALUE"""),"")</f>
        <v/>
      </c>
      <c r="D155" s="15" t="str">
        <f>IFERROR(__xludf.DUMMYFUNCTION("""COMPUTED_VALUE"""),"")</f>
        <v/>
      </c>
      <c r="E155" s="15" t="str">
        <f>IFERROR(__xludf.DUMMYFUNCTION("""COMPUTED_VALUE"""),"")</f>
        <v/>
      </c>
      <c r="F155" s="15" t="str">
        <f>IFERROR(__xludf.DUMMYFUNCTION("""COMPUTED_VALUE"""),"")</f>
        <v/>
      </c>
      <c r="G155" s="17" t="str">
        <f>IFERROR(__xludf.DUMMYFUNCTION("""COMPUTED_VALUE"""),"")</f>
        <v/>
      </c>
      <c r="H155" s="4"/>
      <c r="I155" s="5"/>
      <c r="J155" s="5"/>
      <c r="K155" s="5"/>
      <c r="L155" s="5"/>
      <c r="M155" s="5"/>
      <c r="N155" s="5"/>
      <c r="O155" s="5"/>
    </row>
    <row r="156">
      <c r="A156" s="18" t="str">
        <f>IFERROR(__xludf.DUMMYFUNCTION("""COMPUTED_VALUE"""),"")</f>
        <v/>
      </c>
      <c r="B156" s="19" t="str">
        <f>IFERROR(__xludf.DUMMYFUNCTION("""COMPUTED_VALUE"""),"")</f>
        <v/>
      </c>
      <c r="C156" s="20" t="str">
        <f>IFERROR(__xludf.DUMMYFUNCTION("""COMPUTED_VALUE"""),"")</f>
        <v/>
      </c>
      <c r="D156" s="21" t="str">
        <f>IFERROR(__xludf.DUMMYFUNCTION("""COMPUTED_VALUE"""),"")</f>
        <v/>
      </c>
      <c r="E156" s="21" t="str">
        <f>IFERROR(__xludf.DUMMYFUNCTION("""COMPUTED_VALUE"""),"")</f>
        <v/>
      </c>
      <c r="F156" s="21" t="str">
        <f>IFERROR(__xludf.DUMMYFUNCTION("""COMPUTED_VALUE"""),"")</f>
        <v/>
      </c>
      <c r="G156" s="23" t="str">
        <f>IFERROR(__xludf.DUMMYFUNCTION("""COMPUTED_VALUE"""),"")</f>
        <v/>
      </c>
      <c r="H156" s="4"/>
      <c r="I156" s="5"/>
      <c r="J156" s="5"/>
      <c r="K156" s="5"/>
      <c r="L156" s="5"/>
      <c r="M156" s="5"/>
      <c r="N156" s="5"/>
      <c r="O156" s="5"/>
    </row>
    <row r="157">
      <c r="A157" s="12" t="str">
        <f>IFERROR(__xludf.DUMMYFUNCTION("""COMPUTED_VALUE"""),"")</f>
        <v/>
      </c>
      <c r="B157" s="13" t="str">
        <f>IFERROR(__xludf.DUMMYFUNCTION("""COMPUTED_VALUE"""),"")</f>
        <v/>
      </c>
      <c r="C157" s="14" t="str">
        <f>IFERROR(__xludf.DUMMYFUNCTION("""COMPUTED_VALUE"""),"")</f>
        <v/>
      </c>
      <c r="D157" s="15" t="str">
        <f>IFERROR(__xludf.DUMMYFUNCTION("""COMPUTED_VALUE"""),"")</f>
        <v/>
      </c>
      <c r="E157" s="15" t="str">
        <f>IFERROR(__xludf.DUMMYFUNCTION("""COMPUTED_VALUE"""),"")</f>
        <v/>
      </c>
      <c r="F157" s="15" t="str">
        <f>IFERROR(__xludf.DUMMYFUNCTION("""COMPUTED_VALUE"""),"")</f>
        <v/>
      </c>
      <c r="G157" s="17" t="str">
        <f>IFERROR(__xludf.DUMMYFUNCTION("""COMPUTED_VALUE"""),"")</f>
        <v/>
      </c>
      <c r="H157" s="4"/>
      <c r="I157" s="5"/>
      <c r="J157" s="5"/>
      <c r="K157" s="5"/>
      <c r="L157" s="5"/>
      <c r="M157" s="5"/>
      <c r="N157" s="5"/>
      <c r="O157" s="5"/>
    </row>
    <row r="158">
      <c r="A158" s="18" t="str">
        <f>IFERROR(__xludf.DUMMYFUNCTION("""COMPUTED_VALUE"""),"")</f>
        <v/>
      </c>
      <c r="B158" s="19" t="str">
        <f>IFERROR(__xludf.DUMMYFUNCTION("""COMPUTED_VALUE"""),"")</f>
        <v/>
      </c>
      <c r="C158" s="20" t="str">
        <f>IFERROR(__xludf.DUMMYFUNCTION("""COMPUTED_VALUE"""),"")</f>
        <v/>
      </c>
      <c r="D158" s="21" t="str">
        <f>IFERROR(__xludf.DUMMYFUNCTION("""COMPUTED_VALUE"""),"")</f>
        <v/>
      </c>
      <c r="E158" s="21" t="str">
        <f>IFERROR(__xludf.DUMMYFUNCTION("""COMPUTED_VALUE"""),"")</f>
        <v/>
      </c>
      <c r="F158" s="21" t="str">
        <f>IFERROR(__xludf.DUMMYFUNCTION("""COMPUTED_VALUE"""),"")</f>
        <v/>
      </c>
      <c r="G158" s="23" t="str">
        <f>IFERROR(__xludf.DUMMYFUNCTION("""COMPUTED_VALUE"""),"")</f>
        <v/>
      </c>
      <c r="H158" s="4"/>
      <c r="I158" s="5"/>
      <c r="J158" s="5"/>
      <c r="K158" s="5"/>
      <c r="L158" s="5"/>
      <c r="M158" s="5"/>
      <c r="N158" s="5"/>
      <c r="O158" s="5"/>
    </row>
    <row r="159">
      <c r="A159" s="12" t="str">
        <f>IFERROR(__xludf.DUMMYFUNCTION("""COMPUTED_VALUE"""),"")</f>
        <v/>
      </c>
      <c r="B159" s="13" t="str">
        <f>IFERROR(__xludf.DUMMYFUNCTION("""COMPUTED_VALUE"""),"")</f>
        <v/>
      </c>
      <c r="C159" s="14" t="str">
        <f>IFERROR(__xludf.DUMMYFUNCTION("""COMPUTED_VALUE"""),"")</f>
        <v/>
      </c>
      <c r="D159" s="15" t="str">
        <f>IFERROR(__xludf.DUMMYFUNCTION("""COMPUTED_VALUE"""),"")</f>
        <v/>
      </c>
      <c r="E159" s="15" t="str">
        <f>IFERROR(__xludf.DUMMYFUNCTION("""COMPUTED_VALUE"""),"")</f>
        <v/>
      </c>
      <c r="F159" s="15" t="str">
        <f>IFERROR(__xludf.DUMMYFUNCTION("""COMPUTED_VALUE"""),"")</f>
        <v/>
      </c>
      <c r="G159" s="17" t="str">
        <f>IFERROR(__xludf.DUMMYFUNCTION("""COMPUTED_VALUE"""),"")</f>
        <v/>
      </c>
      <c r="H159" s="4"/>
      <c r="I159" s="5"/>
      <c r="J159" s="5"/>
      <c r="K159" s="5"/>
      <c r="L159" s="5"/>
      <c r="M159" s="5"/>
      <c r="N159" s="5"/>
      <c r="O159" s="5"/>
    </row>
    <row r="160">
      <c r="A160" s="18" t="str">
        <f>IFERROR(__xludf.DUMMYFUNCTION("""COMPUTED_VALUE"""),"")</f>
        <v/>
      </c>
      <c r="B160" s="19" t="str">
        <f>IFERROR(__xludf.DUMMYFUNCTION("""COMPUTED_VALUE"""),"")</f>
        <v/>
      </c>
      <c r="C160" s="20" t="str">
        <f>IFERROR(__xludf.DUMMYFUNCTION("""COMPUTED_VALUE"""),"")</f>
        <v/>
      </c>
      <c r="D160" s="21" t="str">
        <f>IFERROR(__xludf.DUMMYFUNCTION("""COMPUTED_VALUE"""),"")</f>
        <v/>
      </c>
      <c r="E160" s="21" t="str">
        <f>IFERROR(__xludf.DUMMYFUNCTION("""COMPUTED_VALUE"""),"")</f>
        <v/>
      </c>
      <c r="F160" s="21" t="str">
        <f>IFERROR(__xludf.DUMMYFUNCTION("""COMPUTED_VALUE"""),"")</f>
        <v/>
      </c>
      <c r="G160" s="23" t="str">
        <f>IFERROR(__xludf.DUMMYFUNCTION("""COMPUTED_VALUE"""),"")</f>
        <v/>
      </c>
      <c r="H160" s="4"/>
      <c r="I160" s="5"/>
      <c r="J160" s="5"/>
      <c r="K160" s="5"/>
      <c r="L160" s="5"/>
      <c r="M160" s="5"/>
      <c r="N160" s="5"/>
      <c r="O160" s="5"/>
    </row>
    <row r="161">
      <c r="A161" s="12" t="str">
        <f>IFERROR(__xludf.DUMMYFUNCTION("""COMPUTED_VALUE"""),"")</f>
        <v/>
      </c>
      <c r="B161" s="13" t="str">
        <f>IFERROR(__xludf.DUMMYFUNCTION("""COMPUTED_VALUE"""),"")</f>
        <v/>
      </c>
      <c r="C161" s="14" t="str">
        <f>IFERROR(__xludf.DUMMYFUNCTION("""COMPUTED_VALUE"""),"")</f>
        <v/>
      </c>
      <c r="D161" s="15" t="str">
        <f>IFERROR(__xludf.DUMMYFUNCTION("""COMPUTED_VALUE"""),"")</f>
        <v/>
      </c>
      <c r="E161" s="15" t="str">
        <f>IFERROR(__xludf.DUMMYFUNCTION("""COMPUTED_VALUE"""),"")</f>
        <v/>
      </c>
      <c r="F161" s="15" t="str">
        <f>IFERROR(__xludf.DUMMYFUNCTION("""COMPUTED_VALUE"""),"")</f>
        <v/>
      </c>
      <c r="G161" s="17" t="str">
        <f>IFERROR(__xludf.DUMMYFUNCTION("""COMPUTED_VALUE"""),"")</f>
        <v/>
      </c>
      <c r="H161" s="4"/>
      <c r="I161" s="5"/>
      <c r="J161" s="5"/>
      <c r="K161" s="24"/>
      <c r="L161" s="5"/>
      <c r="M161" s="5"/>
      <c r="N161" s="5"/>
      <c r="O161" s="5"/>
    </row>
    <row r="162">
      <c r="A162" s="18" t="str">
        <f>IFERROR(__xludf.DUMMYFUNCTION("""COMPUTED_VALUE"""),"")</f>
        <v/>
      </c>
      <c r="B162" s="19" t="str">
        <f>IFERROR(__xludf.DUMMYFUNCTION("""COMPUTED_VALUE"""),"")</f>
        <v/>
      </c>
      <c r="C162" s="20" t="str">
        <f>IFERROR(__xludf.DUMMYFUNCTION("""COMPUTED_VALUE"""),"")</f>
        <v/>
      </c>
      <c r="D162" s="21" t="str">
        <f>IFERROR(__xludf.DUMMYFUNCTION("""COMPUTED_VALUE"""),"")</f>
        <v/>
      </c>
      <c r="E162" s="21" t="str">
        <f>IFERROR(__xludf.DUMMYFUNCTION("""COMPUTED_VALUE"""),"")</f>
        <v/>
      </c>
      <c r="F162" s="21" t="str">
        <f>IFERROR(__xludf.DUMMYFUNCTION("""COMPUTED_VALUE"""),"")</f>
        <v/>
      </c>
      <c r="G162" s="23" t="str">
        <f>IFERROR(__xludf.DUMMYFUNCTION("""COMPUTED_VALUE"""),"")</f>
        <v/>
      </c>
      <c r="H162" s="4"/>
      <c r="I162" s="5"/>
      <c r="J162" s="5"/>
      <c r="K162" s="5"/>
      <c r="L162" s="5"/>
      <c r="M162" s="5"/>
      <c r="N162" s="5"/>
      <c r="O162" s="5"/>
    </row>
    <row r="163">
      <c r="A163" s="12" t="str">
        <f>IFERROR(__xludf.DUMMYFUNCTION("""COMPUTED_VALUE"""),"")</f>
        <v/>
      </c>
      <c r="B163" s="13" t="str">
        <f>IFERROR(__xludf.DUMMYFUNCTION("""COMPUTED_VALUE"""),"")</f>
        <v/>
      </c>
      <c r="C163" s="14" t="str">
        <f>IFERROR(__xludf.DUMMYFUNCTION("""COMPUTED_VALUE"""),"")</f>
        <v/>
      </c>
      <c r="D163" s="15" t="str">
        <f>IFERROR(__xludf.DUMMYFUNCTION("""COMPUTED_VALUE"""),"")</f>
        <v/>
      </c>
      <c r="E163" s="15" t="str">
        <f>IFERROR(__xludf.DUMMYFUNCTION("""COMPUTED_VALUE"""),"")</f>
        <v/>
      </c>
      <c r="F163" s="15" t="str">
        <f>IFERROR(__xludf.DUMMYFUNCTION("""COMPUTED_VALUE"""),"")</f>
        <v/>
      </c>
      <c r="G163" s="17" t="str">
        <f>IFERROR(__xludf.DUMMYFUNCTION("""COMPUTED_VALUE"""),"")</f>
        <v/>
      </c>
      <c r="H163" s="4"/>
      <c r="I163" s="5"/>
      <c r="J163" s="5"/>
      <c r="K163" s="5"/>
      <c r="L163" s="5"/>
      <c r="M163" s="5"/>
      <c r="N163" s="5"/>
      <c r="O163" s="5"/>
    </row>
    <row r="164">
      <c r="A164" s="18" t="str">
        <f>IFERROR(__xludf.DUMMYFUNCTION("""COMPUTED_VALUE"""),"")</f>
        <v/>
      </c>
      <c r="B164" s="19" t="str">
        <f>IFERROR(__xludf.DUMMYFUNCTION("""COMPUTED_VALUE"""),"")</f>
        <v/>
      </c>
      <c r="C164" s="20" t="str">
        <f>IFERROR(__xludf.DUMMYFUNCTION("""COMPUTED_VALUE"""),"")</f>
        <v/>
      </c>
      <c r="D164" s="21" t="str">
        <f>IFERROR(__xludf.DUMMYFUNCTION("""COMPUTED_VALUE"""),"")</f>
        <v/>
      </c>
      <c r="E164" s="21" t="str">
        <f>IFERROR(__xludf.DUMMYFUNCTION("""COMPUTED_VALUE"""),"")</f>
        <v/>
      </c>
      <c r="F164" s="21" t="str">
        <f>IFERROR(__xludf.DUMMYFUNCTION("""COMPUTED_VALUE"""),"")</f>
        <v/>
      </c>
      <c r="G164" s="23" t="str">
        <f>IFERROR(__xludf.DUMMYFUNCTION("""COMPUTED_VALUE"""),"")</f>
        <v/>
      </c>
      <c r="H164" s="4"/>
      <c r="I164" s="5"/>
      <c r="J164" s="5"/>
      <c r="K164" s="5"/>
      <c r="L164" s="5"/>
      <c r="M164" s="5"/>
      <c r="N164" s="5"/>
      <c r="O164" s="5"/>
    </row>
    <row r="165">
      <c r="A165" s="12" t="str">
        <f>IFERROR(__xludf.DUMMYFUNCTION("""COMPUTED_VALUE"""),"")</f>
        <v/>
      </c>
      <c r="B165" s="13" t="str">
        <f>IFERROR(__xludf.DUMMYFUNCTION("""COMPUTED_VALUE"""),"")</f>
        <v/>
      </c>
      <c r="C165" s="14" t="str">
        <f>IFERROR(__xludf.DUMMYFUNCTION("""COMPUTED_VALUE"""),"")</f>
        <v/>
      </c>
      <c r="D165" s="15" t="str">
        <f>IFERROR(__xludf.DUMMYFUNCTION("""COMPUTED_VALUE"""),"")</f>
        <v/>
      </c>
      <c r="E165" s="15" t="str">
        <f>IFERROR(__xludf.DUMMYFUNCTION("""COMPUTED_VALUE"""),"")</f>
        <v/>
      </c>
      <c r="F165" s="15" t="str">
        <f>IFERROR(__xludf.DUMMYFUNCTION("""COMPUTED_VALUE"""),"")</f>
        <v/>
      </c>
      <c r="G165" s="17" t="str">
        <f>IFERROR(__xludf.DUMMYFUNCTION("""COMPUTED_VALUE"""),"")</f>
        <v/>
      </c>
      <c r="H165" s="4"/>
      <c r="I165" s="5"/>
      <c r="J165" s="5"/>
      <c r="K165" s="5"/>
      <c r="L165" s="5"/>
      <c r="M165" s="5"/>
      <c r="N165" s="5"/>
      <c r="O165" s="5"/>
    </row>
    <row r="166">
      <c r="A166" s="18" t="str">
        <f>IFERROR(__xludf.DUMMYFUNCTION("""COMPUTED_VALUE"""),"")</f>
        <v/>
      </c>
      <c r="B166" s="19" t="str">
        <f>IFERROR(__xludf.DUMMYFUNCTION("""COMPUTED_VALUE"""),"")</f>
        <v/>
      </c>
      <c r="C166" s="20" t="str">
        <f>IFERROR(__xludf.DUMMYFUNCTION("""COMPUTED_VALUE"""),"")</f>
        <v/>
      </c>
      <c r="D166" s="21" t="str">
        <f>IFERROR(__xludf.DUMMYFUNCTION("""COMPUTED_VALUE"""),"")</f>
        <v/>
      </c>
      <c r="E166" s="21" t="str">
        <f>IFERROR(__xludf.DUMMYFUNCTION("""COMPUTED_VALUE"""),"")</f>
        <v/>
      </c>
      <c r="F166" s="21" t="str">
        <f>IFERROR(__xludf.DUMMYFUNCTION("""COMPUTED_VALUE"""),"")</f>
        <v/>
      </c>
      <c r="G166" s="23" t="str">
        <f>IFERROR(__xludf.DUMMYFUNCTION("""COMPUTED_VALUE"""),"")</f>
        <v/>
      </c>
      <c r="H166" s="4"/>
      <c r="I166" s="5"/>
      <c r="J166" s="5"/>
      <c r="K166" s="24"/>
      <c r="L166" s="5"/>
      <c r="M166" s="5"/>
      <c r="N166" s="5"/>
      <c r="O166" s="5"/>
    </row>
    <row r="167">
      <c r="A167" s="12" t="str">
        <f>IFERROR(__xludf.DUMMYFUNCTION("""COMPUTED_VALUE"""),"")</f>
        <v/>
      </c>
      <c r="B167" s="13" t="str">
        <f>IFERROR(__xludf.DUMMYFUNCTION("""COMPUTED_VALUE"""),"")</f>
        <v/>
      </c>
      <c r="C167" s="14" t="str">
        <f>IFERROR(__xludf.DUMMYFUNCTION("""COMPUTED_VALUE"""),"")</f>
        <v/>
      </c>
      <c r="D167" s="15" t="str">
        <f>IFERROR(__xludf.DUMMYFUNCTION("""COMPUTED_VALUE"""),"")</f>
        <v/>
      </c>
      <c r="E167" s="15" t="str">
        <f>IFERROR(__xludf.DUMMYFUNCTION("""COMPUTED_VALUE"""),"")</f>
        <v/>
      </c>
      <c r="F167" s="15" t="str">
        <f>IFERROR(__xludf.DUMMYFUNCTION("""COMPUTED_VALUE"""),"")</f>
        <v/>
      </c>
      <c r="G167" s="17" t="str">
        <f>IFERROR(__xludf.DUMMYFUNCTION("""COMPUTED_VALUE"""),"")</f>
        <v/>
      </c>
      <c r="H167" s="4"/>
      <c r="I167" s="5"/>
      <c r="J167" s="5"/>
      <c r="K167" s="5"/>
      <c r="L167" s="5"/>
      <c r="M167" s="5"/>
      <c r="N167" s="5"/>
      <c r="O167" s="5"/>
    </row>
    <row r="168">
      <c r="A168" s="18" t="str">
        <f>IFERROR(__xludf.DUMMYFUNCTION("""COMPUTED_VALUE"""),"")</f>
        <v/>
      </c>
      <c r="B168" s="19" t="str">
        <f>IFERROR(__xludf.DUMMYFUNCTION("""COMPUTED_VALUE"""),"")</f>
        <v/>
      </c>
      <c r="C168" s="20" t="str">
        <f>IFERROR(__xludf.DUMMYFUNCTION("""COMPUTED_VALUE"""),"")</f>
        <v/>
      </c>
      <c r="D168" s="21" t="str">
        <f>IFERROR(__xludf.DUMMYFUNCTION("""COMPUTED_VALUE"""),"")</f>
        <v/>
      </c>
      <c r="E168" s="21" t="str">
        <f>IFERROR(__xludf.DUMMYFUNCTION("""COMPUTED_VALUE"""),"")</f>
        <v/>
      </c>
      <c r="F168" s="21" t="str">
        <f>IFERROR(__xludf.DUMMYFUNCTION("""COMPUTED_VALUE"""),"")</f>
        <v/>
      </c>
      <c r="G168" s="23" t="str">
        <f>IFERROR(__xludf.DUMMYFUNCTION("""COMPUTED_VALUE"""),"")</f>
        <v/>
      </c>
      <c r="H168" s="4"/>
      <c r="I168" s="5"/>
      <c r="J168" s="5"/>
      <c r="K168" s="5"/>
      <c r="L168" s="5"/>
      <c r="M168" s="5"/>
      <c r="N168" s="5"/>
      <c r="O168" s="5"/>
    </row>
    <row r="169">
      <c r="A169" s="12" t="str">
        <f>IFERROR(__xludf.DUMMYFUNCTION("""COMPUTED_VALUE"""),"")</f>
        <v/>
      </c>
      <c r="B169" s="13" t="str">
        <f>IFERROR(__xludf.DUMMYFUNCTION("""COMPUTED_VALUE"""),"")</f>
        <v/>
      </c>
      <c r="C169" s="14" t="str">
        <f>IFERROR(__xludf.DUMMYFUNCTION("""COMPUTED_VALUE"""),"")</f>
        <v/>
      </c>
      <c r="D169" s="15" t="str">
        <f>IFERROR(__xludf.DUMMYFUNCTION("""COMPUTED_VALUE"""),"")</f>
        <v/>
      </c>
      <c r="E169" s="15" t="str">
        <f>IFERROR(__xludf.DUMMYFUNCTION("""COMPUTED_VALUE"""),"")</f>
        <v/>
      </c>
      <c r="F169" s="15" t="str">
        <f>IFERROR(__xludf.DUMMYFUNCTION("""COMPUTED_VALUE"""),"")</f>
        <v/>
      </c>
      <c r="G169" s="17" t="str">
        <f>IFERROR(__xludf.DUMMYFUNCTION("""COMPUTED_VALUE"""),"")</f>
        <v/>
      </c>
      <c r="H169" s="4"/>
      <c r="I169" s="5"/>
      <c r="J169" s="5"/>
      <c r="K169" s="5"/>
      <c r="L169" s="5"/>
      <c r="M169" s="5"/>
      <c r="N169" s="5"/>
      <c r="O169" s="5"/>
    </row>
    <row r="170">
      <c r="A170" s="18" t="str">
        <f>IFERROR(__xludf.DUMMYFUNCTION("""COMPUTED_VALUE"""),"")</f>
        <v/>
      </c>
      <c r="B170" s="19" t="str">
        <f>IFERROR(__xludf.DUMMYFUNCTION("""COMPUTED_VALUE"""),"")</f>
        <v/>
      </c>
      <c r="C170" s="20" t="str">
        <f>IFERROR(__xludf.DUMMYFUNCTION("""COMPUTED_VALUE"""),"")</f>
        <v/>
      </c>
      <c r="D170" s="21" t="str">
        <f>IFERROR(__xludf.DUMMYFUNCTION("""COMPUTED_VALUE"""),"")</f>
        <v/>
      </c>
      <c r="E170" s="21" t="str">
        <f>IFERROR(__xludf.DUMMYFUNCTION("""COMPUTED_VALUE"""),"")</f>
        <v/>
      </c>
      <c r="F170" s="21" t="str">
        <f>IFERROR(__xludf.DUMMYFUNCTION("""COMPUTED_VALUE"""),"")</f>
        <v/>
      </c>
      <c r="G170" s="23" t="str">
        <f>IFERROR(__xludf.DUMMYFUNCTION("""COMPUTED_VALUE"""),"")</f>
        <v/>
      </c>
      <c r="H170" s="4"/>
      <c r="I170" s="5"/>
      <c r="J170" s="5"/>
      <c r="K170" s="5"/>
      <c r="L170" s="5"/>
      <c r="M170" s="5"/>
      <c r="N170" s="5"/>
      <c r="O170" s="5"/>
    </row>
    <row r="171">
      <c r="A171" s="12" t="str">
        <f>IFERROR(__xludf.DUMMYFUNCTION("""COMPUTED_VALUE"""),"")</f>
        <v/>
      </c>
      <c r="B171" s="13" t="str">
        <f>IFERROR(__xludf.DUMMYFUNCTION("""COMPUTED_VALUE"""),"")</f>
        <v/>
      </c>
      <c r="C171" s="14" t="str">
        <f>IFERROR(__xludf.DUMMYFUNCTION("""COMPUTED_VALUE"""),"")</f>
        <v/>
      </c>
      <c r="D171" s="15" t="str">
        <f>IFERROR(__xludf.DUMMYFUNCTION("""COMPUTED_VALUE"""),"")</f>
        <v/>
      </c>
      <c r="E171" s="15" t="str">
        <f>IFERROR(__xludf.DUMMYFUNCTION("""COMPUTED_VALUE"""),"")</f>
        <v/>
      </c>
      <c r="F171" s="15" t="str">
        <f>IFERROR(__xludf.DUMMYFUNCTION("""COMPUTED_VALUE"""),"")</f>
        <v/>
      </c>
      <c r="G171" s="17" t="str">
        <f>IFERROR(__xludf.DUMMYFUNCTION("""COMPUTED_VALUE"""),"")</f>
        <v/>
      </c>
      <c r="H171" s="4"/>
      <c r="I171" s="5"/>
      <c r="J171" s="5"/>
      <c r="K171" s="5"/>
      <c r="L171" s="5"/>
      <c r="M171" s="5"/>
      <c r="N171" s="5"/>
      <c r="O171" s="5"/>
    </row>
    <row r="172">
      <c r="A172" s="18" t="str">
        <f>IFERROR(__xludf.DUMMYFUNCTION("""COMPUTED_VALUE"""),"")</f>
        <v/>
      </c>
      <c r="B172" s="19" t="str">
        <f>IFERROR(__xludf.DUMMYFUNCTION("""COMPUTED_VALUE"""),"")</f>
        <v/>
      </c>
      <c r="C172" s="20" t="str">
        <f>IFERROR(__xludf.DUMMYFUNCTION("""COMPUTED_VALUE"""),"")</f>
        <v/>
      </c>
      <c r="D172" s="21" t="str">
        <f>IFERROR(__xludf.DUMMYFUNCTION("""COMPUTED_VALUE"""),"")</f>
        <v/>
      </c>
      <c r="E172" s="21" t="str">
        <f>IFERROR(__xludf.DUMMYFUNCTION("""COMPUTED_VALUE"""),"")</f>
        <v/>
      </c>
      <c r="F172" s="21" t="str">
        <f>IFERROR(__xludf.DUMMYFUNCTION("""COMPUTED_VALUE"""),"")</f>
        <v/>
      </c>
      <c r="G172" s="23" t="str">
        <f>IFERROR(__xludf.DUMMYFUNCTION("""COMPUTED_VALUE"""),"")</f>
        <v/>
      </c>
      <c r="H172" s="4"/>
      <c r="I172" s="5"/>
      <c r="J172" s="5"/>
      <c r="K172" s="5"/>
      <c r="L172" s="5"/>
      <c r="M172" s="5"/>
      <c r="N172" s="5"/>
      <c r="O172" s="5"/>
    </row>
    <row r="173">
      <c r="A173" s="12" t="str">
        <f>IFERROR(__xludf.DUMMYFUNCTION("""COMPUTED_VALUE"""),"")</f>
        <v/>
      </c>
      <c r="B173" s="13" t="str">
        <f>IFERROR(__xludf.DUMMYFUNCTION("""COMPUTED_VALUE"""),"")</f>
        <v/>
      </c>
      <c r="C173" s="14" t="str">
        <f>IFERROR(__xludf.DUMMYFUNCTION("""COMPUTED_VALUE"""),"")</f>
        <v/>
      </c>
      <c r="D173" s="15" t="str">
        <f>IFERROR(__xludf.DUMMYFUNCTION("""COMPUTED_VALUE"""),"")</f>
        <v/>
      </c>
      <c r="E173" s="15" t="str">
        <f>IFERROR(__xludf.DUMMYFUNCTION("""COMPUTED_VALUE"""),"")</f>
        <v/>
      </c>
      <c r="F173" s="15" t="str">
        <f>IFERROR(__xludf.DUMMYFUNCTION("""COMPUTED_VALUE"""),"")</f>
        <v/>
      </c>
      <c r="G173" s="17" t="str">
        <f>IFERROR(__xludf.DUMMYFUNCTION("""COMPUTED_VALUE"""),"")</f>
        <v/>
      </c>
      <c r="H173" s="4"/>
      <c r="I173" s="5"/>
      <c r="J173" s="5"/>
      <c r="K173" s="5"/>
      <c r="L173" s="5"/>
      <c r="M173" s="5"/>
      <c r="N173" s="5"/>
      <c r="O173" s="5"/>
    </row>
    <row r="174">
      <c r="A174" s="18" t="str">
        <f>IFERROR(__xludf.DUMMYFUNCTION("""COMPUTED_VALUE"""),"")</f>
        <v/>
      </c>
      <c r="B174" s="19" t="str">
        <f>IFERROR(__xludf.DUMMYFUNCTION("""COMPUTED_VALUE"""),"")</f>
        <v/>
      </c>
      <c r="C174" s="20" t="str">
        <f>IFERROR(__xludf.DUMMYFUNCTION("""COMPUTED_VALUE"""),"")</f>
        <v/>
      </c>
      <c r="D174" s="21" t="str">
        <f>IFERROR(__xludf.DUMMYFUNCTION("""COMPUTED_VALUE"""),"")</f>
        <v/>
      </c>
      <c r="E174" s="21" t="str">
        <f>IFERROR(__xludf.DUMMYFUNCTION("""COMPUTED_VALUE"""),"")</f>
        <v/>
      </c>
      <c r="F174" s="21" t="str">
        <f>IFERROR(__xludf.DUMMYFUNCTION("""COMPUTED_VALUE"""),"")</f>
        <v/>
      </c>
      <c r="G174" s="23" t="str">
        <f>IFERROR(__xludf.DUMMYFUNCTION("""COMPUTED_VALUE"""),"")</f>
        <v/>
      </c>
      <c r="H174" s="4"/>
      <c r="I174" s="5"/>
      <c r="J174" s="5"/>
      <c r="K174" s="5"/>
      <c r="L174" s="5"/>
      <c r="M174" s="5"/>
      <c r="N174" s="5"/>
      <c r="O174" s="5"/>
    </row>
    <row r="175">
      <c r="A175" s="12" t="str">
        <f>IFERROR(__xludf.DUMMYFUNCTION("""COMPUTED_VALUE"""),"")</f>
        <v/>
      </c>
      <c r="B175" s="13" t="str">
        <f>IFERROR(__xludf.DUMMYFUNCTION("""COMPUTED_VALUE"""),"")</f>
        <v/>
      </c>
      <c r="C175" s="14" t="str">
        <f>IFERROR(__xludf.DUMMYFUNCTION("""COMPUTED_VALUE"""),"")</f>
        <v/>
      </c>
      <c r="D175" s="15" t="str">
        <f>IFERROR(__xludf.DUMMYFUNCTION("""COMPUTED_VALUE"""),"")</f>
        <v/>
      </c>
      <c r="E175" s="15" t="str">
        <f>IFERROR(__xludf.DUMMYFUNCTION("""COMPUTED_VALUE"""),"")</f>
        <v/>
      </c>
      <c r="F175" s="15" t="str">
        <f>IFERROR(__xludf.DUMMYFUNCTION("""COMPUTED_VALUE"""),"")</f>
        <v/>
      </c>
      <c r="G175" s="17" t="str">
        <f>IFERROR(__xludf.DUMMYFUNCTION("""COMPUTED_VALUE"""),"")</f>
        <v/>
      </c>
      <c r="H175" s="4"/>
      <c r="I175" s="5"/>
      <c r="J175" s="5"/>
      <c r="K175" s="5"/>
      <c r="L175" s="5"/>
      <c r="M175" s="5"/>
      <c r="N175" s="5"/>
      <c r="O175" s="5"/>
    </row>
    <row r="176">
      <c r="A176" s="18" t="str">
        <f>IFERROR(__xludf.DUMMYFUNCTION("""COMPUTED_VALUE"""),"")</f>
        <v/>
      </c>
      <c r="B176" s="19" t="str">
        <f>IFERROR(__xludf.DUMMYFUNCTION("""COMPUTED_VALUE"""),"")</f>
        <v/>
      </c>
      <c r="C176" s="20" t="str">
        <f>IFERROR(__xludf.DUMMYFUNCTION("""COMPUTED_VALUE"""),"")</f>
        <v/>
      </c>
      <c r="D176" s="21" t="str">
        <f>IFERROR(__xludf.DUMMYFUNCTION("""COMPUTED_VALUE"""),"")</f>
        <v/>
      </c>
      <c r="E176" s="21" t="str">
        <f>IFERROR(__xludf.DUMMYFUNCTION("""COMPUTED_VALUE"""),"")</f>
        <v/>
      </c>
      <c r="F176" s="21" t="str">
        <f>IFERROR(__xludf.DUMMYFUNCTION("""COMPUTED_VALUE"""),"")</f>
        <v/>
      </c>
      <c r="G176" s="23" t="str">
        <f>IFERROR(__xludf.DUMMYFUNCTION("""COMPUTED_VALUE"""),"")</f>
        <v/>
      </c>
      <c r="H176" s="4"/>
      <c r="I176" s="5"/>
      <c r="J176" s="5"/>
      <c r="K176" s="5"/>
      <c r="L176" s="5"/>
      <c r="M176" s="5"/>
      <c r="N176" s="5"/>
      <c r="O176" s="5"/>
    </row>
    <row r="177">
      <c r="A177" s="12" t="str">
        <f>IFERROR(__xludf.DUMMYFUNCTION("""COMPUTED_VALUE"""),"")</f>
        <v/>
      </c>
      <c r="B177" s="13" t="str">
        <f>IFERROR(__xludf.DUMMYFUNCTION("""COMPUTED_VALUE"""),"")</f>
        <v/>
      </c>
      <c r="C177" s="14" t="str">
        <f>IFERROR(__xludf.DUMMYFUNCTION("""COMPUTED_VALUE"""),"")</f>
        <v/>
      </c>
      <c r="D177" s="15" t="str">
        <f>IFERROR(__xludf.DUMMYFUNCTION("""COMPUTED_VALUE"""),"")</f>
        <v/>
      </c>
      <c r="E177" s="15" t="str">
        <f>IFERROR(__xludf.DUMMYFUNCTION("""COMPUTED_VALUE"""),"")</f>
        <v/>
      </c>
      <c r="F177" s="15" t="str">
        <f>IFERROR(__xludf.DUMMYFUNCTION("""COMPUTED_VALUE"""),"")</f>
        <v/>
      </c>
      <c r="G177" s="17" t="str">
        <f>IFERROR(__xludf.DUMMYFUNCTION("""COMPUTED_VALUE"""),"")</f>
        <v/>
      </c>
      <c r="H177" s="4"/>
      <c r="I177" s="5"/>
      <c r="J177" s="5"/>
      <c r="K177" s="5"/>
      <c r="L177" s="5"/>
      <c r="M177" s="5"/>
      <c r="N177" s="5"/>
      <c r="O177" s="5"/>
    </row>
    <row r="178">
      <c r="A178" s="18" t="str">
        <f>IFERROR(__xludf.DUMMYFUNCTION("""COMPUTED_VALUE"""),"")</f>
        <v/>
      </c>
      <c r="B178" s="19" t="str">
        <f>IFERROR(__xludf.DUMMYFUNCTION("""COMPUTED_VALUE"""),"")</f>
        <v/>
      </c>
      <c r="C178" s="20" t="str">
        <f>IFERROR(__xludf.DUMMYFUNCTION("""COMPUTED_VALUE"""),"")</f>
        <v/>
      </c>
      <c r="D178" s="21" t="str">
        <f>IFERROR(__xludf.DUMMYFUNCTION("""COMPUTED_VALUE"""),"")</f>
        <v/>
      </c>
      <c r="E178" s="21" t="str">
        <f>IFERROR(__xludf.DUMMYFUNCTION("""COMPUTED_VALUE"""),"")</f>
        <v/>
      </c>
      <c r="F178" s="21" t="str">
        <f>IFERROR(__xludf.DUMMYFUNCTION("""COMPUTED_VALUE"""),"")</f>
        <v/>
      </c>
      <c r="G178" s="23" t="str">
        <f>IFERROR(__xludf.DUMMYFUNCTION("""COMPUTED_VALUE"""),"")</f>
        <v/>
      </c>
      <c r="H178" s="4"/>
      <c r="I178" s="5"/>
      <c r="J178" s="5"/>
      <c r="K178" s="5"/>
      <c r="L178" s="5"/>
      <c r="M178" s="5"/>
      <c r="N178" s="5"/>
      <c r="O178" s="5"/>
    </row>
    <row r="179">
      <c r="A179" s="12" t="str">
        <f>IFERROR(__xludf.DUMMYFUNCTION("""COMPUTED_VALUE"""),"")</f>
        <v/>
      </c>
      <c r="B179" s="13" t="str">
        <f>IFERROR(__xludf.DUMMYFUNCTION("""COMPUTED_VALUE"""),"")</f>
        <v/>
      </c>
      <c r="C179" s="14" t="str">
        <f>IFERROR(__xludf.DUMMYFUNCTION("""COMPUTED_VALUE"""),"")</f>
        <v/>
      </c>
      <c r="D179" s="15" t="str">
        <f>IFERROR(__xludf.DUMMYFUNCTION("""COMPUTED_VALUE"""),"")</f>
        <v/>
      </c>
      <c r="E179" s="15" t="str">
        <f>IFERROR(__xludf.DUMMYFUNCTION("""COMPUTED_VALUE"""),"")</f>
        <v/>
      </c>
      <c r="F179" s="15" t="str">
        <f>IFERROR(__xludf.DUMMYFUNCTION("""COMPUTED_VALUE"""),"")</f>
        <v/>
      </c>
      <c r="G179" s="17" t="str">
        <f>IFERROR(__xludf.DUMMYFUNCTION("""COMPUTED_VALUE"""),"")</f>
        <v/>
      </c>
      <c r="H179" s="4"/>
      <c r="I179" s="5"/>
      <c r="J179" s="5"/>
      <c r="K179" s="5"/>
      <c r="L179" s="5"/>
      <c r="M179" s="5"/>
      <c r="N179" s="5"/>
      <c r="O179" s="5"/>
    </row>
    <row r="180">
      <c r="A180" s="18" t="str">
        <f>IFERROR(__xludf.DUMMYFUNCTION("""COMPUTED_VALUE"""),"")</f>
        <v/>
      </c>
      <c r="B180" s="19" t="str">
        <f>IFERROR(__xludf.DUMMYFUNCTION("""COMPUTED_VALUE"""),"")</f>
        <v/>
      </c>
      <c r="C180" s="20" t="str">
        <f>IFERROR(__xludf.DUMMYFUNCTION("""COMPUTED_VALUE"""),"")</f>
        <v/>
      </c>
      <c r="D180" s="21" t="str">
        <f>IFERROR(__xludf.DUMMYFUNCTION("""COMPUTED_VALUE"""),"")</f>
        <v/>
      </c>
      <c r="E180" s="21" t="str">
        <f>IFERROR(__xludf.DUMMYFUNCTION("""COMPUTED_VALUE"""),"")</f>
        <v/>
      </c>
      <c r="F180" s="21" t="str">
        <f>IFERROR(__xludf.DUMMYFUNCTION("""COMPUTED_VALUE"""),"")</f>
        <v/>
      </c>
      <c r="G180" s="23" t="str">
        <f>IFERROR(__xludf.DUMMYFUNCTION("""COMPUTED_VALUE"""),"")</f>
        <v/>
      </c>
      <c r="H180" s="4"/>
      <c r="I180" s="5"/>
      <c r="J180" s="5"/>
      <c r="K180" s="5"/>
      <c r="L180" s="5"/>
      <c r="M180" s="5"/>
      <c r="N180" s="5"/>
      <c r="O180" s="5"/>
    </row>
    <row r="181">
      <c r="A181" s="12" t="str">
        <f>IFERROR(__xludf.DUMMYFUNCTION("""COMPUTED_VALUE"""),"")</f>
        <v/>
      </c>
      <c r="B181" s="13" t="str">
        <f>IFERROR(__xludf.DUMMYFUNCTION("""COMPUTED_VALUE"""),"")</f>
        <v/>
      </c>
      <c r="C181" s="14" t="str">
        <f>IFERROR(__xludf.DUMMYFUNCTION("""COMPUTED_VALUE"""),"")</f>
        <v/>
      </c>
      <c r="D181" s="15" t="str">
        <f>IFERROR(__xludf.DUMMYFUNCTION("""COMPUTED_VALUE"""),"")</f>
        <v/>
      </c>
      <c r="E181" s="15" t="str">
        <f>IFERROR(__xludf.DUMMYFUNCTION("""COMPUTED_VALUE"""),"")</f>
        <v/>
      </c>
      <c r="F181" s="15" t="str">
        <f>IFERROR(__xludf.DUMMYFUNCTION("""COMPUTED_VALUE"""),"")</f>
        <v/>
      </c>
      <c r="G181" s="17" t="str">
        <f>IFERROR(__xludf.DUMMYFUNCTION("""COMPUTED_VALUE"""),"")</f>
        <v/>
      </c>
      <c r="H181" s="4"/>
      <c r="I181" s="5"/>
      <c r="J181" s="5"/>
      <c r="K181" s="5"/>
      <c r="L181" s="5"/>
      <c r="M181" s="5"/>
      <c r="N181" s="5"/>
      <c r="O181" s="5"/>
    </row>
    <row r="182">
      <c r="A182" s="18" t="str">
        <f>IFERROR(__xludf.DUMMYFUNCTION("""COMPUTED_VALUE"""),"")</f>
        <v/>
      </c>
      <c r="B182" s="19" t="str">
        <f>IFERROR(__xludf.DUMMYFUNCTION("""COMPUTED_VALUE"""),"")</f>
        <v/>
      </c>
      <c r="C182" s="20" t="str">
        <f>IFERROR(__xludf.DUMMYFUNCTION("""COMPUTED_VALUE"""),"")</f>
        <v/>
      </c>
      <c r="D182" s="21" t="str">
        <f>IFERROR(__xludf.DUMMYFUNCTION("""COMPUTED_VALUE"""),"")</f>
        <v/>
      </c>
      <c r="E182" s="21" t="str">
        <f>IFERROR(__xludf.DUMMYFUNCTION("""COMPUTED_VALUE"""),"")</f>
        <v/>
      </c>
      <c r="F182" s="21" t="str">
        <f>IFERROR(__xludf.DUMMYFUNCTION("""COMPUTED_VALUE"""),"")</f>
        <v/>
      </c>
      <c r="G182" s="23" t="str">
        <f>IFERROR(__xludf.DUMMYFUNCTION("""COMPUTED_VALUE"""),"")</f>
        <v/>
      </c>
      <c r="H182" s="4"/>
      <c r="I182" s="5"/>
      <c r="J182" s="5"/>
      <c r="K182" s="5"/>
      <c r="L182" s="5"/>
      <c r="M182" s="5"/>
      <c r="N182" s="5"/>
      <c r="O182" s="5"/>
    </row>
    <row r="183">
      <c r="A183" s="12" t="str">
        <f>IFERROR(__xludf.DUMMYFUNCTION("""COMPUTED_VALUE"""),"")</f>
        <v/>
      </c>
      <c r="B183" s="13" t="str">
        <f>IFERROR(__xludf.DUMMYFUNCTION("""COMPUTED_VALUE"""),"")</f>
        <v/>
      </c>
      <c r="C183" s="14" t="str">
        <f>IFERROR(__xludf.DUMMYFUNCTION("""COMPUTED_VALUE"""),"")</f>
        <v/>
      </c>
      <c r="D183" s="15" t="str">
        <f>IFERROR(__xludf.DUMMYFUNCTION("""COMPUTED_VALUE"""),"")</f>
        <v/>
      </c>
      <c r="E183" s="15" t="str">
        <f>IFERROR(__xludf.DUMMYFUNCTION("""COMPUTED_VALUE"""),"")</f>
        <v/>
      </c>
      <c r="F183" s="15" t="str">
        <f>IFERROR(__xludf.DUMMYFUNCTION("""COMPUTED_VALUE"""),"")</f>
        <v/>
      </c>
      <c r="G183" s="17" t="str">
        <f>IFERROR(__xludf.DUMMYFUNCTION("""COMPUTED_VALUE"""),"")</f>
        <v/>
      </c>
      <c r="H183" s="4"/>
      <c r="I183" s="5"/>
      <c r="J183" s="5"/>
      <c r="K183" s="5"/>
      <c r="L183" s="5"/>
      <c r="M183" s="5"/>
      <c r="N183" s="5"/>
      <c r="O183" s="5"/>
    </row>
    <row r="184">
      <c r="A184" s="18" t="str">
        <f>IFERROR(__xludf.DUMMYFUNCTION("""COMPUTED_VALUE"""),"")</f>
        <v/>
      </c>
      <c r="B184" s="19" t="str">
        <f>IFERROR(__xludf.DUMMYFUNCTION("""COMPUTED_VALUE"""),"")</f>
        <v/>
      </c>
      <c r="C184" s="20" t="str">
        <f>IFERROR(__xludf.DUMMYFUNCTION("""COMPUTED_VALUE"""),"")</f>
        <v/>
      </c>
      <c r="D184" s="21" t="str">
        <f>IFERROR(__xludf.DUMMYFUNCTION("""COMPUTED_VALUE"""),"")</f>
        <v/>
      </c>
      <c r="E184" s="21" t="str">
        <f>IFERROR(__xludf.DUMMYFUNCTION("""COMPUTED_VALUE"""),"")</f>
        <v/>
      </c>
      <c r="F184" s="21" t="str">
        <f>IFERROR(__xludf.DUMMYFUNCTION("""COMPUTED_VALUE"""),"")</f>
        <v/>
      </c>
      <c r="G184" s="23" t="str">
        <f>IFERROR(__xludf.DUMMYFUNCTION("""COMPUTED_VALUE"""),"")</f>
        <v/>
      </c>
      <c r="H184" s="4"/>
      <c r="I184" s="5"/>
      <c r="J184" s="5"/>
      <c r="K184" s="5"/>
      <c r="L184" s="5"/>
      <c r="M184" s="5"/>
      <c r="N184" s="5"/>
      <c r="O184" s="5"/>
    </row>
    <row r="185">
      <c r="A185" s="12" t="str">
        <f>IFERROR(__xludf.DUMMYFUNCTION("""COMPUTED_VALUE"""),"")</f>
        <v/>
      </c>
      <c r="B185" s="13" t="str">
        <f>IFERROR(__xludf.DUMMYFUNCTION("""COMPUTED_VALUE"""),"")</f>
        <v/>
      </c>
      <c r="C185" s="14" t="str">
        <f>IFERROR(__xludf.DUMMYFUNCTION("""COMPUTED_VALUE"""),"")</f>
        <v/>
      </c>
      <c r="D185" s="15" t="str">
        <f>IFERROR(__xludf.DUMMYFUNCTION("""COMPUTED_VALUE"""),"")</f>
        <v/>
      </c>
      <c r="E185" s="15" t="str">
        <f>IFERROR(__xludf.DUMMYFUNCTION("""COMPUTED_VALUE"""),"")</f>
        <v/>
      </c>
      <c r="F185" s="15" t="str">
        <f>IFERROR(__xludf.DUMMYFUNCTION("""COMPUTED_VALUE"""),"")</f>
        <v/>
      </c>
      <c r="G185" s="17" t="str">
        <f>IFERROR(__xludf.DUMMYFUNCTION("""COMPUTED_VALUE"""),"")</f>
        <v/>
      </c>
      <c r="H185" s="4"/>
      <c r="I185" s="5"/>
      <c r="J185" s="5"/>
      <c r="K185" s="5"/>
      <c r="L185" s="5"/>
      <c r="M185" s="5"/>
      <c r="N185" s="5"/>
      <c r="O185" s="5"/>
    </row>
    <row r="186">
      <c r="A186" s="18" t="str">
        <f>IFERROR(__xludf.DUMMYFUNCTION("""COMPUTED_VALUE"""),"")</f>
        <v/>
      </c>
      <c r="B186" s="19" t="str">
        <f>IFERROR(__xludf.DUMMYFUNCTION("""COMPUTED_VALUE"""),"")</f>
        <v/>
      </c>
      <c r="C186" s="20" t="str">
        <f>IFERROR(__xludf.DUMMYFUNCTION("""COMPUTED_VALUE"""),"")</f>
        <v/>
      </c>
      <c r="D186" s="21" t="str">
        <f>IFERROR(__xludf.DUMMYFUNCTION("""COMPUTED_VALUE"""),"")</f>
        <v/>
      </c>
      <c r="E186" s="21" t="str">
        <f>IFERROR(__xludf.DUMMYFUNCTION("""COMPUTED_VALUE"""),"")</f>
        <v/>
      </c>
      <c r="F186" s="21" t="str">
        <f>IFERROR(__xludf.DUMMYFUNCTION("""COMPUTED_VALUE"""),"")</f>
        <v/>
      </c>
      <c r="G186" s="23" t="str">
        <f>IFERROR(__xludf.DUMMYFUNCTION("""COMPUTED_VALUE"""),"")</f>
        <v/>
      </c>
      <c r="H186" s="4"/>
      <c r="I186" s="5"/>
      <c r="J186" s="5"/>
      <c r="K186" s="5"/>
      <c r="L186" s="5"/>
      <c r="M186" s="5"/>
      <c r="N186" s="5"/>
      <c r="O186" s="5"/>
    </row>
    <row r="187">
      <c r="A187" s="12" t="str">
        <f>IFERROR(__xludf.DUMMYFUNCTION("""COMPUTED_VALUE"""),"")</f>
        <v/>
      </c>
      <c r="B187" s="13" t="str">
        <f>IFERROR(__xludf.DUMMYFUNCTION("""COMPUTED_VALUE"""),"")</f>
        <v/>
      </c>
      <c r="C187" s="14" t="str">
        <f>IFERROR(__xludf.DUMMYFUNCTION("""COMPUTED_VALUE"""),"")</f>
        <v/>
      </c>
      <c r="D187" s="15" t="str">
        <f>IFERROR(__xludf.DUMMYFUNCTION("""COMPUTED_VALUE"""),"")</f>
        <v/>
      </c>
      <c r="E187" s="15" t="str">
        <f>IFERROR(__xludf.DUMMYFUNCTION("""COMPUTED_VALUE"""),"")</f>
        <v/>
      </c>
      <c r="F187" s="15" t="str">
        <f>IFERROR(__xludf.DUMMYFUNCTION("""COMPUTED_VALUE"""),"")</f>
        <v/>
      </c>
      <c r="G187" s="17" t="str">
        <f>IFERROR(__xludf.DUMMYFUNCTION("""COMPUTED_VALUE"""),"")</f>
        <v/>
      </c>
      <c r="H187" s="4"/>
      <c r="I187" s="5"/>
      <c r="J187" s="5"/>
      <c r="K187" s="5"/>
      <c r="L187" s="5"/>
      <c r="M187" s="5"/>
      <c r="N187" s="5"/>
      <c r="O187" s="5"/>
    </row>
    <row r="188">
      <c r="A188" s="18" t="str">
        <f>IFERROR(__xludf.DUMMYFUNCTION("""COMPUTED_VALUE"""),"")</f>
        <v/>
      </c>
      <c r="B188" s="19" t="str">
        <f>IFERROR(__xludf.DUMMYFUNCTION("""COMPUTED_VALUE"""),"")</f>
        <v/>
      </c>
      <c r="C188" s="20" t="str">
        <f>IFERROR(__xludf.DUMMYFUNCTION("""COMPUTED_VALUE"""),"")</f>
        <v/>
      </c>
      <c r="D188" s="21" t="str">
        <f>IFERROR(__xludf.DUMMYFUNCTION("""COMPUTED_VALUE"""),"")</f>
        <v/>
      </c>
      <c r="E188" s="21" t="str">
        <f>IFERROR(__xludf.DUMMYFUNCTION("""COMPUTED_VALUE"""),"")</f>
        <v/>
      </c>
      <c r="F188" s="21" t="str">
        <f>IFERROR(__xludf.DUMMYFUNCTION("""COMPUTED_VALUE"""),"")</f>
        <v/>
      </c>
      <c r="G188" s="23" t="str">
        <f>IFERROR(__xludf.DUMMYFUNCTION("""COMPUTED_VALUE"""),"")</f>
        <v/>
      </c>
      <c r="H188" s="4"/>
      <c r="I188" s="5"/>
      <c r="J188" s="5"/>
      <c r="K188" s="5"/>
      <c r="L188" s="5"/>
      <c r="M188" s="5"/>
      <c r="N188" s="5"/>
      <c r="O188" s="5"/>
    </row>
    <row r="189">
      <c r="A189" s="12" t="str">
        <f>IFERROR(__xludf.DUMMYFUNCTION("""COMPUTED_VALUE"""),"")</f>
        <v/>
      </c>
      <c r="B189" s="13" t="str">
        <f>IFERROR(__xludf.DUMMYFUNCTION("""COMPUTED_VALUE"""),"")</f>
        <v/>
      </c>
      <c r="C189" s="14" t="str">
        <f>IFERROR(__xludf.DUMMYFUNCTION("""COMPUTED_VALUE"""),"")</f>
        <v/>
      </c>
      <c r="D189" s="15" t="str">
        <f>IFERROR(__xludf.DUMMYFUNCTION("""COMPUTED_VALUE"""),"")</f>
        <v/>
      </c>
      <c r="E189" s="15" t="str">
        <f>IFERROR(__xludf.DUMMYFUNCTION("""COMPUTED_VALUE"""),"")</f>
        <v/>
      </c>
      <c r="F189" s="15" t="str">
        <f>IFERROR(__xludf.DUMMYFUNCTION("""COMPUTED_VALUE"""),"")</f>
        <v/>
      </c>
      <c r="G189" s="17" t="str">
        <f>IFERROR(__xludf.DUMMYFUNCTION("""COMPUTED_VALUE"""),"")</f>
        <v/>
      </c>
      <c r="H189" s="4"/>
      <c r="I189" s="5"/>
      <c r="J189" s="5"/>
      <c r="K189" s="5"/>
      <c r="L189" s="5"/>
      <c r="M189" s="5"/>
      <c r="N189" s="5"/>
      <c r="O189" s="5"/>
    </row>
    <row r="190">
      <c r="A190" s="18" t="str">
        <f>IFERROR(__xludf.DUMMYFUNCTION("""COMPUTED_VALUE"""),"")</f>
        <v/>
      </c>
      <c r="B190" s="19" t="str">
        <f>IFERROR(__xludf.DUMMYFUNCTION("""COMPUTED_VALUE"""),"")</f>
        <v/>
      </c>
      <c r="C190" s="20" t="str">
        <f>IFERROR(__xludf.DUMMYFUNCTION("""COMPUTED_VALUE"""),"")</f>
        <v/>
      </c>
      <c r="D190" s="21" t="str">
        <f>IFERROR(__xludf.DUMMYFUNCTION("""COMPUTED_VALUE"""),"")</f>
        <v/>
      </c>
      <c r="E190" s="21" t="str">
        <f>IFERROR(__xludf.DUMMYFUNCTION("""COMPUTED_VALUE"""),"")</f>
        <v/>
      </c>
      <c r="F190" s="21" t="str">
        <f>IFERROR(__xludf.DUMMYFUNCTION("""COMPUTED_VALUE"""),"")</f>
        <v/>
      </c>
      <c r="G190" s="23" t="str">
        <f>IFERROR(__xludf.DUMMYFUNCTION("""COMPUTED_VALUE"""),"")</f>
        <v/>
      </c>
      <c r="H190" s="4"/>
      <c r="I190" s="5"/>
      <c r="J190" s="5"/>
      <c r="K190" s="5"/>
      <c r="L190" s="5"/>
      <c r="M190" s="5"/>
      <c r="N190" s="5"/>
      <c r="O190" s="5"/>
    </row>
    <row r="191">
      <c r="A191" s="12" t="str">
        <f>IFERROR(__xludf.DUMMYFUNCTION("""COMPUTED_VALUE"""),"")</f>
        <v/>
      </c>
      <c r="B191" s="13" t="str">
        <f>IFERROR(__xludf.DUMMYFUNCTION("""COMPUTED_VALUE"""),"")</f>
        <v/>
      </c>
      <c r="C191" s="14" t="str">
        <f>IFERROR(__xludf.DUMMYFUNCTION("""COMPUTED_VALUE"""),"")</f>
        <v/>
      </c>
      <c r="D191" s="15" t="str">
        <f>IFERROR(__xludf.DUMMYFUNCTION("""COMPUTED_VALUE"""),"")</f>
        <v/>
      </c>
      <c r="E191" s="15" t="str">
        <f>IFERROR(__xludf.DUMMYFUNCTION("""COMPUTED_VALUE"""),"")</f>
        <v/>
      </c>
      <c r="F191" s="15" t="str">
        <f>IFERROR(__xludf.DUMMYFUNCTION("""COMPUTED_VALUE"""),"")</f>
        <v/>
      </c>
      <c r="G191" s="17" t="str">
        <f>IFERROR(__xludf.DUMMYFUNCTION("""COMPUTED_VALUE"""),"")</f>
        <v/>
      </c>
      <c r="H191" s="4"/>
      <c r="I191" s="5"/>
      <c r="J191" s="5"/>
      <c r="K191" s="5"/>
      <c r="L191" s="5"/>
      <c r="M191" s="5"/>
      <c r="N191" s="5"/>
      <c r="O191" s="5"/>
    </row>
    <row r="192">
      <c r="A192" s="18" t="str">
        <f>IFERROR(__xludf.DUMMYFUNCTION("""COMPUTED_VALUE"""),"")</f>
        <v/>
      </c>
      <c r="B192" s="19" t="str">
        <f>IFERROR(__xludf.DUMMYFUNCTION("""COMPUTED_VALUE"""),"")</f>
        <v/>
      </c>
      <c r="C192" s="20" t="str">
        <f>IFERROR(__xludf.DUMMYFUNCTION("""COMPUTED_VALUE"""),"")</f>
        <v/>
      </c>
      <c r="D192" s="21" t="str">
        <f>IFERROR(__xludf.DUMMYFUNCTION("""COMPUTED_VALUE"""),"")</f>
        <v/>
      </c>
      <c r="E192" s="21" t="str">
        <f>IFERROR(__xludf.DUMMYFUNCTION("""COMPUTED_VALUE"""),"")</f>
        <v/>
      </c>
      <c r="F192" s="21" t="str">
        <f>IFERROR(__xludf.DUMMYFUNCTION("""COMPUTED_VALUE"""),"")</f>
        <v/>
      </c>
      <c r="G192" s="23" t="str">
        <f>IFERROR(__xludf.DUMMYFUNCTION("""COMPUTED_VALUE"""),"")</f>
        <v/>
      </c>
      <c r="H192" s="4"/>
      <c r="I192" s="5"/>
      <c r="J192" s="5"/>
      <c r="K192" s="5"/>
      <c r="L192" s="5"/>
      <c r="M192" s="5"/>
      <c r="N192" s="5"/>
      <c r="O192" s="5"/>
    </row>
    <row r="193">
      <c r="A193" s="12" t="str">
        <f>IFERROR(__xludf.DUMMYFUNCTION("""COMPUTED_VALUE"""),"")</f>
        <v/>
      </c>
      <c r="B193" s="13" t="str">
        <f>IFERROR(__xludf.DUMMYFUNCTION("""COMPUTED_VALUE"""),"")</f>
        <v/>
      </c>
      <c r="C193" s="14" t="str">
        <f>IFERROR(__xludf.DUMMYFUNCTION("""COMPUTED_VALUE"""),"")</f>
        <v/>
      </c>
      <c r="D193" s="15" t="str">
        <f>IFERROR(__xludf.DUMMYFUNCTION("""COMPUTED_VALUE"""),"")</f>
        <v/>
      </c>
      <c r="E193" s="15" t="str">
        <f>IFERROR(__xludf.DUMMYFUNCTION("""COMPUTED_VALUE"""),"")</f>
        <v/>
      </c>
      <c r="F193" s="15" t="str">
        <f>IFERROR(__xludf.DUMMYFUNCTION("""COMPUTED_VALUE"""),"")</f>
        <v/>
      </c>
      <c r="G193" s="17" t="str">
        <f>IFERROR(__xludf.DUMMYFUNCTION("""COMPUTED_VALUE"""),"")</f>
        <v/>
      </c>
      <c r="H193" s="4"/>
      <c r="I193" s="5"/>
      <c r="J193" s="5"/>
      <c r="K193" s="5"/>
      <c r="L193" s="5"/>
      <c r="M193" s="5"/>
      <c r="N193" s="5"/>
      <c r="O193" s="5"/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3" t="str">
        <f>IFERROR(__xludf.DUMMYFUNCTION("""COMPUTED_VALUE"""),"")</f>
        <v/>
      </c>
      <c r="H194" s="4"/>
      <c r="I194" s="5"/>
      <c r="J194" s="5"/>
      <c r="K194" s="5"/>
      <c r="L194" s="5"/>
      <c r="M194" s="5"/>
      <c r="N194" s="5"/>
      <c r="O194" s="5"/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7" t="str">
        <f>IFERROR(__xludf.DUMMYFUNCTION("""COMPUTED_VALUE"""),"")</f>
        <v/>
      </c>
      <c r="H195" s="4"/>
      <c r="I195" s="5"/>
      <c r="J195" s="5"/>
      <c r="K195" s="5"/>
      <c r="L195" s="5"/>
      <c r="M195" s="5"/>
      <c r="N195" s="5"/>
      <c r="O195" s="5"/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3" t="str">
        <f>IFERROR(__xludf.DUMMYFUNCTION("""COMPUTED_VALUE"""),"")</f>
        <v/>
      </c>
      <c r="H196" s="4"/>
      <c r="I196" s="5"/>
      <c r="J196" s="5"/>
      <c r="K196" s="5"/>
      <c r="L196" s="5"/>
      <c r="M196" s="5"/>
      <c r="N196" s="5"/>
      <c r="O196" s="5"/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/>
      <c r="J197" s="5"/>
      <c r="K197" s="5"/>
      <c r="L197" s="5"/>
      <c r="M197" s="5"/>
      <c r="N197" s="5"/>
      <c r="O197" s="5"/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/>
      <c r="J198" s="5"/>
      <c r="K198" s="24"/>
      <c r="L198" s="5"/>
      <c r="M198" s="5"/>
      <c r="N198" s="5"/>
      <c r="O198" s="5"/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/>
      <c r="J199" s="5"/>
      <c r="K199" s="5"/>
      <c r="L199" s="5"/>
      <c r="M199" s="5"/>
      <c r="N199" s="5"/>
      <c r="O199" s="5"/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/>
      <c r="J200" s="5"/>
      <c r="K200" s="5"/>
      <c r="L200" s="5"/>
      <c r="M200" s="5"/>
      <c r="N200" s="5"/>
      <c r="O200" s="5"/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/>
      <c r="J201" s="5"/>
      <c r="K201" s="5"/>
      <c r="L201" s="5"/>
      <c r="M201" s="5"/>
      <c r="N201" s="5"/>
      <c r="O201" s="5"/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/>
      <c r="J202" s="5"/>
      <c r="K202" s="5"/>
      <c r="L202" s="5"/>
      <c r="M202" s="5"/>
      <c r="N202" s="5"/>
      <c r="O202" s="5"/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/>
      <c r="J203" s="5"/>
      <c r="K203" s="5"/>
      <c r="L203" s="5"/>
      <c r="M203" s="5"/>
      <c r="N203" s="5"/>
      <c r="O203" s="5"/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/>
      <c r="J204" s="5"/>
      <c r="K204" s="5"/>
      <c r="L204" s="5"/>
      <c r="M204" s="5"/>
      <c r="N204" s="5"/>
      <c r="O204" s="5"/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/>
      <c r="J205" s="5"/>
      <c r="K205" s="5"/>
      <c r="L205" s="5"/>
      <c r="M205" s="5"/>
      <c r="N205" s="5"/>
      <c r="O205" s="5"/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/>
      <c r="J206" s="5"/>
      <c r="K206" s="5"/>
      <c r="L206" s="5"/>
      <c r="M206" s="5"/>
      <c r="N206" s="5"/>
      <c r="O206" s="5"/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/>
      <c r="J207" s="5"/>
      <c r="K207" s="5"/>
      <c r="L207" s="5"/>
      <c r="M207" s="5"/>
      <c r="N207" s="5"/>
      <c r="O207" s="5"/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/>
      <c r="J208" s="5"/>
      <c r="K208" s="5"/>
      <c r="L208" s="5"/>
      <c r="M208" s="5"/>
      <c r="N208" s="5"/>
      <c r="O208" s="5"/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/>
      <c r="J209" s="5"/>
      <c r="K209" s="5"/>
      <c r="L209" s="5"/>
      <c r="M209" s="5"/>
      <c r="N209" s="5"/>
      <c r="O209" s="5"/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/>
      <c r="J210" s="5"/>
      <c r="K210" s="5"/>
      <c r="L210" s="5"/>
      <c r="M210" s="5"/>
      <c r="N210" s="5"/>
      <c r="O210" s="5"/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/>
      <c r="J211" s="5"/>
      <c r="K211" s="5"/>
      <c r="L211" s="5"/>
      <c r="M211" s="5"/>
      <c r="N211" s="5"/>
      <c r="O211" s="5"/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/>
      <c r="J212" s="5"/>
      <c r="K212" s="5"/>
      <c r="L212" s="5"/>
      <c r="M212" s="5"/>
      <c r="N212" s="5"/>
      <c r="O212" s="5"/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/>
      <c r="J213" s="5"/>
      <c r="K213" s="5"/>
      <c r="L213" s="5"/>
      <c r="M213" s="5"/>
      <c r="N213" s="5"/>
      <c r="O213" s="5"/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/>
      <c r="J214" s="5"/>
      <c r="K214" s="5"/>
      <c r="L214" s="5"/>
      <c r="M214" s="5"/>
      <c r="N214" s="5"/>
      <c r="O214" s="5"/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/>
      <c r="J215" s="5"/>
      <c r="K215" s="5"/>
      <c r="L215" s="5"/>
      <c r="M215" s="5"/>
      <c r="N215" s="5"/>
      <c r="O215" s="5"/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/>
      <c r="J216" s="5"/>
      <c r="K216" s="5"/>
      <c r="L216" s="5"/>
      <c r="M216" s="5"/>
      <c r="N216" s="5"/>
      <c r="O216" s="5"/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/>
      <c r="J217" s="5"/>
      <c r="K217" s="5"/>
      <c r="L217" s="5"/>
      <c r="M217" s="5"/>
      <c r="N217" s="5"/>
      <c r="O217" s="5"/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/>
      <c r="J218" s="5"/>
      <c r="K218" s="5"/>
      <c r="L218" s="5"/>
      <c r="M218" s="5"/>
      <c r="N218" s="5"/>
      <c r="O218" s="5"/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/>
      <c r="J219" s="5"/>
      <c r="K219" s="5"/>
      <c r="L219" s="5"/>
      <c r="M219" s="5"/>
      <c r="N219" s="5"/>
      <c r="O219" s="5"/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/>
      <c r="J220" s="5"/>
      <c r="K220" s="5"/>
      <c r="L220" s="5"/>
      <c r="M220" s="5"/>
      <c r="N220" s="5"/>
      <c r="O220" s="5"/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/>
      <c r="J221" s="5"/>
      <c r="K221" s="5"/>
      <c r="L221" s="5"/>
      <c r="M221" s="5"/>
      <c r="N221" s="5"/>
      <c r="O221" s="5"/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/>
      <c r="J222" s="5"/>
      <c r="K222" s="5"/>
      <c r="L222" s="5"/>
      <c r="M222" s="5"/>
      <c r="N222" s="5"/>
      <c r="O222" s="5"/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/>
      <c r="J223" s="5"/>
      <c r="K223" s="5"/>
      <c r="L223" s="5"/>
      <c r="M223" s="5"/>
      <c r="N223" s="5"/>
      <c r="O223" s="5"/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/>
      <c r="J224" s="5"/>
      <c r="K224" s="5"/>
      <c r="L224" s="5"/>
      <c r="M224" s="5"/>
      <c r="N224" s="5"/>
      <c r="O224" s="5"/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/>
      <c r="J225" s="5"/>
      <c r="K225" s="5"/>
      <c r="L225" s="5"/>
      <c r="M225" s="5"/>
      <c r="N225" s="5"/>
      <c r="O225" s="5"/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/>
      <c r="J226" s="5"/>
      <c r="K226" s="5"/>
      <c r="L226" s="5"/>
      <c r="M226" s="5"/>
      <c r="N226" s="5"/>
      <c r="O226" s="5"/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/>
      <c r="J227" s="5"/>
      <c r="K227" s="5"/>
      <c r="L227" s="5"/>
      <c r="M227" s="5"/>
      <c r="N227" s="5"/>
      <c r="O227" s="5"/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/>
      <c r="J228" s="5"/>
      <c r="K228" s="5"/>
      <c r="L228" s="5"/>
      <c r="M228" s="5"/>
      <c r="N228" s="5"/>
      <c r="O228" s="5"/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/>
      <c r="J229" s="5"/>
      <c r="K229" s="5"/>
      <c r="L229" s="5"/>
      <c r="M229" s="5"/>
      <c r="N229" s="5"/>
      <c r="O229" s="5"/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/>
      <c r="J230" s="5"/>
      <c r="K230" s="5"/>
      <c r="L230" s="5"/>
      <c r="M230" s="5"/>
      <c r="N230" s="5"/>
      <c r="O230" s="5"/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/>
      <c r="J231" s="5"/>
      <c r="K231" s="5"/>
      <c r="L231" s="5"/>
      <c r="M231" s="5"/>
      <c r="N231" s="5"/>
      <c r="O231" s="5"/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/>
      <c r="J232" s="5"/>
      <c r="K232" s="5"/>
      <c r="L232" s="5"/>
      <c r="M232" s="5"/>
      <c r="N232" s="5"/>
      <c r="O232" s="5"/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/>
      <c r="J233" s="5"/>
      <c r="K233" s="24"/>
      <c r="L233" s="5"/>
      <c r="M233" s="5"/>
      <c r="N233" s="5"/>
      <c r="O233" s="5"/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5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5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24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5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24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5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D517" s="25"/>
      <c r="E517" s="25"/>
      <c r="F517" s="25"/>
      <c r="G517" s="26"/>
      <c r="H517" s="4"/>
    </row>
    <row r="518">
      <c r="D518" s="25"/>
      <c r="E518" s="25"/>
      <c r="F518" s="25"/>
      <c r="G518" s="26"/>
      <c r="H518" s="4"/>
    </row>
    <row r="519">
      <c r="D519" s="25"/>
      <c r="E519" s="25"/>
      <c r="F519" s="25"/>
      <c r="G519" s="26"/>
      <c r="H519" s="4"/>
    </row>
    <row r="520">
      <c r="D520" s="25"/>
      <c r="E520" s="25"/>
      <c r="F520" s="25"/>
      <c r="G520" s="26"/>
      <c r="H520" s="4"/>
    </row>
    <row r="521">
      <c r="D521" s="25"/>
      <c r="E521" s="25"/>
      <c r="F521" s="25"/>
      <c r="G521" s="26"/>
      <c r="H521" s="4"/>
    </row>
    <row r="522">
      <c r="D522" s="25"/>
      <c r="E522" s="25"/>
      <c r="F522" s="25"/>
      <c r="G522" s="26"/>
      <c r="H522" s="4"/>
    </row>
    <row r="523">
      <c r="D523" s="25"/>
      <c r="E523" s="25"/>
      <c r="F523" s="25"/>
      <c r="G523" s="26"/>
      <c r="H523" s="4"/>
    </row>
    <row r="524">
      <c r="D524" s="25"/>
      <c r="E524" s="25"/>
      <c r="F524" s="25"/>
      <c r="G524" s="26"/>
      <c r="H524" s="4"/>
    </row>
    <row r="525">
      <c r="D525" s="25"/>
      <c r="E525" s="25"/>
      <c r="F525" s="25"/>
      <c r="G525" s="26"/>
      <c r="H525" s="4"/>
    </row>
    <row r="526">
      <c r="D526" s="25"/>
      <c r="E526" s="25"/>
      <c r="F526" s="25"/>
      <c r="G526" s="26"/>
      <c r="H526" s="4"/>
    </row>
    <row r="527">
      <c r="D527" s="25"/>
      <c r="E527" s="25"/>
      <c r="F527" s="25"/>
      <c r="G527" s="26"/>
      <c r="H527" s="4"/>
    </row>
    <row r="528">
      <c r="D528" s="25"/>
      <c r="E528" s="25"/>
      <c r="F528" s="25"/>
      <c r="G528" s="26"/>
      <c r="H528" s="4"/>
    </row>
    <row r="529">
      <c r="D529" s="25"/>
      <c r="E529" s="25"/>
      <c r="F529" s="25"/>
      <c r="G529" s="26"/>
      <c r="H529" s="4"/>
    </row>
    <row r="530">
      <c r="D530" s="25"/>
      <c r="E530" s="25"/>
      <c r="F530" s="25"/>
      <c r="G530" s="26"/>
      <c r="H530" s="4"/>
    </row>
    <row r="531">
      <c r="D531" s="25"/>
      <c r="E531" s="25"/>
      <c r="F531" s="25"/>
      <c r="G531" s="26"/>
      <c r="H531" s="4"/>
    </row>
    <row r="532">
      <c r="D532" s="25"/>
      <c r="E532" s="25"/>
      <c r="F532" s="25"/>
      <c r="G532" s="26"/>
      <c r="H532" s="4"/>
    </row>
    <row r="533">
      <c r="D533" s="25"/>
      <c r="E533" s="25"/>
      <c r="F533" s="25"/>
      <c r="G533" s="26"/>
      <c r="H533" s="4"/>
    </row>
    <row r="534">
      <c r="D534" s="25"/>
      <c r="E534" s="25"/>
      <c r="F534" s="25"/>
      <c r="G534" s="26"/>
      <c r="H534" s="4"/>
    </row>
    <row r="535">
      <c r="D535" s="25"/>
      <c r="E535" s="25"/>
      <c r="F535" s="25"/>
      <c r="G535" s="26"/>
      <c r="H535" s="4"/>
    </row>
    <row r="536">
      <c r="D536" s="25"/>
      <c r="E536" s="25"/>
      <c r="F536" s="25"/>
      <c r="G536" s="26"/>
      <c r="H536" s="4"/>
    </row>
    <row r="537">
      <c r="D537" s="25"/>
      <c r="E537" s="25"/>
      <c r="F537" s="25"/>
      <c r="G537" s="26"/>
      <c r="H537" s="4"/>
    </row>
    <row r="538">
      <c r="D538" s="25"/>
      <c r="E538" s="25"/>
      <c r="F538" s="25"/>
      <c r="G538" s="26"/>
      <c r="H538" s="4"/>
    </row>
    <row r="539">
      <c r="D539" s="25"/>
      <c r="E539" s="25"/>
      <c r="F539" s="25"/>
      <c r="G539" s="26"/>
      <c r="H539" s="4"/>
    </row>
    <row r="540">
      <c r="D540" s="25"/>
      <c r="E540" s="25"/>
      <c r="F540" s="25"/>
      <c r="G540" s="26"/>
      <c r="H540" s="4"/>
    </row>
    <row r="541">
      <c r="D541" s="25"/>
      <c r="E541" s="25"/>
      <c r="F541" s="25"/>
      <c r="G541" s="26"/>
      <c r="H541" s="4"/>
    </row>
    <row r="542">
      <c r="D542" s="25"/>
      <c r="E542" s="25"/>
      <c r="F542" s="25"/>
      <c r="G542" s="26"/>
      <c r="H542" s="4"/>
    </row>
    <row r="543">
      <c r="D543" s="25"/>
      <c r="E543" s="25"/>
      <c r="F543" s="25"/>
      <c r="G543" s="26"/>
      <c r="H543" s="4"/>
    </row>
    <row r="544">
      <c r="D544" s="25"/>
      <c r="E544" s="25"/>
      <c r="F544" s="25"/>
      <c r="G544" s="26"/>
      <c r="H544" s="4"/>
    </row>
    <row r="545">
      <c r="D545" s="25"/>
      <c r="E545" s="25"/>
      <c r="F545" s="25"/>
      <c r="G545" s="26"/>
      <c r="H545" s="4"/>
    </row>
    <row r="546">
      <c r="D546" s="25"/>
      <c r="E546" s="25"/>
      <c r="F546" s="25"/>
      <c r="G546" s="26"/>
      <c r="H546" s="4"/>
    </row>
    <row r="547">
      <c r="D547" s="25"/>
      <c r="E547" s="25"/>
      <c r="F547" s="25"/>
      <c r="G547" s="26"/>
      <c r="H547" s="4"/>
    </row>
    <row r="548">
      <c r="D548" s="25"/>
      <c r="E548" s="25"/>
      <c r="F548" s="25"/>
      <c r="G548" s="26"/>
      <c r="H548" s="4"/>
    </row>
    <row r="549">
      <c r="D549" s="25"/>
      <c r="E549" s="25"/>
      <c r="F549" s="25"/>
      <c r="G549" s="26"/>
      <c r="H549" s="4"/>
    </row>
    <row r="550">
      <c r="D550" s="25"/>
      <c r="E550" s="25"/>
      <c r="F550" s="25"/>
      <c r="G550" s="26"/>
      <c r="H550" s="4"/>
    </row>
    <row r="551">
      <c r="D551" s="25"/>
      <c r="E551" s="25"/>
      <c r="F551" s="25"/>
      <c r="G551" s="26"/>
      <c r="H551" s="4"/>
    </row>
    <row r="552">
      <c r="D552" s="25"/>
      <c r="E552" s="25"/>
      <c r="F552" s="25"/>
      <c r="G552" s="26"/>
      <c r="H552" s="4"/>
    </row>
    <row r="553">
      <c r="D553" s="25"/>
      <c r="E553" s="25"/>
      <c r="F553" s="25"/>
      <c r="G553" s="26"/>
      <c r="H553" s="4"/>
    </row>
    <row r="554">
      <c r="D554" s="25"/>
      <c r="E554" s="25"/>
      <c r="F554" s="25"/>
      <c r="G554" s="26"/>
      <c r="H554" s="4"/>
    </row>
    <row r="555">
      <c r="D555" s="25"/>
      <c r="E555" s="25"/>
      <c r="F555" s="25"/>
      <c r="G555" s="26"/>
      <c r="H555" s="4"/>
    </row>
    <row r="556">
      <c r="D556" s="25"/>
      <c r="E556" s="25"/>
      <c r="F556" s="25"/>
      <c r="G556" s="26"/>
      <c r="H556" s="4"/>
    </row>
    <row r="557">
      <c r="D557" s="25"/>
      <c r="E557" s="25"/>
      <c r="F557" s="25"/>
      <c r="G557" s="26"/>
      <c r="H557" s="4"/>
    </row>
    <row r="558">
      <c r="D558" s="25"/>
      <c r="E558" s="25"/>
      <c r="F558" s="25"/>
      <c r="G558" s="26"/>
      <c r="H558" s="4"/>
    </row>
    <row r="559">
      <c r="D559" s="25"/>
      <c r="E559" s="25"/>
      <c r="F559" s="25"/>
      <c r="G559" s="26"/>
      <c r="H559" s="4"/>
    </row>
    <row r="560">
      <c r="D560" s="25"/>
      <c r="E560" s="25"/>
      <c r="F560" s="25"/>
      <c r="G560" s="26"/>
      <c r="H560" s="4"/>
    </row>
    <row r="561">
      <c r="D561" s="25"/>
      <c r="E561" s="25"/>
      <c r="F561" s="25"/>
      <c r="G561" s="26"/>
      <c r="H561" s="4"/>
    </row>
    <row r="562">
      <c r="D562" s="25"/>
      <c r="E562" s="25"/>
      <c r="F562" s="25"/>
      <c r="G562" s="26"/>
      <c r="H562" s="4"/>
    </row>
    <row r="563">
      <c r="D563" s="25"/>
      <c r="E563" s="25"/>
      <c r="F563" s="25"/>
      <c r="G563" s="26"/>
      <c r="H563" s="4"/>
    </row>
    <row r="564">
      <c r="D564" s="25"/>
      <c r="E564" s="25"/>
      <c r="F564" s="25"/>
      <c r="G564" s="26"/>
      <c r="H564" s="4"/>
    </row>
    <row r="565">
      <c r="D565" s="25"/>
      <c r="E565" s="25"/>
      <c r="F565" s="25"/>
      <c r="G565" s="26"/>
      <c r="H565" s="4"/>
    </row>
    <row r="566">
      <c r="D566" s="25"/>
      <c r="E566" s="25"/>
      <c r="F566" s="25"/>
      <c r="G566" s="26"/>
      <c r="H566" s="4"/>
    </row>
    <row r="567">
      <c r="D567" s="25"/>
      <c r="E567" s="25"/>
      <c r="F567" s="25"/>
      <c r="G567" s="26"/>
      <c r="H567" s="4"/>
    </row>
    <row r="568">
      <c r="D568" s="25"/>
      <c r="E568" s="25"/>
      <c r="F568" s="25"/>
      <c r="G568" s="26"/>
      <c r="H568" s="4"/>
    </row>
    <row r="569">
      <c r="D569" s="25"/>
      <c r="E569" s="25"/>
      <c r="F569" s="25"/>
      <c r="G569" s="26"/>
      <c r="H569" s="4"/>
    </row>
    <row r="570">
      <c r="D570" s="25"/>
      <c r="E570" s="25"/>
      <c r="F570" s="25"/>
      <c r="G570" s="26"/>
      <c r="H570" s="4"/>
    </row>
    <row r="571">
      <c r="D571" s="25"/>
      <c r="E571" s="25"/>
      <c r="F571" s="25"/>
      <c r="G571" s="26"/>
      <c r="H571" s="4"/>
    </row>
    <row r="572">
      <c r="D572" s="25"/>
      <c r="E572" s="25"/>
      <c r="F572" s="25"/>
      <c r="G572" s="26"/>
      <c r="H572" s="4"/>
    </row>
    <row r="573">
      <c r="D573" s="25"/>
      <c r="E573" s="25"/>
      <c r="F573" s="25"/>
      <c r="G573" s="26"/>
      <c r="H573" s="4"/>
    </row>
    <row r="574">
      <c r="D574" s="25"/>
      <c r="E574" s="25"/>
      <c r="F574" s="25"/>
      <c r="G574" s="26"/>
      <c r="H574" s="4"/>
    </row>
    <row r="575">
      <c r="D575" s="25"/>
      <c r="E575" s="25"/>
      <c r="F575" s="25"/>
      <c r="G575" s="26"/>
      <c r="H575" s="4"/>
    </row>
    <row r="576">
      <c r="D576" s="25"/>
      <c r="E576" s="25"/>
      <c r="F576" s="25"/>
      <c r="G576" s="26"/>
      <c r="H576" s="4"/>
    </row>
    <row r="577">
      <c r="D577" s="25"/>
      <c r="E577" s="25"/>
      <c r="F577" s="25"/>
      <c r="G577" s="26"/>
      <c r="H577" s="4"/>
    </row>
    <row r="578">
      <c r="D578" s="25"/>
      <c r="E578" s="25"/>
      <c r="F578" s="25"/>
      <c r="G578" s="26"/>
      <c r="H578" s="4"/>
    </row>
    <row r="579">
      <c r="D579" s="25"/>
      <c r="E579" s="25"/>
      <c r="F579" s="25"/>
      <c r="G579" s="26"/>
      <c r="H579" s="4"/>
    </row>
    <row r="580">
      <c r="D580" s="25"/>
      <c r="E580" s="25"/>
      <c r="F580" s="25"/>
      <c r="G580" s="26"/>
      <c r="H580" s="4"/>
    </row>
    <row r="581">
      <c r="D581" s="25"/>
      <c r="E581" s="25"/>
      <c r="F581" s="25"/>
      <c r="G581" s="26"/>
      <c r="H581" s="4"/>
    </row>
    <row r="582">
      <c r="D582" s="25"/>
      <c r="E582" s="25"/>
      <c r="F582" s="25"/>
      <c r="G582" s="26"/>
      <c r="H582" s="4"/>
    </row>
    <row r="583">
      <c r="D583" s="25"/>
      <c r="E583" s="25"/>
      <c r="F583" s="25"/>
      <c r="G583" s="26"/>
      <c r="H583" s="4"/>
    </row>
    <row r="584">
      <c r="D584" s="25"/>
      <c r="E584" s="25"/>
      <c r="F584" s="25"/>
      <c r="G584" s="26"/>
      <c r="H584" s="4"/>
    </row>
    <row r="585">
      <c r="D585" s="25"/>
      <c r="E585" s="25"/>
      <c r="F585" s="25"/>
      <c r="G585" s="26"/>
      <c r="H585" s="4"/>
    </row>
    <row r="586">
      <c r="D586" s="25"/>
      <c r="E586" s="25"/>
      <c r="F586" s="25"/>
      <c r="G586" s="26"/>
      <c r="H586" s="4"/>
    </row>
    <row r="587">
      <c r="D587" s="25"/>
      <c r="E587" s="25"/>
      <c r="F587" s="25"/>
      <c r="G587" s="26"/>
      <c r="H587" s="4"/>
    </row>
    <row r="588">
      <c r="D588" s="25"/>
      <c r="E588" s="25"/>
      <c r="F588" s="25"/>
      <c r="G588" s="26"/>
      <c r="H588" s="4"/>
    </row>
    <row r="589">
      <c r="D589" s="25"/>
      <c r="E589" s="25"/>
      <c r="F589" s="25"/>
      <c r="G589" s="26"/>
      <c r="H589" s="4"/>
    </row>
    <row r="590">
      <c r="D590" s="25"/>
      <c r="E590" s="25"/>
      <c r="F590" s="25"/>
      <c r="G590" s="26"/>
      <c r="H590" s="4"/>
    </row>
    <row r="591">
      <c r="D591" s="25"/>
      <c r="E591" s="25"/>
      <c r="F591" s="25"/>
      <c r="G591" s="26"/>
      <c r="H591" s="4"/>
    </row>
    <row r="592">
      <c r="D592" s="25"/>
      <c r="E592" s="25"/>
      <c r="F592" s="25"/>
      <c r="G592" s="26"/>
      <c r="H592" s="4"/>
    </row>
    <row r="593">
      <c r="D593" s="25"/>
      <c r="E593" s="25"/>
      <c r="F593" s="25"/>
      <c r="G593" s="26"/>
      <c r="H593" s="4"/>
    </row>
    <row r="594">
      <c r="D594" s="25"/>
      <c r="E594" s="25"/>
      <c r="F594" s="25"/>
      <c r="G594" s="26"/>
      <c r="H594" s="4"/>
    </row>
    <row r="595">
      <c r="D595" s="25"/>
      <c r="E595" s="25"/>
      <c r="F595" s="25"/>
      <c r="G595" s="26"/>
      <c r="H595" s="4"/>
    </row>
    <row r="596">
      <c r="D596" s="25"/>
      <c r="E596" s="25"/>
      <c r="F596" s="25"/>
      <c r="G596" s="26"/>
      <c r="H596" s="4"/>
    </row>
    <row r="597">
      <c r="D597" s="25"/>
      <c r="E597" s="25"/>
      <c r="F597" s="25"/>
      <c r="G597" s="26"/>
      <c r="H597" s="4"/>
    </row>
    <row r="598">
      <c r="D598" s="25"/>
      <c r="E598" s="25"/>
      <c r="F598" s="25"/>
      <c r="G598" s="26"/>
      <c r="H598" s="4"/>
    </row>
    <row r="599">
      <c r="D599" s="25"/>
      <c r="E599" s="25"/>
      <c r="F599" s="25"/>
      <c r="G599" s="26"/>
      <c r="H599" s="4"/>
    </row>
    <row r="600">
      <c r="D600" s="25"/>
      <c r="E600" s="25"/>
      <c r="F600" s="25"/>
      <c r="G600" s="26"/>
      <c r="H600" s="4"/>
    </row>
    <row r="601">
      <c r="D601" s="25"/>
      <c r="E601" s="25"/>
      <c r="F601" s="25"/>
      <c r="G601" s="26"/>
      <c r="H601" s="4"/>
    </row>
    <row r="602">
      <c r="D602" s="25"/>
      <c r="E602" s="25"/>
      <c r="F602" s="25"/>
      <c r="G602" s="26"/>
      <c r="H602" s="4"/>
    </row>
    <row r="603">
      <c r="D603" s="25"/>
      <c r="E603" s="25"/>
      <c r="F603" s="25"/>
      <c r="G603" s="26"/>
      <c r="H603" s="4"/>
    </row>
    <row r="604">
      <c r="D604" s="25"/>
      <c r="E604" s="25"/>
      <c r="F604" s="25"/>
      <c r="G604" s="26"/>
      <c r="H604" s="4"/>
    </row>
    <row r="605">
      <c r="D605" s="25"/>
      <c r="E605" s="25"/>
      <c r="F605" s="25"/>
      <c r="G605" s="26"/>
      <c r="H605" s="4"/>
    </row>
    <row r="606">
      <c r="D606" s="25"/>
      <c r="E606" s="25"/>
      <c r="F606" s="25"/>
      <c r="G606" s="26"/>
      <c r="H606" s="4"/>
    </row>
    <row r="607">
      <c r="D607" s="25"/>
      <c r="E607" s="25"/>
      <c r="F607" s="25"/>
      <c r="G607" s="26"/>
      <c r="H607" s="4"/>
    </row>
    <row r="608">
      <c r="D608" s="25"/>
      <c r="E608" s="25"/>
      <c r="F608" s="25"/>
      <c r="G608" s="26"/>
      <c r="H608" s="4"/>
    </row>
    <row r="609">
      <c r="D609" s="25"/>
      <c r="E609" s="25"/>
      <c r="F609" s="25"/>
      <c r="G609" s="26"/>
      <c r="H609" s="4"/>
    </row>
    <row r="610">
      <c r="D610" s="25"/>
      <c r="E610" s="25"/>
      <c r="F610" s="25"/>
      <c r="G610" s="26"/>
      <c r="H610" s="4"/>
    </row>
    <row r="611">
      <c r="D611" s="25"/>
      <c r="E611" s="25"/>
      <c r="F611" s="25"/>
      <c r="G611" s="26"/>
      <c r="H611" s="4"/>
    </row>
    <row r="612">
      <c r="D612" s="25"/>
      <c r="E612" s="25"/>
      <c r="F612" s="25"/>
      <c r="G612" s="26"/>
      <c r="H612" s="4"/>
    </row>
    <row r="613">
      <c r="D613" s="25"/>
      <c r="E613" s="25"/>
      <c r="F613" s="25"/>
      <c r="G613" s="26"/>
      <c r="H613" s="4"/>
    </row>
    <row r="614">
      <c r="D614" s="25"/>
      <c r="E614" s="25"/>
      <c r="F614" s="25"/>
      <c r="G614" s="26"/>
      <c r="H614" s="4"/>
    </row>
    <row r="615">
      <c r="D615" s="25"/>
      <c r="E615" s="25"/>
      <c r="F615" s="25"/>
      <c r="G615" s="26"/>
      <c r="H615" s="4"/>
    </row>
    <row r="616">
      <c r="D616" s="25"/>
      <c r="E616" s="25"/>
      <c r="F616" s="25"/>
      <c r="G616" s="26"/>
      <c r="H616" s="4"/>
    </row>
    <row r="617">
      <c r="D617" s="25"/>
      <c r="E617" s="25"/>
      <c r="F617" s="25"/>
      <c r="G617" s="26"/>
      <c r="H617" s="4"/>
    </row>
    <row r="618">
      <c r="D618" s="25"/>
      <c r="E618" s="25"/>
      <c r="F618" s="25"/>
      <c r="G618" s="26"/>
      <c r="H618" s="4"/>
    </row>
    <row r="619">
      <c r="D619" s="25"/>
      <c r="E619" s="25"/>
      <c r="F619" s="25"/>
      <c r="G619" s="26"/>
      <c r="H619" s="4"/>
    </row>
    <row r="620">
      <c r="D620" s="25"/>
      <c r="E620" s="25"/>
      <c r="F620" s="25"/>
      <c r="G620" s="26"/>
      <c r="H620" s="4"/>
    </row>
    <row r="621">
      <c r="D621" s="25"/>
      <c r="E621" s="25"/>
      <c r="F621" s="25"/>
      <c r="G621" s="26"/>
      <c r="H621" s="4"/>
    </row>
    <row r="622">
      <c r="D622" s="25"/>
      <c r="E622" s="25"/>
      <c r="F622" s="25"/>
      <c r="G622" s="26"/>
      <c r="H622" s="4"/>
    </row>
    <row r="623">
      <c r="D623" s="25"/>
      <c r="E623" s="25"/>
      <c r="F623" s="25"/>
      <c r="G623" s="26"/>
      <c r="H623" s="4"/>
    </row>
    <row r="624">
      <c r="D624" s="25"/>
      <c r="E624" s="25"/>
      <c r="F624" s="25"/>
      <c r="G624" s="26"/>
      <c r="H624" s="4"/>
    </row>
    <row r="625">
      <c r="D625" s="25"/>
      <c r="E625" s="25"/>
      <c r="F625" s="25"/>
      <c r="G625" s="26"/>
      <c r="H625" s="4"/>
    </row>
    <row r="626">
      <c r="D626" s="25"/>
      <c r="E626" s="25"/>
      <c r="F626" s="25"/>
      <c r="G626" s="26"/>
      <c r="H626" s="4"/>
    </row>
    <row r="627">
      <c r="D627" s="25"/>
      <c r="E627" s="25"/>
      <c r="F627" s="25"/>
      <c r="G627" s="26"/>
      <c r="H627" s="4"/>
    </row>
    <row r="628">
      <c r="D628" s="25"/>
      <c r="E628" s="25"/>
      <c r="F628" s="25"/>
      <c r="G628" s="26"/>
      <c r="H628" s="4"/>
    </row>
    <row r="629">
      <c r="D629" s="25"/>
      <c r="E629" s="25"/>
      <c r="F629" s="25"/>
      <c r="G629" s="26"/>
      <c r="H629" s="4"/>
    </row>
    <row r="630">
      <c r="D630" s="25"/>
      <c r="E630" s="25"/>
      <c r="F630" s="25"/>
      <c r="G630" s="26"/>
      <c r="H630" s="4"/>
    </row>
    <row r="631">
      <c r="D631" s="25"/>
      <c r="E631" s="25"/>
      <c r="F631" s="25"/>
      <c r="G631" s="26"/>
      <c r="H631" s="4"/>
    </row>
    <row r="632">
      <c r="D632" s="25"/>
      <c r="E632" s="25"/>
      <c r="F632" s="25"/>
      <c r="G632" s="26"/>
      <c r="H632" s="4"/>
    </row>
    <row r="633">
      <c r="D633" s="25"/>
      <c r="E633" s="25"/>
      <c r="F633" s="25"/>
      <c r="G633" s="26"/>
      <c r="H633" s="4"/>
    </row>
    <row r="634">
      <c r="D634" s="25"/>
      <c r="E634" s="25"/>
      <c r="F634" s="25"/>
      <c r="G634" s="26"/>
      <c r="H634" s="4"/>
    </row>
    <row r="635">
      <c r="D635" s="25"/>
      <c r="E635" s="25"/>
      <c r="F635" s="25"/>
      <c r="G635" s="26"/>
      <c r="H635" s="4"/>
    </row>
    <row r="636">
      <c r="D636" s="25"/>
      <c r="E636" s="25"/>
      <c r="F636" s="25"/>
      <c r="G636" s="26"/>
      <c r="H636" s="4"/>
    </row>
    <row r="637">
      <c r="D637" s="25"/>
      <c r="E637" s="25"/>
      <c r="F637" s="25"/>
      <c r="G637" s="26"/>
      <c r="H637" s="4"/>
    </row>
    <row r="638">
      <c r="D638" s="25"/>
      <c r="E638" s="25"/>
      <c r="F638" s="25"/>
      <c r="G638" s="26"/>
      <c r="H638" s="4"/>
    </row>
    <row r="639">
      <c r="D639" s="25"/>
      <c r="E639" s="25"/>
      <c r="F639" s="25"/>
      <c r="G639" s="26"/>
      <c r="H639" s="4"/>
    </row>
    <row r="640">
      <c r="D640" s="25"/>
      <c r="E640" s="25"/>
      <c r="F640" s="25"/>
      <c r="G640" s="26"/>
      <c r="H640" s="4"/>
    </row>
    <row r="641">
      <c r="D641" s="25"/>
      <c r="E641" s="25"/>
      <c r="F641" s="25"/>
      <c r="G641" s="26"/>
      <c r="H641" s="4"/>
    </row>
    <row r="642">
      <c r="D642" s="25"/>
      <c r="E642" s="25"/>
      <c r="F642" s="25"/>
      <c r="G642" s="26"/>
      <c r="H642" s="4"/>
    </row>
    <row r="643">
      <c r="D643" s="25"/>
      <c r="E643" s="25"/>
      <c r="F643" s="25"/>
      <c r="G643" s="26"/>
      <c r="H643" s="4"/>
    </row>
    <row r="644">
      <c r="D644" s="25"/>
      <c r="E644" s="25"/>
      <c r="F644" s="25"/>
      <c r="G644" s="26"/>
      <c r="H644" s="4"/>
    </row>
    <row r="645">
      <c r="D645" s="25"/>
      <c r="E645" s="25"/>
      <c r="F645" s="25"/>
      <c r="G645" s="26"/>
      <c r="H645" s="4"/>
    </row>
    <row r="646">
      <c r="D646" s="25"/>
      <c r="E646" s="25"/>
      <c r="F646" s="25"/>
      <c r="G646" s="26"/>
      <c r="H646" s="4"/>
    </row>
    <row r="647">
      <c r="D647" s="25"/>
      <c r="E647" s="25"/>
      <c r="F647" s="25"/>
      <c r="G647" s="26"/>
      <c r="H647" s="4"/>
    </row>
    <row r="648">
      <c r="D648" s="25"/>
      <c r="E648" s="25"/>
      <c r="F648" s="25"/>
      <c r="G648" s="26"/>
      <c r="H648" s="4"/>
    </row>
    <row r="649">
      <c r="D649" s="25"/>
      <c r="E649" s="25"/>
      <c r="F649" s="25"/>
      <c r="G649" s="26"/>
      <c r="H649" s="4"/>
    </row>
    <row r="650">
      <c r="D650" s="25"/>
      <c r="E650" s="25"/>
      <c r="F650" s="25"/>
      <c r="G650" s="26"/>
      <c r="H650" s="4"/>
    </row>
    <row r="651">
      <c r="D651" s="25"/>
      <c r="E651" s="25"/>
      <c r="F651" s="25"/>
      <c r="G651" s="26"/>
      <c r="H651" s="4"/>
    </row>
    <row r="652">
      <c r="D652" s="25"/>
      <c r="E652" s="25"/>
      <c r="F652" s="25"/>
      <c r="G652" s="26"/>
      <c r="H652" s="4"/>
    </row>
    <row r="653">
      <c r="D653" s="25"/>
      <c r="E653" s="25"/>
      <c r="F653" s="25"/>
      <c r="G653" s="26"/>
      <c r="H653" s="4"/>
    </row>
    <row r="654">
      <c r="D654" s="25"/>
      <c r="E654" s="25"/>
      <c r="F654" s="25"/>
      <c r="G654" s="26"/>
      <c r="H654" s="4"/>
    </row>
    <row r="655">
      <c r="D655" s="25"/>
      <c r="E655" s="25"/>
      <c r="F655" s="25"/>
      <c r="G655" s="26"/>
      <c r="H655" s="4"/>
    </row>
    <row r="656">
      <c r="D656" s="25"/>
      <c r="E656" s="25"/>
      <c r="F656" s="25"/>
      <c r="G656" s="26"/>
      <c r="H656" s="4"/>
    </row>
    <row r="657">
      <c r="D657" s="25"/>
      <c r="E657" s="25"/>
      <c r="F657" s="25"/>
      <c r="G657" s="26"/>
      <c r="H657" s="4"/>
    </row>
    <row r="658">
      <c r="D658" s="25"/>
      <c r="E658" s="25"/>
      <c r="F658" s="25"/>
      <c r="G658" s="26"/>
      <c r="H658" s="4"/>
    </row>
    <row r="659">
      <c r="D659" s="25"/>
      <c r="E659" s="25"/>
      <c r="F659" s="25"/>
      <c r="G659" s="26"/>
      <c r="H659" s="4"/>
    </row>
    <row r="660">
      <c r="D660" s="25"/>
      <c r="E660" s="25"/>
      <c r="F660" s="25"/>
      <c r="G660" s="26"/>
      <c r="H660" s="4"/>
    </row>
    <row r="661">
      <c r="D661" s="25"/>
      <c r="E661" s="25"/>
      <c r="F661" s="25"/>
      <c r="G661" s="26"/>
      <c r="H661" s="4"/>
    </row>
    <row r="662">
      <c r="D662" s="25"/>
      <c r="E662" s="25"/>
      <c r="F662" s="25"/>
      <c r="G662" s="26"/>
      <c r="H662" s="4"/>
    </row>
    <row r="663">
      <c r="D663" s="25"/>
      <c r="E663" s="25"/>
      <c r="F663" s="25"/>
      <c r="G663" s="26"/>
      <c r="H663" s="4"/>
    </row>
    <row r="664">
      <c r="D664" s="25"/>
      <c r="E664" s="25"/>
      <c r="F664" s="25"/>
      <c r="G664" s="26"/>
      <c r="H664" s="4"/>
    </row>
    <row r="665">
      <c r="D665" s="25"/>
      <c r="E665" s="25"/>
      <c r="F665" s="25"/>
      <c r="G665" s="26"/>
      <c r="H665" s="4"/>
    </row>
    <row r="666">
      <c r="D666" s="25"/>
      <c r="E666" s="25"/>
      <c r="F666" s="25"/>
      <c r="G666" s="26"/>
      <c r="H666" s="4"/>
    </row>
    <row r="667">
      <c r="D667" s="25"/>
      <c r="E667" s="25"/>
      <c r="F667" s="25"/>
      <c r="G667" s="26"/>
      <c r="H667" s="4"/>
    </row>
    <row r="668">
      <c r="D668" s="25"/>
      <c r="E668" s="25"/>
      <c r="F668" s="25"/>
      <c r="G668" s="26"/>
      <c r="H668" s="4"/>
    </row>
    <row r="669">
      <c r="D669" s="25"/>
      <c r="E669" s="25"/>
      <c r="F669" s="25"/>
      <c r="G669" s="26"/>
      <c r="H669" s="4"/>
    </row>
    <row r="670">
      <c r="D670" s="25"/>
      <c r="E670" s="25"/>
      <c r="F670" s="25"/>
      <c r="G670" s="26"/>
      <c r="H670" s="4"/>
    </row>
    <row r="671">
      <c r="D671" s="25"/>
      <c r="E671" s="25"/>
      <c r="F671" s="25"/>
      <c r="G671" s="26"/>
      <c r="H671" s="4"/>
    </row>
    <row r="672">
      <c r="D672" s="25"/>
      <c r="E672" s="25"/>
      <c r="F672" s="25"/>
      <c r="G672" s="26"/>
      <c r="H672" s="4"/>
    </row>
    <row r="673">
      <c r="D673" s="25"/>
      <c r="E673" s="25"/>
      <c r="F673" s="25"/>
      <c r="G673" s="26"/>
      <c r="H673" s="4"/>
    </row>
    <row r="674">
      <c r="D674" s="25"/>
      <c r="E674" s="25"/>
      <c r="F674" s="25"/>
      <c r="G674" s="26"/>
      <c r="H674" s="4"/>
    </row>
    <row r="675">
      <c r="D675" s="25"/>
      <c r="E675" s="25"/>
      <c r="F675" s="25"/>
      <c r="G675" s="26"/>
      <c r="H675" s="4"/>
    </row>
    <row r="676">
      <c r="D676" s="25"/>
      <c r="E676" s="25"/>
      <c r="F676" s="25"/>
      <c r="G676" s="26"/>
      <c r="H676" s="4"/>
    </row>
    <row r="677">
      <c r="D677" s="25"/>
      <c r="E677" s="25"/>
      <c r="F677" s="25"/>
      <c r="G677" s="26"/>
      <c r="H677" s="4"/>
    </row>
    <row r="678">
      <c r="D678" s="25"/>
      <c r="E678" s="25"/>
      <c r="F678" s="25"/>
      <c r="G678" s="26"/>
      <c r="H678" s="4"/>
    </row>
    <row r="679">
      <c r="D679" s="25"/>
      <c r="E679" s="25"/>
      <c r="F679" s="25"/>
      <c r="G679" s="26"/>
      <c r="H679" s="4"/>
    </row>
    <row r="680">
      <c r="D680" s="25"/>
      <c r="E680" s="25"/>
      <c r="F680" s="25"/>
      <c r="G680" s="26"/>
      <c r="H680" s="4"/>
    </row>
    <row r="681">
      <c r="D681" s="25"/>
      <c r="E681" s="25"/>
      <c r="F681" s="25"/>
      <c r="G681" s="26"/>
      <c r="H681" s="4"/>
    </row>
    <row r="682">
      <c r="D682" s="25"/>
      <c r="E682" s="25"/>
      <c r="F682" s="25"/>
      <c r="G682" s="26"/>
      <c r="H682" s="4"/>
    </row>
    <row r="683">
      <c r="D683" s="25"/>
      <c r="E683" s="25"/>
      <c r="F683" s="25"/>
      <c r="G683" s="26"/>
      <c r="H683" s="4"/>
    </row>
    <row r="684">
      <c r="D684" s="25"/>
      <c r="E684" s="25"/>
      <c r="F684" s="25"/>
      <c r="G684" s="26"/>
      <c r="H684" s="4"/>
    </row>
    <row r="685">
      <c r="D685" s="25"/>
      <c r="E685" s="25"/>
      <c r="F685" s="25"/>
      <c r="G685" s="26"/>
      <c r="H685" s="4"/>
    </row>
    <row r="686">
      <c r="D686" s="25"/>
      <c r="E686" s="25"/>
      <c r="F686" s="25"/>
      <c r="G686" s="26"/>
      <c r="H686" s="4"/>
    </row>
    <row r="687">
      <c r="D687" s="25"/>
      <c r="E687" s="25"/>
      <c r="F687" s="25"/>
      <c r="G687" s="26"/>
      <c r="H687" s="4"/>
    </row>
    <row r="688">
      <c r="D688" s="25"/>
      <c r="E688" s="25"/>
      <c r="F688" s="25"/>
      <c r="G688" s="26"/>
      <c r="H688" s="4"/>
    </row>
    <row r="689">
      <c r="D689" s="25"/>
      <c r="E689" s="25"/>
      <c r="F689" s="25"/>
      <c r="G689" s="26"/>
      <c r="H689" s="4"/>
    </row>
    <row r="690">
      <c r="D690" s="25"/>
      <c r="E690" s="25"/>
      <c r="F690" s="25"/>
      <c r="G690" s="26"/>
      <c r="H690" s="4"/>
    </row>
    <row r="691">
      <c r="D691" s="25"/>
      <c r="E691" s="25"/>
      <c r="F691" s="25"/>
      <c r="G691" s="26"/>
      <c r="H691" s="4"/>
    </row>
    <row r="692">
      <c r="D692" s="25"/>
      <c r="E692" s="25"/>
      <c r="F692" s="25"/>
      <c r="G692" s="26"/>
      <c r="H692" s="4"/>
    </row>
    <row r="693">
      <c r="D693" s="25"/>
      <c r="E693" s="25"/>
      <c r="F693" s="25"/>
      <c r="G693" s="26"/>
      <c r="H693" s="4"/>
    </row>
    <row r="694">
      <c r="D694" s="25"/>
      <c r="E694" s="25"/>
      <c r="F694" s="25"/>
      <c r="G694" s="26"/>
      <c r="H694" s="4"/>
    </row>
    <row r="695">
      <c r="D695" s="25"/>
      <c r="E695" s="25"/>
      <c r="F695" s="25"/>
      <c r="G695" s="26"/>
      <c r="H695" s="4"/>
    </row>
    <row r="696">
      <c r="D696" s="25"/>
      <c r="E696" s="25"/>
      <c r="F696" s="25"/>
      <c r="G696" s="26"/>
      <c r="H696" s="4"/>
    </row>
    <row r="697">
      <c r="D697" s="25"/>
      <c r="E697" s="25"/>
      <c r="F697" s="25"/>
      <c r="G697" s="26"/>
      <c r="H697" s="4"/>
    </row>
    <row r="698">
      <c r="D698" s="25"/>
      <c r="E698" s="25"/>
      <c r="F698" s="25"/>
      <c r="G698" s="26"/>
      <c r="H698" s="4"/>
    </row>
    <row r="699">
      <c r="D699" s="25"/>
      <c r="E699" s="25"/>
      <c r="F699" s="25"/>
      <c r="G699" s="26"/>
      <c r="H699" s="4"/>
    </row>
    <row r="700">
      <c r="D700" s="25"/>
      <c r="E700" s="25"/>
      <c r="F700" s="25"/>
      <c r="G700" s="26"/>
      <c r="H700" s="4"/>
    </row>
    <row r="701">
      <c r="D701" s="25"/>
      <c r="E701" s="25"/>
      <c r="F701" s="25"/>
      <c r="G701" s="26"/>
      <c r="H701" s="4"/>
    </row>
    <row r="702">
      <c r="D702" s="25"/>
      <c r="E702" s="25"/>
      <c r="F702" s="25"/>
      <c r="G702" s="26"/>
      <c r="H702" s="4"/>
    </row>
    <row r="703">
      <c r="D703" s="25"/>
      <c r="E703" s="25"/>
      <c r="F703" s="25"/>
      <c r="G703" s="26"/>
      <c r="H703" s="4"/>
    </row>
    <row r="704">
      <c r="D704" s="25"/>
      <c r="E704" s="25"/>
      <c r="F704" s="25"/>
      <c r="G704" s="26"/>
      <c r="H704" s="4"/>
    </row>
    <row r="705">
      <c r="D705" s="25"/>
      <c r="E705" s="25"/>
      <c r="F705" s="25"/>
      <c r="G705" s="26"/>
      <c r="H705" s="4"/>
    </row>
    <row r="706">
      <c r="D706" s="25"/>
      <c r="E706" s="25"/>
      <c r="F706" s="25"/>
      <c r="G706" s="26"/>
      <c r="H706" s="4"/>
    </row>
    <row r="707">
      <c r="D707" s="25"/>
      <c r="E707" s="25"/>
      <c r="F707" s="25"/>
      <c r="G707" s="26"/>
      <c r="H707" s="4"/>
    </row>
    <row r="708">
      <c r="D708" s="25"/>
      <c r="E708" s="25"/>
      <c r="F708" s="25"/>
      <c r="G708" s="26"/>
      <c r="H708" s="4"/>
    </row>
    <row r="709">
      <c r="D709" s="25"/>
      <c r="E709" s="25"/>
      <c r="F709" s="25"/>
      <c r="G709" s="26"/>
      <c r="H709" s="4"/>
    </row>
    <row r="710">
      <c r="D710" s="25"/>
      <c r="E710" s="25"/>
      <c r="F710" s="25"/>
      <c r="G710" s="26"/>
      <c r="H710" s="4"/>
    </row>
    <row r="711">
      <c r="D711" s="25"/>
      <c r="E711" s="25"/>
      <c r="F711" s="25"/>
      <c r="G711" s="26"/>
      <c r="H711" s="4"/>
    </row>
    <row r="712">
      <c r="D712" s="25"/>
      <c r="E712" s="25"/>
      <c r="F712" s="25"/>
      <c r="G712" s="26"/>
      <c r="H712" s="4"/>
    </row>
    <row r="713">
      <c r="D713" s="25"/>
      <c r="E713" s="25"/>
      <c r="F713" s="25"/>
      <c r="G713" s="26"/>
      <c r="H713" s="4"/>
    </row>
    <row r="714">
      <c r="D714" s="25"/>
      <c r="E714" s="25"/>
      <c r="F714" s="25"/>
      <c r="G714" s="26"/>
      <c r="H714" s="4"/>
    </row>
    <row r="715">
      <c r="D715" s="25"/>
      <c r="E715" s="25"/>
      <c r="F715" s="25"/>
      <c r="G715" s="26"/>
      <c r="H715" s="4"/>
    </row>
    <row r="716">
      <c r="D716" s="25"/>
      <c r="E716" s="25"/>
      <c r="F716" s="25"/>
      <c r="G716" s="26"/>
      <c r="H716" s="4"/>
    </row>
    <row r="717">
      <c r="D717" s="25"/>
      <c r="E717" s="25"/>
      <c r="F717" s="25"/>
      <c r="G717" s="26"/>
      <c r="H717" s="4"/>
    </row>
    <row r="718">
      <c r="D718" s="25"/>
      <c r="E718" s="25"/>
      <c r="F718" s="25"/>
      <c r="G718" s="26"/>
      <c r="H718" s="4"/>
    </row>
    <row r="719">
      <c r="D719" s="25"/>
      <c r="E719" s="25"/>
      <c r="F719" s="25"/>
      <c r="G719" s="26"/>
      <c r="H719" s="4"/>
    </row>
    <row r="720">
      <c r="D720" s="25"/>
      <c r="E720" s="25"/>
      <c r="F720" s="25"/>
      <c r="G720" s="26"/>
      <c r="H720" s="4"/>
    </row>
    <row r="721">
      <c r="D721" s="25"/>
      <c r="E721" s="25"/>
      <c r="F721" s="25"/>
      <c r="G721" s="26"/>
      <c r="H721" s="4"/>
    </row>
    <row r="722">
      <c r="D722" s="25"/>
      <c r="E722" s="25"/>
      <c r="F722" s="25"/>
      <c r="G722" s="26"/>
      <c r="H722" s="4"/>
    </row>
    <row r="723">
      <c r="D723" s="25"/>
      <c r="E723" s="25"/>
      <c r="F723" s="25"/>
      <c r="G723" s="26"/>
      <c r="H723" s="4"/>
    </row>
    <row r="724">
      <c r="D724" s="25"/>
      <c r="E724" s="25"/>
      <c r="F724" s="25"/>
      <c r="G724" s="26"/>
      <c r="H724" s="4"/>
    </row>
    <row r="725">
      <c r="D725" s="25"/>
      <c r="E725" s="25"/>
      <c r="F725" s="25"/>
      <c r="G725" s="26"/>
      <c r="H725" s="4"/>
    </row>
    <row r="726">
      <c r="D726" s="25"/>
      <c r="E726" s="25"/>
      <c r="F726" s="25"/>
      <c r="G726" s="26"/>
      <c r="H726" s="4"/>
    </row>
    <row r="727">
      <c r="D727" s="25"/>
      <c r="E727" s="25"/>
      <c r="F727" s="25"/>
      <c r="G727" s="26"/>
      <c r="H727" s="4"/>
    </row>
    <row r="728">
      <c r="D728" s="25"/>
      <c r="E728" s="25"/>
      <c r="F728" s="25"/>
      <c r="G728" s="26"/>
      <c r="H728" s="4"/>
    </row>
    <row r="729">
      <c r="D729" s="25"/>
      <c r="E729" s="25"/>
      <c r="F729" s="25"/>
      <c r="G729" s="26"/>
      <c r="H729" s="4"/>
    </row>
    <row r="730">
      <c r="D730" s="25"/>
      <c r="E730" s="25"/>
      <c r="F730" s="25"/>
      <c r="G730" s="26"/>
      <c r="H730" s="4"/>
    </row>
    <row r="731">
      <c r="D731" s="25"/>
      <c r="E731" s="25"/>
      <c r="F731" s="25"/>
      <c r="G731" s="26"/>
      <c r="H731" s="4"/>
    </row>
    <row r="732">
      <c r="D732" s="25"/>
      <c r="E732" s="25"/>
      <c r="F732" s="25"/>
      <c r="G732" s="26"/>
      <c r="H732" s="4"/>
    </row>
    <row r="733">
      <c r="D733" s="25"/>
      <c r="E733" s="25"/>
      <c r="F733" s="25"/>
      <c r="G733" s="26"/>
      <c r="H733" s="4"/>
    </row>
    <row r="734">
      <c r="D734" s="25"/>
      <c r="E734" s="25"/>
      <c r="F734" s="25"/>
      <c r="G734" s="26"/>
      <c r="H734" s="4"/>
    </row>
    <row r="735">
      <c r="D735" s="25"/>
      <c r="E735" s="25"/>
      <c r="F735" s="25"/>
      <c r="G735" s="26"/>
      <c r="H735" s="4"/>
    </row>
    <row r="736">
      <c r="D736" s="25"/>
      <c r="E736" s="25"/>
      <c r="F736" s="25"/>
      <c r="G736" s="26"/>
      <c r="H736" s="4"/>
    </row>
    <row r="737">
      <c r="D737" s="25"/>
      <c r="E737" s="25"/>
      <c r="F737" s="25"/>
      <c r="G737" s="26"/>
      <c r="H737" s="4"/>
    </row>
    <row r="738">
      <c r="D738" s="25"/>
      <c r="E738" s="25"/>
      <c r="F738" s="25"/>
      <c r="G738" s="26"/>
      <c r="H738" s="4"/>
    </row>
    <row r="739">
      <c r="D739" s="25"/>
      <c r="E739" s="25"/>
      <c r="F739" s="25"/>
      <c r="G739" s="26"/>
      <c r="H739" s="4"/>
    </row>
    <row r="740">
      <c r="D740" s="25"/>
      <c r="E740" s="25"/>
      <c r="F740" s="25"/>
      <c r="G740" s="26"/>
      <c r="H740" s="4"/>
    </row>
    <row r="741">
      <c r="D741" s="25"/>
      <c r="E741" s="25"/>
      <c r="F741" s="25"/>
      <c r="G741" s="26"/>
      <c r="H741" s="4"/>
    </row>
    <row r="742">
      <c r="D742" s="25"/>
      <c r="E742" s="25"/>
      <c r="F742" s="25"/>
      <c r="G742" s="26"/>
      <c r="H742" s="4"/>
    </row>
    <row r="743">
      <c r="D743" s="25"/>
      <c r="E743" s="25"/>
      <c r="F743" s="25"/>
      <c r="G743" s="26"/>
      <c r="H743" s="4"/>
    </row>
    <row r="744">
      <c r="D744" s="25"/>
      <c r="E744" s="25"/>
      <c r="F744" s="25"/>
      <c r="G744" s="26"/>
      <c r="H744" s="4"/>
    </row>
    <row r="745">
      <c r="D745" s="25"/>
      <c r="E745" s="25"/>
      <c r="F745" s="25"/>
      <c r="G745" s="26"/>
      <c r="H745" s="4"/>
    </row>
    <row r="746">
      <c r="D746" s="25"/>
      <c r="E746" s="25"/>
      <c r="F746" s="25"/>
      <c r="G746" s="26"/>
      <c r="H746" s="4"/>
    </row>
    <row r="747">
      <c r="D747" s="25"/>
      <c r="E747" s="25"/>
      <c r="F747" s="25"/>
      <c r="G747" s="26"/>
      <c r="H747" s="4"/>
    </row>
    <row r="748">
      <c r="D748" s="25"/>
      <c r="E748" s="25"/>
      <c r="F748" s="25"/>
      <c r="G748" s="26"/>
      <c r="H748" s="4"/>
    </row>
    <row r="749">
      <c r="D749" s="25"/>
      <c r="E749" s="25"/>
      <c r="F749" s="25"/>
      <c r="G749" s="26"/>
      <c r="H749" s="4"/>
    </row>
    <row r="750">
      <c r="D750" s="25"/>
      <c r="E750" s="25"/>
      <c r="F750" s="25"/>
      <c r="G750" s="26"/>
      <c r="H750" s="4"/>
    </row>
    <row r="751">
      <c r="D751" s="25"/>
      <c r="E751" s="25"/>
      <c r="F751" s="25"/>
      <c r="G751" s="26"/>
      <c r="H751" s="4"/>
    </row>
    <row r="752">
      <c r="D752" s="25"/>
      <c r="E752" s="25"/>
      <c r="F752" s="25"/>
      <c r="G752" s="26"/>
      <c r="H752" s="4"/>
    </row>
    <row r="753">
      <c r="D753" s="25"/>
      <c r="E753" s="25"/>
      <c r="F753" s="25"/>
      <c r="G753" s="26"/>
      <c r="H753" s="4"/>
    </row>
    <row r="754">
      <c r="D754" s="25"/>
      <c r="E754" s="25"/>
      <c r="F754" s="25"/>
      <c r="G754" s="26"/>
      <c r="H754" s="4"/>
    </row>
    <row r="755">
      <c r="D755" s="25"/>
      <c r="E755" s="25"/>
      <c r="F755" s="25"/>
      <c r="G755" s="26"/>
      <c r="H755" s="4"/>
    </row>
    <row r="756">
      <c r="D756" s="25"/>
      <c r="E756" s="25"/>
      <c r="F756" s="25"/>
      <c r="G756" s="26"/>
      <c r="H756" s="4"/>
    </row>
    <row r="757">
      <c r="D757" s="25"/>
      <c r="E757" s="25"/>
      <c r="F757" s="25"/>
      <c r="G757" s="26"/>
      <c r="H757" s="4"/>
    </row>
    <row r="758">
      <c r="D758" s="25"/>
      <c r="E758" s="25"/>
      <c r="F758" s="25"/>
      <c r="G758" s="26"/>
      <c r="H758" s="4"/>
    </row>
    <row r="759">
      <c r="D759" s="25"/>
      <c r="E759" s="25"/>
      <c r="F759" s="25"/>
      <c r="G759" s="26"/>
      <c r="H759" s="4"/>
    </row>
    <row r="760">
      <c r="D760" s="25"/>
      <c r="E760" s="25"/>
      <c r="F760" s="25"/>
      <c r="G760" s="26"/>
      <c r="H760" s="4"/>
    </row>
    <row r="761">
      <c r="D761" s="25"/>
      <c r="E761" s="25"/>
      <c r="F761" s="25"/>
      <c r="G761" s="26"/>
      <c r="H761" s="4"/>
    </row>
    <row r="762">
      <c r="D762" s="25"/>
      <c r="E762" s="25"/>
      <c r="F762" s="25"/>
      <c r="G762" s="26"/>
      <c r="H762" s="4"/>
    </row>
    <row r="763">
      <c r="D763" s="25"/>
      <c r="E763" s="25"/>
      <c r="F763" s="25"/>
      <c r="G763" s="26"/>
      <c r="H763" s="4"/>
    </row>
    <row r="764">
      <c r="D764" s="25"/>
      <c r="E764" s="25"/>
      <c r="F764" s="25"/>
      <c r="G764" s="26"/>
      <c r="H764" s="4"/>
    </row>
    <row r="765">
      <c r="D765" s="25"/>
      <c r="E765" s="25"/>
      <c r="F765" s="25"/>
      <c r="G765" s="26"/>
      <c r="H765" s="4"/>
    </row>
    <row r="766">
      <c r="D766" s="25"/>
      <c r="E766" s="25"/>
      <c r="F766" s="25"/>
      <c r="G766" s="26"/>
      <c r="H766" s="4"/>
    </row>
    <row r="767">
      <c r="D767" s="25"/>
      <c r="E767" s="25"/>
      <c r="F767" s="25"/>
      <c r="G767" s="26"/>
      <c r="H767" s="4"/>
    </row>
    <row r="768">
      <c r="D768" s="25"/>
      <c r="E768" s="25"/>
      <c r="F768" s="25"/>
      <c r="G768" s="26"/>
      <c r="H768" s="4"/>
    </row>
    <row r="769">
      <c r="D769" s="25"/>
      <c r="E769" s="25"/>
      <c r="F769" s="25"/>
      <c r="G769" s="26"/>
      <c r="H769" s="4"/>
    </row>
    <row r="770">
      <c r="D770" s="25"/>
      <c r="E770" s="25"/>
      <c r="F770" s="25"/>
      <c r="G770" s="26"/>
      <c r="H770" s="4"/>
    </row>
    <row r="771">
      <c r="D771" s="25"/>
      <c r="E771" s="25"/>
      <c r="F771" s="25"/>
      <c r="G771" s="26"/>
      <c r="H771" s="4"/>
    </row>
    <row r="772">
      <c r="D772" s="25"/>
      <c r="E772" s="25"/>
      <c r="F772" s="25"/>
      <c r="G772" s="26"/>
      <c r="H772" s="4"/>
    </row>
    <row r="773">
      <c r="D773" s="25"/>
      <c r="E773" s="25"/>
      <c r="F773" s="25"/>
      <c r="G773" s="26"/>
      <c r="H773" s="4"/>
    </row>
    <row r="774">
      <c r="D774" s="25"/>
      <c r="E774" s="25"/>
      <c r="F774" s="25"/>
      <c r="G774" s="26"/>
      <c r="H774" s="4"/>
    </row>
    <row r="775">
      <c r="D775" s="25"/>
      <c r="E775" s="25"/>
      <c r="F775" s="25"/>
      <c r="G775" s="26"/>
      <c r="H775" s="4"/>
    </row>
    <row r="776">
      <c r="D776" s="25"/>
      <c r="E776" s="25"/>
      <c r="F776" s="25"/>
      <c r="G776" s="26"/>
      <c r="H776" s="4"/>
    </row>
    <row r="777">
      <c r="D777" s="25"/>
      <c r="E777" s="25"/>
      <c r="F777" s="25"/>
      <c r="G777" s="26"/>
      <c r="H777" s="4"/>
    </row>
    <row r="778">
      <c r="D778" s="25"/>
      <c r="E778" s="25"/>
      <c r="F778" s="25"/>
      <c r="G778" s="26"/>
      <c r="H778" s="4"/>
    </row>
    <row r="779">
      <c r="D779" s="25"/>
      <c r="E779" s="25"/>
      <c r="F779" s="25"/>
      <c r="G779" s="26"/>
      <c r="H779" s="4"/>
    </row>
    <row r="780">
      <c r="D780" s="25"/>
      <c r="E780" s="25"/>
      <c r="F780" s="25"/>
      <c r="G780" s="26"/>
      <c r="H780" s="4"/>
    </row>
    <row r="781">
      <c r="D781" s="25"/>
      <c r="E781" s="25"/>
      <c r="F781" s="25"/>
      <c r="G781" s="26"/>
      <c r="H781" s="4"/>
    </row>
    <row r="782">
      <c r="D782" s="25"/>
      <c r="E782" s="25"/>
      <c r="F782" s="25"/>
      <c r="G782" s="26"/>
      <c r="H782" s="4"/>
    </row>
    <row r="783">
      <c r="D783" s="25"/>
      <c r="E783" s="25"/>
      <c r="F783" s="25"/>
      <c r="G783" s="26"/>
      <c r="H783" s="4"/>
    </row>
    <row r="784">
      <c r="D784" s="25"/>
      <c r="E784" s="25"/>
      <c r="F784" s="25"/>
      <c r="G784" s="26"/>
      <c r="H784" s="4"/>
    </row>
    <row r="785">
      <c r="D785" s="25"/>
      <c r="E785" s="25"/>
      <c r="F785" s="25"/>
      <c r="G785" s="26"/>
      <c r="H785" s="4"/>
    </row>
    <row r="786">
      <c r="D786" s="25"/>
      <c r="E786" s="25"/>
      <c r="F786" s="25"/>
      <c r="G786" s="26"/>
      <c r="H786" s="4"/>
    </row>
    <row r="787">
      <c r="D787" s="25"/>
      <c r="E787" s="25"/>
      <c r="F787" s="25"/>
      <c r="G787" s="26"/>
      <c r="H787" s="4"/>
    </row>
    <row r="788">
      <c r="D788" s="25"/>
      <c r="E788" s="25"/>
      <c r="F788" s="25"/>
      <c r="G788" s="26"/>
      <c r="H788" s="4"/>
    </row>
    <row r="789">
      <c r="D789" s="25"/>
      <c r="E789" s="25"/>
      <c r="F789" s="25"/>
      <c r="G789" s="26"/>
      <c r="H789" s="4"/>
    </row>
    <row r="790">
      <c r="D790" s="25"/>
      <c r="E790" s="25"/>
      <c r="F790" s="25"/>
      <c r="G790" s="26"/>
      <c r="H790" s="4"/>
    </row>
    <row r="791">
      <c r="D791" s="25"/>
      <c r="E791" s="25"/>
      <c r="F791" s="25"/>
      <c r="G791" s="26"/>
      <c r="H791" s="4"/>
    </row>
    <row r="792">
      <c r="D792" s="25"/>
      <c r="E792" s="25"/>
      <c r="F792" s="25"/>
      <c r="G792" s="26"/>
      <c r="H792" s="4"/>
    </row>
    <row r="793">
      <c r="D793" s="25"/>
      <c r="E793" s="25"/>
      <c r="F793" s="25"/>
      <c r="G793" s="26"/>
      <c r="H793" s="4"/>
    </row>
    <row r="794">
      <c r="D794" s="25"/>
      <c r="E794" s="25"/>
      <c r="F794" s="25"/>
      <c r="G794" s="26"/>
      <c r="H794" s="4"/>
    </row>
    <row r="795">
      <c r="D795" s="25"/>
      <c r="E795" s="25"/>
      <c r="F795" s="25"/>
      <c r="G795" s="26"/>
      <c r="H795" s="4"/>
    </row>
    <row r="796">
      <c r="D796" s="25"/>
      <c r="E796" s="25"/>
      <c r="F796" s="25"/>
      <c r="G796" s="26"/>
      <c r="H796" s="4"/>
    </row>
    <row r="797">
      <c r="D797" s="25"/>
      <c r="E797" s="25"/>
      <c r="F797" s="25"/>
      <c r="G797" s="26"/>
      <c r="H797" s="4"/>
    </row>
    <row r="798">
      <c r="D798" s="25"/>
      <c r="E798" s="25"/>
      <c r="F798" s="25"/>
      <c r="G798" s="26"/>
      <c r="H798" s="4"/>
    </row>
    <row r="799">
      <c r="D799" s="25"/>
      <c r="E799" s="25"/>
      <c r="F799" s="25"/>
      <c r="G799" s="26"/>
      <c r="H799" s="4"/>
    </row>
    <row r="800">
      <c r="D800" s="25"/>
      <c r="E800" s="25"/>
      <c r="F800" s="25"/>
      <c r="G800" s="26"/>
      <c r="H800" s="4"/>
    </row>
    <row r="801">
      <c r="D801" s="25"/>
      <c r="E801" s="25"/>
      <c r="F801" s="25"/>
      <c r="G801" s="26"/>
      <c r="H801" s="4"/>
    </row>
    <row r="802">
      <c r="D802" s="25"/>
      <c r="E802" s="25"/>
      <c r="F802" s="25"/>
      <c r="G802" s="26"/>
      <c r="H802" s="4"/>
    </row>
    <row r="803">
      <c r="D803" s="25"/>
      <c r="E803" s="25"/>
      <c r="F803" s="25"/>
      <c r="G803" s="26"/>
      <c r="H803" s="4"/>
    </row>
    <row r="804">
      <c r="D804" s="25"/>
      <c r="E804" s="25"/>
      <c r="F804" s="25"/>
      <c r="G804" s="26"/>
      <c r="H804" s="4"/>
    </row>
    <row r="805">
      <c r="D805" s="25"/>
      <c r="E805" s="25"/>
      <c r="F805" s="25"/>
      <c r="G805" s="26"/>
      <c r="H805" s="4"/>
    </row>
    <row r="806">
      <c r="D806" s="25"/>
      <c r="E806" s="25"/>
      <c r="F806" s="25"/>
      <c r="G806" s="26"/>
      <c r="H806" s="4"/>
    </row>
    <row r="807">
      <c r="D807" s="25"/>
      <c r="E807" s="25"/>
      <c r="F807" s="25"/>
      <c r="G807" s="26"/>
      <c r="H807" s="4"/>
    </row>
    <row r="808">
      <c r="D808" s="25"/>
      <c r="E808" s="25"/>
      <c r="F808" s="25"/>
      <c r="G808" s="26"/>
      <c r="H808" s="4"/>
    </row>
    <row r="809">
      <c r="D809" s="25"/>
      <c r="E809" s="25"/>
      <c r="F809" s="25"/>
      <c r="G809" s="26"/>
      <c r="H809" s="4"/>
    </row>
    <row r="810">
      <c r="D810" s="25"/>
      <c r="E810" s="25"/>
      <c r="F810" s="25"/>
      <c r="G810" s="26"/>
      <c r="H810" s="4"/>
    </row>
    <row r="811">
      <c r="D811" s="25"/>
      <c r="E811" s="25"/>
      <c r="F811" s="25"/>
      <c r="G811" s="26"/>
      <c r="H811" s="4"/>
    </row>
    <row r="812">
      <c r="D812" s="25"/>
      <c r="E812" s="25"/>
      <c r="F812" s="25"/>
      <c r="G812" s="26"/>
      <c r="H812" s="4"/>
    </row>
    <row r="813">
      <c r="D813" s="25"/>
      <c r="E813" s="25"/>
      <c r="F813" s="25"/>
      <c r="G813" s="26"/>
      <c r="H813" s="4"/>
    </row>
    <row r="814">
      <c r="D814" s="25"/>
      <c r="E814" s="25"/>
      <c r="F814" s="25"/>
      <c r="G814" s="26"/>
      <c r="H814" s="4"/>
    </row>
    <row r="815">
      <c r="D815" s="25"/>
      <c r="E815" s="25"/>
      <c r="F815" s="25"/>
      <c r="G815" s="26"/>
      <c r="H815" s="4"/>
    </row>
    <row r="816">
      <c r="D816" s="25"/>
      <c r="E816" s="25"/>
      <c r="F816" s="25"/>
      <c r="G816" s="26"/>
      <c r="H816" s="4"/>
    </row>
    <row r="817">
      <c r="D817" s="25"/>
      <c r="E817" s="25"/>
      <c r="F817" s="25"/>
      <c r="G817" s="26"/>
      <c r="H817" s="4"/>
    </row>
    <row r="818">
      <c r="D818" s="25"/>
      <c r="E818" s="25"/>
      <c r="F818" s="25"/>
      <c r="G818" s="26"/>
      <c r="H818" s="4"/>
    </row>
    <row r="819">
      <c r="D819" s="25"/>
      <c r="E819" s="25"/>
      <c r="F819" s="25"/>
      <c r="G819" s="26"/>
      <c r="H819" s="4"/>
    </row>
    <row r="820">
      <c r="D820" s="25"/>
      <c r="E820" s="25"/>
      <c r="F820" s="25"/>
      <c r="G820" s="26"/>
      <c r="H820" s="4"/>
    </row>
    <row r="821">
      <c r="D821" s="25"/>
      <c r="E821" s="25"/>
      <c r="F821" s="25"/>
      <c r="G821" s="26"/>
      <c r="H821" s="4"/>
    </row>
    <row r="822">
      <c r="D822" s="25"/>
      <c r="E822" s="25"/>
      <c r="F822" s="25"/>
      <c r="G822" s="26"/>
      <c r="H822" s="4"/>
    </row>
    <row r="823">
      <c r="D823" s="25"/>
      <c r="E823" s="25"/>
      <c r="F823" s="25"/>
      <c r="G823" s="26"/>
      <c r="H823" s="4"/>
    </row>
    <row r="824">
      <c r="D824" s="25"/>
      <c r="E824" s="25"/>
      <c r="F824" s="25"/>
      <c r="G824" s="26"/>
      <c r="H824" s="4"/>
    </row>
    <row r="825">
      <c r="D825" s="25"/>
      <c r="E825" s="25"/>
      <c r="F825" s="25"/>
      <c r="G825" s="26"/>
      <c r="H825" s="4"/>
    </row>
    <row r="826">
      <c r="D826" s="25"/>
      <c r="E826" s="25"/>
      <c r="F826" s="25"/>
      <c r="G826" s="26"/>
      <c r="H826" s="4"/>
    </row>
    <row r="827">
      <c r="D827" s="25"/>
      <c r="E827" s="25"/>
      <c r="F827" s="25"/>
      <c r="G827" s="26"/>
      <c r="H827" s="4"/>
    </row>
    <row r="828">
      <c r="D828" s="25"/>
      <c r="E828" s="25"/>
      <c r="F828" s="25"/>
      <c r="G828" s="26"/>
      <c r="H828" s="4"/>
    </row>
    <row r="829">
      <c r="D829" s="25"/>
      <c r="E829" s="25"/>
      <c r="F829" s="25"/>
      <c r="G829" s="26"/>
      <c r="H829" s="4"/>
    </row>
    <row r="830">
      <c r="D830" s="25"/>
      <c r="E830" s="25"/>
      <c r="F830" s="25"/>
      <c r="G830" s="26"/>
      <c r="H830" s="4"/>
    </row>
    <row r="831">
      <c r="D831" s="25"/>
      <c r="E831" s="25"/>
      <c r="F831" s="25"/>
      <c r="G831" s="26"/>
      <c r="H831" s="4"/>
    </row>
    <row r="832">
      <c r="D832" s="25"/>
      <c r="E832" s="25"/>
      <c r="F832" s="25"/>
      <c r="G832" s="26"/>
      <c r="H832" s="4"/>
    </row>
    <row r="833">
      <c r="D833" s="25"/>
      <c r="E833" s="25"/>
      <c r="F833" s="25"/>
      <c r="G833" s="26"/>
      <c r="H833" s="4"/>
    </row>
    <row r="834">
      <c r="D834" s="25"/>
      <c r="E834" s="25"/>
      <c r="F834" s="25"/>
      <c r="G834" s="26"/>
      <c r="H834" s="4"/>
    </row>
    <row r="835">
      <c r="D835" s="25"/>
      <c r="E835" s="25"/>
      <c r="F835" s="25"/>
      <c r="G835" s="26"/>
      <c r="H835" s="4"/>
    </row>
    <row r="836">
      <c r="D836" s="25"/>
      <c r="E836" s="25"/>
      <c r="F836" s="25"/>
      <c r="G836" s="26"/>
      <c r="H836" s="4"/>
    </row>
    <row r="837">
      <c r="D837" s="25"/>
      <c r="E837" s="25"/>
      <c r="F837" s="25"/>
      <c r="G837" s="26"/>
      <c r="H837" s="4"/>
    </row>
    <row r="838">
      <c r="D838" s="25"/>
      <c r="E838" s="25"/>
      <c r="F838" s="25"/>
      <c r="G838" s="26"/>
      <c r="H838" s="4"/>
    </row>
    <row r="839">
      <c r="D839" s="25"/>
      <c r="E839" s="25"/>
      <c r="F839" s="25"/>
      <c r="G839" s="26"/>
      <c r="H839" s="4"/>
    </row>
    <row r="840">
      <c r="D840" s="25"/>
      <c r="E840" s="25"/>
      <c r="F840" s="25"/>
      <c r="G840" s="26"/>
      <c r="H840" s="4"/>
    </row>
    <row r="841">
      <c r="D841" s="25"/>
      <c r="E841" s="25"/>
      <c r="F841" s="25"/>
      <c r="G841" s="26"/>
      <c r="H841" s="4"/>
    </row>
    <row r="842">
      <c r="D842" s="25"/>
      <c r="E842" s="25"/>
      <c r="F842" s="25"/>
      <c r="G842" s="26"/>
      <c r="H842" s="4"/>
    </row>
    <row r="843">
      <c r="D843" s="25"/>
      <c r="E843" s="25"/>
      <c r="F843" s="25"/>
      <c r="G843" s="26"/>
      <c r="H843" s="4"/>
    </row>
    <row r="844">
      <c r="D844" s="25"/>
      <c r="E844" s="25"/>
      <c r="F844" s="25"/>
      <c r="G844" s="26"/>
      <c r="H844" s="4"/>
    </row>
    <row r="845">
      <c r="D845" s="25"/>
      <c r="E845" s="25"/>
      <c r="F845" s="25"/>
      <c r="G845" s="26"/>
      <c r="H845" s="4"/>
    </row>
    <row r="846">
      <c r="D846" s="25"/>
      <c r="E846" s="25"/>
      <c r="F846" s="25"/>
      <c r="G846" s="26"/>
      <c r="H846" s="4"/>
    </row>
    <row r="847">
      <c r="D847" s="25"/>
      <c r="E847" s="25"/>
      <c r="F847" s="25"/>
      <c r="G847" s="26"/>
      <c r="H847" s="4"/>
    </row>
    <row r="848">
      <c r="D848" s="25"/>
      <c r="E848" s="25"/>
      <c r="F848" s="25"/>
      <c r="G848" s="26"/>
      <c r="H848" s="4"/>
    </row>
    <row r="849">
      <c r="D849" s="25"/>
      <c r="E849" s="25"/>
      <c r="F849" s="25"/>
      <c r="G849" s="26"/>
      <c r="H849" s="4"/>
    </row>
    <row r="850">
      <c r="D850" s="25"/>
      <c r="E850" s="25"/>
      <c r="F850" s="25"/>
      <c r="G850" s="26"/>
      <c r="H850" s="4"/>
    </row>
    <row r="851">
      <c r="D851" s="25"/>
      <c r="E851" s="25"/>
      <c r="F851" s="25"/>
      <c r="G851" s="26"/>
      <c r="H851" s="4"/>
    </row>
    <row r="852">
      <c r="D852" s="25"/>
      <c r="E852" s="25"/>
      <c r="F852" s="25"/>
      <c r="G852" s="26"/>
      <c r="H852" s="4"/>
    </row>
    <row r="853">
      <c r="D853" s="25"/>
      <c r="E853" s="25"/>
      <c r="F853" s="25"/>
      <c r="G853" s="26"/>
      <c r="H853" s="4"/>
    </row>
    <row r="854">
      <c r="D854" s="25"/>
      <c r="E854" s="25"/>
      <c r="F854" s="25"/>
      <c r="G854" s="26"/>
      <c r="H854" s="4"/>
    </row>
    <row r="855">
      <c r="D855" s="25"/>
      <c r="E855" s="25"/>
      <c r="F855" s="25"/>
      <c r="G855" s="26"/>
      <c r="H855" s="4"/>
    </row>
    <row r="856">
      <c r="D856" s="25"/>
      <c r="E856" s="25"/>
      <c r="F856" s="25"/>
      <c r="G856" s="26"/>
      <c r="H856" s="4"/>
    </row>
    <row r="857">
      <c r="D857" s="25"/>
      <c r="E857" s="25"/>
      <c r="F857" s="25"/>
      <c r="G857" s="26"/>
      <c r="H857" s="4"/>
    </row>
    <row r="858">
      <c r="D858" s="25"/>
      <c r="E858" s="25"/>
      <c r="F858" s="25"/>
      <c r="G858" s="26"/>
      <c r="H858" s="4"/>
    </row>
    <row r="859">
      <c r="D859" s="25"/>
      <c r="E859" s="25"/>
      <c r="F859" s="25"/>
      <c r="G859" s="26"/>
      <c r="H859" s="4"/>
    </row>
    <row r="860">
      <c r="D860" s="25"/>
      <c r="E860" s="25"/>
      <c r="F860" s="25"/>
      <c r="G860" s="26"/>
      <c r="H860" s="4"/>
    </row>
    <row r="861">
      <c r="D861" s="25"/>
      <c r="E861" s="25"/>
      <c r="F861" s="25"/>
      <c r="G861" s="26"/>
      <c r="H861" s="4"/>
    </row>
    <row r="862">
      <c r="D862" s="25"/>
      <c r="E862" s="25"/>
      <c r="F862" s="25"/>
      <c r="G862" s="26"/>
      <c r="H862" s="4"/>
    </row>
    <row r="863">
      <c r="D863" s="25"/>
      <c r="E863" s="25"/>
      <c r="F863" s="25"/>
      <c r="G863" s="26"/>
      <c r="H863" s="4"/>
    </row>
    <row r="864">
      <c r="D864" s="25"/>
      <c r="E864" s="25"/>
      <c r="F864" s="25"/>
      <c r="G864" s="26"/>
      <c r="H864" s="4"/>
    </row>
    <row r="865">
      <c r="D865" s="25"/>
      <c r="E865" s="25"/>
      <c r="F865" s="25"/>
      <c r="G865" s="26"/>
      <c r="H865" s="4"/>
    </row>
    <row r="866">
      <c r="D866" s="25"/>
      <c r="E866" s="25"/>
      <c r="F866" s="25"/>
      <c r="G866" s="26"/>
      <c r="H866" s="4"/>
    </row>
    <row r="867">
      <c r="D867" s="25"/>
      <c r="E867" s="25"/>
      <c r="F867" s="25"/>
      <c r="G867" s="26"/>
      <c r="H867" s="4"/>
    </row>
    <row r="868">
      <c r="D868" s="25"/>
      <c r="E868" s="25"/>
      <c r="F868" s="25"/>
      <c r="G868" s="26"/>
      <c r="H868" s="4"/>
    </row>
    <row r="869">
      <c r="D869" s="25"/>
      <c r="E869" s="25"/>
      <c r="F869" s="25"/>
      <c r="G869" s="26"/>
      <c r="H869" s="4"/>
    </row>
    <row r="870">
      <c r="D870" s="25"/>
      <c r="E870" s="25"/>
      <c r="F870" s="25"/>
      <c r="G870" s="26"/>
      <c r="H870" s="4"/>
    </row>
    <row r="871">
      <c r="D871" s="25"/>
      <c r="E871" s="25"/>
      <c r="F871" s="25"/>
      <c r="G871" s="26"/>
      <c r="H871" s="4"/>
    </row>
    <row r="872">
      <c r="D872" s="25"/>
      <c r="E872" s="25"/>
      <c r="F872" s="25"/>
      <c r="G872" s="26"/>
      <c r="H872" s="4"/>
    </row>
    <row r="873">
      <c r="D873" s="25"/>
      <c r="E873" s="25"/>
      <c r="F873" s="25"/>
      <c r="G873" s="26"/>
      <c r="H873" s="4"/>
    </row>
    <row r="874">
      <c r="D874" s="25"/>
      <c r="E874" s="25"/>
      <c r="F874" s="25"/>
      <c r="G874" s="26"/>
      <c r="H874" s="4"/>
    </row>
    <row r="875">
      <c r="D875" s="25"/>
      <c r="E875" s="25"/>
      <c r="F875" s="25"/>
      <c r="G875" s="26"/>
      <c r="H875" s="4"/>
    </row>
    <row r="876">
      <c r="D876" s="25"/>
      <c r="E876" s="25"/>
      <c r="F876" s="25"/>
      <c r="G876" s="26"/>
      <c r="H876" s="4"/>
    </row>
    <row r="877">
      <c r="D877" s="25"/>
      <c r="E877" s="25"/>
      <c r="F877" s="25"/>
      <c r="G877" s="26"/>
      <c r="H877" s="4"/>
    </row>
    <row r="878">
      <c r="D878" s="25"/>
      <c r="E878" s="25"/>
      <c r="F878" s="25"/>
      <c r="G878" s="26"/>
      <c r="H878" s="4"/>
    </row>
    <row r="879">
      <c r="D879" s="25"/>
      <c r="E879" s="25"/>
      <c r="F879" s="25"/>
      <c r="G879" s="26"/>
      <c r="H879" s="4"/>
    </row>
    <row r="880">
      <c r="D880" s="25"/>
      <c r="E880" s="25"/>
      <c r="F880" s="25"/>
      <c r="G880" s="26"/>
      <c r="H880" s="4"/>
    </row>
    <row r="881">
      <c r="D881" s="25"/>
      <c r="E881" s="25"/>
      <c r="F881" s="25"/>
      <c r="G881" s="26"/>
      <c r="H881" s="4"/>
    </row>
    <row r="882">
      <c r="D882" s="25"/>
      <c r="E882" s="25"/>
      <c r="F882" s="25"/>
      <c r="G882" s="26"/>
      <c r="H882" s="4"/>
    </row>
    <row r="883">
      <c r="D883" s="25"/>
      <c r="E883" s="25"/>
      <c r="F883" s="25"/>
      <c r="G883" s="26"/>
      <c r="H883" s="4"/>
    </row>
    <row r="884">
      <c r="D884" s="25"/>
      <c r="E884" s="25"/>
      <c r="F884" s="25"/>
      <c r="G884" s="26"/>
      <c r="H884" s="4"/>
    </row>
    <row r="885">
      <c r="D885" s="25"/>
      <c r="E885" s="25"/>
      <c r="F885" s="25"/>
      <c r="G885" s="26"/>
      <c r="H885" s="4"/>
    </row>
    <row r="886">
      <c r="D886" s="25"/>
      <c r="E886" s="25"/>
      <c r="F886" s="25"/>
      <c r="G886" s="26"/>
      <c r="H886" s="4"/>
    </row>
    <row r="887">
      <c r="D887" s="25"/>
      <c r="E887" s="25"/>
      <c r="F887" s="25"/>
      <c r="G887" s="26"/>
      <c r="H887" s="4"/>
    </row>
    <row r="888">
      <c r="D888" s="25"/>
      <c r="E888" s="25"/>
      <c r="F888" s="25"/>
      <c r="G888" s="26"/>
      <c r="H888" s="4"/>
    </row>
    <row r="889">
      <c r="D889" s="25"/>
      <c r="E889" s="25"/>
      <c r="F889" s="25"/>
      <c r="G889" s="26"/>
      <c r="H889" s="4"/>
    </row>
    <row r="890">
      <c r="D890" s="25"/>
      <c r="E890" s="25"/>
      <c r="F890" s="25"/>
      <c r="G890" s="26"/>
      <c r="H890" s="4"/>
    </row>
    <row r="891">
      <c r="D891" s="25"/>
      <c r="E891" s="25"/>
      <c r="F891" s="25"/>
      <c r="G891" s="26"/>
      <c r="H891" s="4"/>
    </row>
    <row r="892">
      <c r="D892" s="25"/>
      <c r="E892" s="25"/>
      <c r="F892" s="25"/>
      <c r="G892" s="26"/>
      <c r="H892" s="4"/>
    </row>
    <row r="893">
      <c r="D893" s="25"/>
      <c r="E893" s="25"/>
      <c r="F893" s="25"/>
      <c r="G893" s="26"/>
      <c r="H893" s="4"/>
    </row>
    <row r="894">
      <c r="D894" s="25"/>
      <c r="E894" s="25"/>
      <c r="F894" s="25"/>
      <c r="G894" s="26"/>
      <c r="H894" s="4"/>
    </row>
    <row r="895">
      <c r="D895" s="25"/>
      <c r="E895" s="25"/>
      <c r="F895" s="25"/>
      <c r="G895" s="26"/>
      <c r="H895" s="4"/>
    </row>
    <row r="896">
      <c r="D896" s="25"/>
      <c r="E896" s="25"/>
      <c r="F896" s="25"/>
      <c r="G896" s="26"/>
      <c r="H896" s="4"/>
    </row>
    <row r="897">
      <c r="D897" s="25"/>
      <c r="E897" s="25"/>
      <c r="F897" s="25"/>
      <c r="G897" s="26"/>
      <c r="H897" s="4"/>
    </row>
    <row r="898">
      <c r="D898" s="25"/>
      <c r="E898" s="25"/>
      <c r="F898" s="25"/>
      <c r="G898" s="26"/>
      <c r="H898" s="4"/>
    </row>
    <row r="899">
      <c r="D899" s="25"/>
      <c r="E899" s="25"/>
      <c r="F899" s="25"/>
      <c r="G899" s="26"/>
      <c r="H899" s="4"/>
    </row>
    <row r="900">
      <c r="D900" s="25"/>
      <c r="E900" s="25"/>
      <c r="F900" s="25"/>
      <c r="G900" s="26"/>
      <c r="H900" s="4"/>
    </row>
    <row r="901">
      <c r="D901" s="25"/>
      <c r="E901" s="25"/>
      <c r="F901" s="25"/>
      <c r="G901" s="26"/>
      <c r="H901" s="4"/>
    </row>
    <row r="902">
      <c r="D902" s="25"/>
      <c r="E902" s="25"/>
      <c r="F902" s="25"/>
      <c r="G902" s="26"/>
      <c r="H902" s="4"/>
    </row>
    <row r="903">
      <c r="D903" s="25"/>
      <c r="E903" s="25"/>
      <c r="F903" s="25"/>
      <c r="G903" s="26"/>
      <c r="H903" s="4"/>
    </row>
    <row r="904">
      <c r="D904" s="25"/>
      <c r="E904" s="25"/>
      <c r="F904" s="25"/>
      <c r="G904" s="26"/>
      <c r="H904" s="4"/>
    </row>
    <row r="905">
      <c r="D905" s="25"/>
      <c r="E905" s="25"/>
      <c r="F905" s="25"/>
      <c r="G905" s="26"/>
      <c r="H905" s="4"/>
    </row>
    <row r="906">
      <c r="D906" s="25"/>
      <c r="E906" s="25"/>
      <c r="F906" s="25"/>
      <c r="G906" s="26"/>
      <c r="H906" s="4"/>
    </row>
    <row r="907">
      <c r="D907" s="25"/>
      <c r="E907" s="25"/>
      <c r="F907" s="25"/>
      <c r="G907" s="26"/>
      <c r="H907" s="4"/>
    </row>
    <row r="908">
      <c r="D908" s="25"/>
      <c r="E908" s="25"/>
      <c r="F908" s="25"/>
      <c r="G908" s="26"/>
      <c r="H908" s="4"/>
    </row>
    <row r="909">
      <c r="D909" s="25"/>
      <c r="E909" s="25"/>
      <c r="F909" s="25"/>
      <c r="G909" s="26"/>
      <c r="H909" s="4"/>
    </row>
    <row r="910">
      <c r="D910" s="25"/>
      <c r="E910" s="25"/>
      <c r="F910" s="25"/>
      <c r="G910" s="26"/>
      <c r="H910" s="4"/>
    </row>
    <row r="911">
      <c r="D911" s="25"/>
      <c r="E911" s="25"/>
      <c r="F911" s="25"/>
      <c r="G911" s="26"/>
      <c r="H911" s="4"/>
    </row>
    <row r="912">
      <c r="D912" s="25"/>
      <c r="E912" s="25"/>
      <c r="F912" s="25"/>
      <c r="G912" s="26"/>
      <c r="H912" s="4"/>
    </row>
    <row r="913">
      <c r="D913" s="25"/>
      <c r="E913" s="25"/>
      <c r="F913" s="25"/>
      <c r="G913" s="26"/>
      <c r="H913" s="4"/>
    </row>
    <row r="914">
      <c r="D914" s="25"/>
      <c r="E914" s="25"/>
      <c r="F914" s="25"/>
      <c r="G914" s="26"/>
      <c r="H914" s="4"/>
    </row>
    <row r="915">
      <c r="D915" s="25"/>
      <c r="E915" s="25"/>
      <c r="F915" s="25"/>
      <c r="G915" s="26"/>
      <c r="H915" s="4"/>
    </row>
    <row r="916">
      <c r="D916" s="25"/>
      <c r="E916" s="25"/>
      <c r="F916" s="25"/>
      <c r="G916" s="26"/>
      <c r="H916" s="4"/>
    </row>
    <row r="917">
      <c r="D917" s="25"/>
      <c r="E917" s="25"/>
      <c r="F917" s="25"/>
      <c r="G917" s="26"/>
      <c r="H917" s="4"/>
    </row>
    <row r="918">
      <c r="D918" s="25"/>
      <c r="E918" s="25"/>
      <c r="F918" s="25"/>
      <c r="G918" s="26"/>
      <c r="H918" s="4"/>
    </row>
    <row r="919">
      <c r="D919" s="25"/>
      <c r="E919" s="25"/>
      <c r="F919" s="25"/>
      <c r="G919" s="26"/>
      <c r="H919" s="4"/>
    </row>
    <row r="920">
      <c r="D920" s="25"/>
      <c r="E920" s="25"/>
      <c r="F920" s="25"/>
      <c r="G920" s="26"/>
      <c r="H920" s="4"/>
    </row>
    <row r="921">
      <c r="D921" s="25"/>
      <c r="E921" s="25"/>
      <c r="F921" s="25"/>
      <c r="G921" s="26"/>
      <c r="H921" s="4"/>
    </row>
    <row r="922">
      <c r="D922" s="25"/>
      <c r="E922" s="25"/>
      <c r="F922" s="25"/>
      <c r="G922" s="26"/>
      <c r="H922" s="4"/>
    </row>
    <row r="923">
      <c r="D923" s="25"/>
      <c r="E923" s="25"/>
      <c r="F923" s="25"/>
      <c r="G923" s="26"/>
      <c r="H923" s="4"/>
    </row>
    <row r="924">
      <c r="D924" s="25"/>
      <c r="E924" s="25"/>
      <c r="F924" s="25"/>
      <c r="G924" s="26"/>
      <c r="H924" s="4"/>
    </row>
    <row r="925">
      <c r="D925" s="25"/>
      <c r="E925" s="25"/>
      <c r="F925" s="25"/>
      <c r="G925" s="26"/>
      <c r="H925" s="4"/>
    </row>
    <row r="926">
      <c r="D926" s="25"/>
      <c r="E926" s="25"/>
      <c r="F926" s="25"/>
      <c r="G926" s="26"/>
      <c r="H926" s="4"/>
    </row>
    <row r="927">
      <c r="D927" s="25"/>
      <c r="E927" s="25"/>
      <c r="F927" s="25"/>
      <c r="G927" s="26"/>
      <c r="H927" s="4"/>
    </row>
    <row r="928">
      <c r="D928" s="25"/>
      <c r="E928" s="25"/>
      <c r="F928" s="25"/>
      <c r="G928" s="26"/>
      <c r="H928" s="4"/>
    </row>
    <row r="929">
      <c r="D929" s="25"/>
      <c r="E929" s="25"/>
      <c r="F929" s="25"/>
      <c r="G929" s="26"/>
      <c r="H929" s="4"/>
    </row>
    <row r="930">
      <c r="D930" s="25"/>
      <c r="E930" s="25"/>
      <c r="F930" s="25"/>
      <c r="G930" s="26"/>
      <c r="H930" s="4"/>
    </row>
    <row r="931">
      <c r="D931" s="25"/>
      <c r="E931" s="25"/>
      <c r="F931" s="25"/>
      <c r="G931" s="26"/>
      <c r="H931" s="4"/>
    </row>
    <row r="932">
      <c r="D932" s="25"/>
      <c r="E932" s="25"/>
      <c r="F932" s="25"/>
      <c r="G932" s="26"/>
      <c r="H932" s="4"/>
    </row>
    <row r="933">
      <c r="D933" s="25"/>
      <c r="E933" s="25"/>
      <c r="F933" s="25"/>
      <c r="G933" s="26"/>
      <c r="H933" s="4"/>
    </row>
    <row r="934">
      <c r="D934" s="25"/>
      <c r="E934" s="25"/>
      <c r="F934" s="25"/>
      <c r="G934" s="26"/>
      <c r="H934" s="4"/>
    </row>
    <row r="935">
      <c r="D935" s="25"/>
      <c r="E935" s="25"/>
      <c r="F935" s="25"/>
      <c r="G935" s="26"/>
      <c r="H935" s="4"/>
    </row>
    <row r="936">
      <c r="D936" s="25"/>
      <c r="E936" s="25"/>
      <c r="F936" s="25"/>
      <c r="G936" s="26"/>
      <c r="H936" s="4"/>
    </row>
    <row r="937">
      <c r="D937" s="25"/>
      <c r="E937" s="25"/>
      <c r="F937" s="25"/>
      <c r="G937" s="26"/>
      <c r="H937" s="4"/>
    </row>
    <row r="938">
      <c r="D938" s="25"/>
      <c r="E938" s="25"/>
      <c r="F938" s="25"/>
      <c r="G938" s="26"/>
      <c r="H938" s="4"/>
    </row>
    <row r="939">
      <c r="D939" s="25"/>
      <c r="E939" s="25"/>
      <c r="F939" s="25"/>
      <c r="G939" s="26"/>
      <c r="H939" s="4"/>
    </row>
    <row r="940">
      <c r="D940" s="25"/>
      <c r="E940" s="25"/>
      <c r="F940" s="25"/>
      <c r="G940" s="26"/>
      <c r="H940" s="4"/>
    </row>
    <row r="941">
      <c r="D941" s="25"/>
      <c r="E941" s="25"/>
      <c r="F941" s="25"/>
      <c r="G941" s="26"/>
      <c r="H941" s="4"/>
    </row>
    <row r="942">
      <c r="D942" s="25"/>
      <c r="E942" s="25"/>
      <c r="F942" s="25"/>
      <c r="G942" s="26"/>
      <c r="H942" s="4"/>
    </row>
    <row r="943">
      <c r="D943" s="25"/>
      <c r="E943" s="25"/>
      <c r="F943" s="25"/>
      <c r="G943" s="26"/>
      <c r="H943" s="4"/>
    </row>
    <row r="944">
      <c r="D944" s="25"/>
      <c r="E944" s="25"/>
      <c r="F944" s="25"/>
      <c r="G944" s="26"/>
      <c r="H944" s="4"/>
    </row>
    <row r="945">
      <c r="D945" s="25"/>
      <c r="E945" s="25"/>
      <c r="F945" s="25"/>
      <c r="G945" s="26"/>
      <c r="H945" s="4"/>
    </row>
    <row r="946">
      <c r="D946" s="25"/>
      <c r="E946" s="25"/>
      <c r="F946" s="25"/>
      <c r="G946" s="26"/>
      <c r="H946" s="4"/>
    </row>
    <row r="947">
      <c r="D947" s="25"/>
      <c r="E947" s="25"/>
      <c r="F947" s="25"/>
      <c r="G947" s="26"/>
      <c r="H947" s="4"/>
    </row>
    <row r="948">
      <c r="D948" s="25"/>
      <c r="E948" s="25"/>
      <c r="F948" s="25"/>
      <c r="G948" s="26"/>
      <c r="H948" s="4"/>
    </row>
    <row r="949">
      <c r="D949" s="25"/>
      <c r="E949" s="25"/>
      <c r="F949" s="25"/>
      <c r="G949" s="26"/>
      <c r="H949" s="4"/>
    </row>
    <row r="950">
      <c r="D950" s="25"/>
      <c r="E950" s="25"/>
      <c r="F950" s="25"/>
      <c r="G950" s="26"/>
      <c r="H950" s="4"/>
    </row>
    <row r="951">
      <c r="D951" s="25"/>
      <c r="E951" s="25"/>
      <c r="F951" s="25"/>
      <c r="G951" s="26"/>
      <c r="H951" s="4"/>
    </row>
    <row r="952">
      <c r="D952" s="25"/>
      <c r="E952" s="25"/>
      <c r="F952" s="25"/>
      <c r="G952" s="26"/>
      <c r="H952" s="4"/>
    </row>
    <row r="953">
      <c r="D953" s="25"/>
      <c r="E953" s="25"/>
      <c r="F953" s="25"/>
      <c r="G953" s="26"/>
      <c r="H953" s="4"/>
    </row>
    <row r="954">
      <c r="D954" s="25"/>
      <c r="E954" s="25"/>
      <c r="F954" s="25"/>
      <c r="G954" s="26"/>
      <c r="H954" s="4"/>
    </row>
    <row r="955">
      <c r="D955" s="25"/>
      <c r="E955" s="25"/>
      <c r="F955" s="25"/>
      <c r="G955" s="26"/>
      <c r="H955" s="4"/>
    </row>
    <row r="956">
      <c r="D956" s="25"/>
      <c r="E956" s="25"/>
      <c r="F956" s="25"/>
      <c r="G956" s="26"/>
      <c r="H956" s="4"/>
    </row>
    <row r="957">
      <c r="D957" s="25"/>
      <c r="E957" s="25"/>
      <c r="F957" s="25"/>
      <c r="G957" s="26"/>
      <c r="H957" s="4"/>
    </row>
    <row r="958">
      <c r="D958" s="25"/>
      <c r="E958" s="25"/>
      <c r="F958" s="25"/>
      <c r="G958" s="26"/>
      <c r="H958" s="4"/>
    </row>
    <row r="959">
      <c r="D959" s="25"/>
      <c r="E959" s="25"/>
      <c r="F959" s="25"/>
      <c r="G959" s="26"/>
      <c r="H959" s="4"/>
    </row>
    <row r="960">
      <c r="D960" s="25"/>
      <c r="E960" s="25"/>
      <c r="F960" s="25"/>
      <c r="G960" s="26"/>
      <c r="H960" s="4"/>
    </row>
    <row r="961">
      <c r="D961" s="25"/>
      <c r="E961" s="25"/>
      <c r="F961" s="25"/>
      <c r="G961" s="26"/>
      <c r="H961" s="4"/>
    </row>
    <row r="962">
      <c r="D962" s="25"/>
      <c r="E962" s="25"/>
      <c r="F962" s="25"/>
      <c r="G962" s="26"/>
      <c r="H962" s="4"/>
    </row>
    <row r="963">
      <c r="D963" s="25"/>
      <c r="E963" s="25"/>
      <c r="F963" s="25"/>
      <c r="G963" s="26"/>
      <c r="H963" s="4"/>
    </row>
    <row r="964">
      <c r="D964" s="25"/>
      <c r="E964" s="25"/>
      <c r="F964" s="25"/>
      <c r="G964" s="26"/>
      <c r="H964" s="4"/>
    </row>
    <row r="965">
      <c r="D965" s="25"/>
      <c r="E965" s="25"/>
      <c r="F965" s="25"/>
      <c r="G965" s="26"/>
      <c r="H965" s="4"/>
    </row>
    <row r="966">
      <c r="D966" s="25"/>
      <c r="E966" s="25"/>
      <c r="F966" s="25"/>
      <c r="G966" s="26"/>
      <c r="H966" s="4"/>
    </row>
    <row r="967">
      <c r="D967" s="25"/>
      <c r="E967" s="25"/>
      <c r="F967" s="25"/>
      <c r="G967" s="26"/>
      <c r="H967" s="4"/>
    </row>
    <row r="968">
      <c r="D968" s="25"/>
      <c r="E968" s="25"/>
      <c r="F968" s="25"/>
      <c r="G968" s="26"/>
      <c r="H968" s="4"/>
    </row>
    <row r="969">
      <c r="D969" s="25"/>
      <c r="E969" s="25"/>
      <c r="F969" s="25"/>
      <c r="G969" s="26"/>
      <c r="H969" s="4"/>
    </row>
    <row r="970">
      <c r="D970" s="25"/>
      <c r="E970" s="25"/>
      <c r="F970" s="25"/>
      <c r="G970" s="26"/>
      <c r="H970" s="4"/>
    </row>
    <row r="971">
      <c r="D971" s="25"/>
      <c r="E971" s="25"/>
      <c r="F971" s="25"/>
      <c r="G971" s="26"/>
      <c r="H971" s="4"/>
    </row>
    <row r="972">
      <c r="D972" s="25"/>
      <c r="E972" s="25"/>
      <c r="F972" s="25"/>
      <c r="G972" s="26"/>
      <c r="H972" s="4"/>
    </row>
    <row r="973">
      <c r="D973" s="25"/>
      <c r="E973" s="25"/>
      <c r="F973" s="25"/>
      <c r="G973" s="26"/>
      <c r="H973" s="4"/>
    </row>
    <row r="974">
      <c r="D974" s="25"/>
      <c r="E974" s="25"/>
      <c r="F974" s="25"/>
      <c r="G974" s="26"/>
      <c r="H974" s="4"/>
    </row>
    <row r="975">
      <c r="D975" s="25"/>
      <c r="E975" s="25"/>
      <c r="F975" s="25"/>
      <c r="G975" s="26"/>
      <c r="H975" s="4"/>
    </row>
    <row r="976">
      <c r="D976" s="25"/>
      <c r="E976" s="25"/>
      <c r="F976" s="25"/>
      <c r="G976" s="26"/>
      <c r="H976" s="4"/>
    </row>
    <row r="977">
      <c r="D977" s="25"/>
      <c r="E977" s="25"/>
      <c r="F977" s="25"/>
      <c r="G977" s="26"/>
      <c r="H977" s="4"/>
    </row>
    <row r="978">
      <c r="D978" s="25"/>
      <c r="E978" s="25"/>
      <c r="F978" s="25"/>
      <c r="G978" s="26"/>
      <c r="H978" s="4"/>
    </row>
    <row r="979">
      <c r="D979" s="25"/>
      <c r="E979" s="25"/>
      <c r="F979" s="25"/>
      <c r="G979" s="26"/>
      <c r="H979" s="4"/>
    </row>
    <row r="980">
      <c r="D980" s="25"/>
      <c r="E980" s="25"/>
      <c r="F980" s="25"/>
      <c r="G980" s="26"/>
      <c r="H980" s="4"/>
    </row>
    <row r="981">
      <c r="D981" s="25"/>
      <c r="E981" s="25"/>
      <c r="F981" s="25"/>
      <c r="G981" s="26"/>
      <c r="H981" s="4"/>
    </row>
    <row r="982">
      <c r="D982" s="25"/>
      <c r="E982" s="25"/>
      <c r="F982" s="25"/>
      <c r="G982" s="26"/>
      <c r="H982" s="4"/>
    </row>
    <row r="983">
      <c r="D983" s="25"/>
      <c r="E983" s="25"/>
      <c r="F983" s="25"/>
      <c r="G983" s="26"/>
      <c r="H983" s="4"/>
    </row>
    <row r="984">
      <c r="D984" s="25"/>
      <c r="E984" s="25"/>
      <c r="F984" s="25"/>
      <c r="G984" s="26"/>
      <c r="H984" s="4"/>
    </row>
    <row r="985">
      <c r="D985" s="25"/>
      <c r="E985" s="25"/>
      <c r="F985" s="25"/>
      <c r="G985" s="26"/>
      <c r="H985" s="4"/>
    </row>
    <row r="986">
      <c r="D986" s="25"/>
      <c r="E986" s="25"/>
      <c r="F986" s="25"/>
      <c r="G986" s="26"/>
      <c r="H986" s="4"/>
    </row>
    <row r="987">
      <c r="D987" s="25"/>
      <c r="E987" s="25"/>
      <c r="F987" s="25"/>
      <c r="G987" s="26"/>
      <c r="H987" s="4"/>
    </row>
    <row r="988">
      <c r="D988" s="25"/>
      <c r="E988" s="25"/>
      <c r="F988" s="25"/>
      <c r="G988" s="26"/>
      <c r="H988" s="4"/>
    </row>
    <row r="989">
      <c r="D989" s="25"/>
      <c r="E989" s="25"/>
      <c r="F989" s="25"/>
      <c r="G989" s="26"/>
      <c r="H989" s="4"/>
    </row>
    <row r="990">
      <c r="D990" s="25"/>
      <c r="E990" s="25"/>
      <c r="F990" s="25"/>
      <c r="G990" s="26"/>
      <c r="H990" s="4"/>
    </row>
    <row r="991">
      <c r="D991" s="25"/>
      <c r="E991" s="25"/>
      <c r="F991" s="25"/>
      <c r="G991" s="26"/>
      <c r="H991" s="4"/>
    </row>
    <row r="992">
      <c r="D992" s="25"/>
      <c r="E992" s="25"/>
      <c r="F992" s="25"/>
      <c r="G992" s="26"/>
      <c r="H992" s="4"/>
    </row>
    <row r="993">
      <c r="D993" s="25"/>
      <c r="E993" s="25"/>
      <c r="F993" s="25"/>
      <c r="G993" s="26"/>
      <c r="H993" s="4"/>
    </row>
    <row r="994">
      <c r="D994" s="25"/>
      <c r="E994" s="25"/>
      <c r="F994" s="25"/>
      <c r="G994" s="26"/>
      <c r="H994" s="4"/>
    </row>
    <row r="995">
      <c r="D995" s="25"/>
      <c r="E995" s="25"/>
      <c r="F995" s="25"/>
      <c r="G995" s="26"/>
      <c r="H995" s="4"/>
    </row>
    <row r="996">
      <c r="D996" s="25"/>
      <c r="E996" s="25"/>
      <c r="F996" s="25"/>
      <c r="G996" s="26"/>
      <c r="H996" s="4"/>
    </row>
    <row r="997">
      <c r="D997" s="25"/>
      <c r="E997" s="25"/>
      <c r="F997" s="25"/>
      <c r="G997" s="26"/>
      <c r="H997" s="4"/>
    </row>
    <row r="998">
      <c r="D998" s="25"/>
      <c r="E998" s="25"/>
      <c r="F998" s="25"/>
      <c r="G998" s="26"/>
      <c r="H998" s="4"/>
    </row>
    <row r="999">
      <c r="D999" s="25"/>
      <c r="E999" s="25"/>
      <c r="F999" s="25"/>
      <c r="G999" s="26"/>
      <c r="H999" s="4"/>
    </row>
    <row r="1000"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1C232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629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IFERROR(__xludf.DUMMYFUNCTION("IMPORTRANGE(""https://docs.google.com/spreadsheets/d/17GQg1VEfHenTeGCBb9JXAyCUHa1tTSetNhhByVSVTqA/edit#gid=1120027332"",""Leaders!A3:G502"")"),"Zach Auguste")</f>
        <v>Zach Auguste</v>
      </c>
      <c r="B3" s="13" t="str">
        <f>IFERROR(__xludf.DUMMYFUNCTION("""COMPUTED_VALUE"""),"PAN")</f>
        <v>PAN</v>
      </c>
      <c r="C3" s="14">
        <f>IFERROR(__xludf.DUMMYFUNCTION("""COMPUTED_VALUE"""),370.7)</f>
        <v>370.7</v>
      </c>
      <c r="D3" s="15">
        <f>IFERROR(__xludf.DUMMYFUNCTION("""COMPUTED_VALUE"""),1.0531068203523555)</f>
        <v>1.05310682</v>
      </c>
      <c r="E3" s="15">
        <f>IFERROR(__xludf.DUMMYFUNCTION("""COMPUTED_VALUE"""),9.881644638216628)</f>
        <v>9.881644638</v>
      </c>
      <c r="F3" s="15">
        <f>IFERROR(__xludf.DUMMYFUNCTION("""COMPUTED_VALUE"""),10.934751458568982)</f>
        <v>10.93475146</v>
      </c>
      <c r="G3" s="17">
        <f>IFERROR(__xludf.DUMMYFUNCTION("""COMPUTED_VALUE"""),1.4557574324504634)</f>
        <v>1.455757432</v>
      </c>
      <c r="H3" s="4"/>
      <c r="I3" s="5" t="s">
        <v>398</v>
      </c>
      <c r="J3" s="5" t="s">
        <v>19</v>
      </c>
      <c r="K3" s="5">
        <v>339.0</v>
      </c>
      <c r="L3" s="5">
        <v>5.06756</v>
      </c>
      <c r="M3" s="5">
        <v>7.24746</v>
      </c>
      <c r="N3" s="5">
        <v>12.31502</v>
      </c>
      <c r="O3" s="5">
        <v>1.46933</v>
      </c>
    </row>
    <row r="4">
      <c r="A4" s="18" t="str">
        <f>IFERROR(__xludf.DUMMYFUNCTION("""COMPUTED_VALUE"""),"Nick Calathes")</f>
        <v>Nick Calathes</v>
      </c>
      <c r="B4" s="19" t="str">
        <f>IFERROR(__xludf.DUMMYFUNCTION("""COMPUTED_VALUE"""),"PAN")</f>
        <v>PAN</v>
      </c>
      <c r="C4" s="20">
        <f>IFERROR(__xludf.DUMMYFUNCTION("""COMPUTED_VALUE"""),770.0)</f>
        <v>770</v>
      </c>
      <c r="D4" s="21">
        <f>IFERROR(__xludf.DUMMYFUNCTION("""COMPUTED_VALUE"""),1.9128164761383624)</f>
        <v>1.912816476</v>
      </c>
      <c r="E4" s="21">
        <f>IFERROR(__xludf.DUMMYFUNCTION("""COMPUTED_VALUE"""),8.137525122304977)</f>
        <v>8.137525122</v>
      </c>
      <c r="F4" s="21">
        <f>IFERROR(__xludf.DUMMYFUNCTION("""COMPUTED_VALUE"""),10.050341598443339)</f>
        <v>10.0503416</v>
      </c>
      <c r="G4" s="23">
        <f>IFERROR(__xludf.DUMMYFUNCTION("""COMPUTED_VALUE"""),2.8170751029122547)</f>
        <v>2.817075103</v>
      </c>
      <c r="H4" s="4"/>
      <c r="I4" s="5" t="s">
        <v>29</v>
      </c>
      <c r="J4" s="5" t="s">
        <v>30</v>
      </c>
      <c r="K4" s="5">
        <v>356.0</v>
      </c>
      <c r="L4" s="5">
        <v>4.03239</v>
      </c>
      <c r="M4" s="5">
        <v>8.05494</v>
      </c>
      <c r="N4" s="5">
        <v>12.08733</v>
      </c>
      <c r="O4" s="5">
        <v>1.52926</v>
      </c>
    </row>
    <row r="5">
      <c r="A5" s="12" t="str">
        <f>IFERROR(__xludf.DUMMYFUNCTION("""COMPUTED_VALUE"""),"Nikola Milutinov")</f>
        <v>Nikola Milutinov</v>
      </c>
      <c r="B5" s="13" t="str">
        <f>IFERROR(__xludf.DUMMYFUNCTION("""COMPUTED_VALUE"""),"OLY")</f>
        <v>OLY</v>
      </c>
      <c r="C5" s="14">
        <f>IFERROR(__xludf.DUMMYFUNCTION("""COMPUTED_VALUE"""),461.8)</f>
        <v>461.8</v>
      </c>
      <c r="D5" s="15">
        <f>IFERROR(__xludf.DUMMYFUNCTION("""COMPUTED_VALUE"""),-0.269524884234286)</f>
        <v>-0.2695248842</v>
      </c>
      <c r="E5" s="15">
        <f>IFERROR(__xludf.DUMMYFUNCTION("""COMPUTED_VALUE"""),10.318950650428235)</f>
        <v>10.31895065</v>
      </c>
      <c r="F5" s="15">
        <f>IFERROR(__xludf.DUMMYFUNCTION("""COMPUTED_VALUE"""),10.049425766193949)</f>
        <v>10.04942577</v>
      </c>
      <c r="G5" s="17">
        <f>IFERROR(__xludf.DUMMYFUNCTION("""COMPUTED_VALUE"""),1.6977914858390974)</f>
        <v>1.697791486</v>
      </c>
      <c r="H5" s="4"/>
      <c r="I5" s="5" t="s">
        <v>18</v>
      </c>
      <c r="J5" s="5" t="s">
        <v>19</v>
      </c>
      <c r="K5" s="5">
        <v>544.0</v>
      </c>
      <c r="L5" s="5">
        <v>5.77954</v>
      </c>
      <c r="M5" s="5">
        <v>5.15703</v>
      </c>
      <c r="N5" s="5">
        <v>10.93657</v>
      </c>
      <c r="O5" s="5">
        <v>2.13474</v>
      </c>
    </row>
    <row r="6">
      <c r="A6" s="18" t="str">
        <f>IFERROR(__xludf.DUMMYFUNCTION("""COMPUTED_VALUE"""),"McKenzie Moore")</f>
        <v>McKenzie Moore</v>
      </c>
      <c r="B6" s="19" t="str">
        <f>IFERROR(__xludf.DUMMYFUNCTION("""COMPUTED_VALUE"""),"LAV")</f>
        <v>LAV</v>
      </c>
      <c r="C6" s="20">
        <f>IFERROR(__xludf.DUMMYFUNCTION("""COMPUTED_VALUE"""),697.8)</f>
        <v>697.8</v>
      </c>
      <c r="D6" s="21">
        <f>IFERROR(__xludf.DUMMYFUNCTION("""COMPUTED_VALUE"""),5.19350841110813)</f>
        <v>5.193508411</v>
      </c>
      <c r="E6" s="21">
        <f>IFERROR(__xludf.DUMMYFUNCTION("""COMPUTED_VALUE"""),4.631524012904496)</f>
        <v>4.631524013</v>
      </c>
      <c r="F6" s="21">
        <f>IFERROR(__xludf.DUMMYFUNCTION("""COMPUTED_VALUE"""),9.825032424012626)</f>
        <v>9.825032424</v>
      </c>
      <c r="G6" s="23">
        <f>IFERROR(__xludf.DUMMYFUNCTION("""COMPUTED_VALUE"""),2.493131797542548)</f>
        <v>2.493131798</v>
      </c>
      <c r="H6" s="4"/>
      <c r="I6" s="5" t="s">
        <v>441</v>
      </c>
      <c r="J6" s="5" t="s">
        <v>30</v>
      </c>
      <c r="K6" s="5">
        <v>496.0</v>
      </c>
      <c r="L6" s="5">
        <v>7.10821</v>
      </c>
      <c r="M6" s="5">
        <v>3.1928</v>
      </c>
      <c r="N6" s="5">
        <v>10.301</v>
      </c>
      <c r="O6" s="5">
        <v>1.86205</v>
      </c>
    </row>
    <row r="7">
      <c r="A7" s="12" t="str">
        <f>IFERROR(__xludf.DUMMYFUNCTION("""COMPUTED_VALUE"""),"Thanasis Antetokounmpo")</f>
        <v>Thanasis Antetokounmpo</v>
      </c>
      <c r="B7" s="13" t="str">
        <f>IFERROR(__xludf.DUMMYFUNCTION("""COMPUTED_VALUE"""),"PAN")</f>
        <v>PAN</v>
      </c>
      <c r="C7" s="14">
        <f>IFERROR(__xludf.DUMMYFUNCTION("""COMPUTED_VALUE"""),546.0)</f>
        <v>546</v>
      </c>
      <c r="D7" s="15">
        <f>IFERROR(__xludf.DUMMYFUNCTION("""COMPUTED_VALUE"""),-0.6522420109466573)</f>
        <v>-0.6522420109</v>
      </c>
      <c r="E7" s="15">
        <f>IFERROR(__xludf.DUMMYFUNCTION("""COMPUTED_VALUE"""),8.601459814595131)</f>
        <v>8.601459815</v>
      </c>
      <c r="F7" s="15">
        <f>IFERROR(__xludf.DUMMYFUNCTION("""COMPUTED_VALUE"""),7.949217803648473)</f>
        <v>7.949217804</v>
      </c>
      <c r="G7" s="17">
        <f>IFERROR(__xludf.DUMMYFUNCTION("""COMPUTED_VALUE"""),1.6492630263956738)</f>
        <v>1.649263026</v>
      </c>
      <c r="H7" s="4"/>
      <c r="I7" s="5" t="s">
        <v>630</v>
      </c>
      <c r="J7" s="5" t="s">
        <v>631</v>
      </c>
      <c r="K7" s="5">
        <v>698.0</v>
      </c>
      <c r="L7" s="5">
        <v>6.27911</v>
      </c>
      <c r="M7" s="5">
        <v>3.54861</v>
      </c>
      <c r="N7" s="5">
        <v>9.82771</v>
      </c>
      <c r="O7" s="5">
        <v>2.4937</v>
      </c>
    </row>
    <row r="8">
      <c r="A8" s="18" t="str">
        <f>IFERROR(__xludf.DUMMYFUNCTION("""COMPUTED_VALUE"""),"Ian Vougioukas")</f>
        <v>Ian Vougioukas</v>
      </c>
      <c r="B8" s="19" t="str">
        <f>IFERROR(__xludf.DUMMYFUNCTION("""COMPUTED_VALUE"""),"PAN")</f>
        <v>PAN</v>
      </c>
      <c r="C8" s="20">
        <f>IFERROR(__xludf.DUMMYFUNCTION("""COMPUTED_VALUE"""),405.4)</f>
        <v>405.4</v>
      </c>
      <c r="D8" s="21">
        <f>IFERROR(__xludf.DUMMYFUNCTION("""COMPUTED_VALUE"""),-0.23406295067005123)</f>
        <v>-0.2340629507</v>
      </c>
      <c r="E8" s="21">
        <f>IFERROR(__xludf.DUMMYFUNCTION("""COMPUTED_VALUE"""),7.84456305322859)</f>
        <v>7.844563053</v>
      </c>
      <c r="F8" s="21">
        <f>IFERROR(__xludf.DUMMYFUNCTION("""COMPUTED_VALUE"""),7.6105001025585395)</f>
        <v>7.610500103</v>
      </c>
      <c r="G8" s="23">
        <f>IFERROR(__xludf.DUMMYFUNCTION("""COMPUTED_VALUE"""),1.1828728778610547)</f>
        <v>1.182872878</v>
      </c>
      <c r="H8" s="4"/>
      <c r="I8" s="5" t="s">
        <v>394</v>
      </c>
      <c r="J8" s="5" t="s">
        <v>19</v>
      </c>
      <c r="K8" s="5">
        <v>455.0</v>
      </c>
      <c r="L8" s="5">
        <v>3.04787</v>
      </c>
      <c r="M8" s="5">
        <v>5.57878</v>
      </c>
      <c r="N8" s="5">
        <v>8.62664</v>
      </c>
      <c r="O8" s="5">
        <v>1.46646</v>
      </c>
    </row>
    <row r="9">
      <c r="A9" s="12" t="str">
        <f>IFERROR(__xludf.DUMMYFUNCTION("""COMPUTED_VALUE"""),"Matt Lojeski")</f>
        <v>Matt Lojeski</v>
      </c>
      <c r="B9" s="13" t="str">
        <f>IFERROR(__xludf.DUMMYFUNCTION("""COMPUTED_VALUE"""),"PAN")</f>
        <v>PAN</v>
      </c>
      <c r="C9" s="14">
        <f>IFERROR(__xludf.DUMMYFUNCTION("""COMPUTED_VALUE"""),399.9)</f>
        <v>399.9</v>
      </c>
      <c r="D9" s="15">
        <f>IFERROR(__xludf.DUMMYFUNCTION("""COMPUTED_VALUE"""),2.5992008693516984)</f>
        <v>2.599200869</v>
      </c>
      <c r="E9" s="15">
        <f>IFERROR(__xludf.DUMMYFUNCTION("""COMPUTED_VALUE"""),4.96929730008139)</f>
        <v>4.9692973</v>
      </c>
      <c r="F9" s="15">
        <f>IFERROR(__xludf.DUMMYFUNCTION("""COMPUTED_VALUE"""),7.568498169433088)</f>
        <v>7.568498169</v>
      </c>
      <c r="G9" s="17">
        <f>IFERROR(__xludf.DUMMYFUNCTION("""COMPUTED_VALUE"""),1.1617255050667095)</f>
        <v>1.161725505</v>
      </c>
      <c r="H9" s="4"/>
      <c r="I9" s="5" t="s">
        <v>358</v>
      </c>
      <c r="J9" s="5" t="s">
        <v>19</v>
      </c>
      <c r="K9" s="5">
        <v>346.0</v>
      </c>
      <c r="L9" s="5">
        <v>3.82065</v>
      </c>
      <c r="M9" s="5">
        <v>4.60139</v>
      </c>
      <c r="N9" s="5">
        <v>8.42204</v>
      </c>
      <c r="O9" s="5">
        <v>1.09186</v>
      </c>
    </row>
    <row r="10">
      <c r="A10" s="18" t="str">
        <f>IFERROR(__xludf.DUMMYFUNCTION("""COMPUTED_VALUE"""),"Ioannis Papapetrou")</f>
        <v>Ioannis Papapetrou</v>
      </c>
      <c r="B10" s="19" t="str">
        <f>IFERROR(__xludf.DUMMYFUNCTION("""COMPUTED_VALUE"""),"OLY")</f>
        <v>OLY</v>
      </c>
      <c r="C10" s="20">
        <f>IFERROR(__xludf.DUMMYFUNCTION("""COMPUTED_VALUE"""),654.0)</f>
        <v>654</v>
      </c>
      <c r="D10" s="21">
        <f>IFERROR(__xludf.DUMMYFUNCTION("""COMPUTED_VALUE"""),2.0825798028834757)</f>
        <v>2.082579803</v>
      </c>
      <c r="E10" s="21">
        <f>IFERROR(__xludf.DUMMYFUNCTION("""COMPUTED_VALUE"""),5.484050941760973)</f>
        <v>5.484050942</v>
      </c>
      <c r="F10" s="21">
        <f>IFERROR(__xludf.DUMMYFUNCTION("""COMPUTED_VALUE"""),7.566630744644448)</f>
        <v>7.566630745</v>
      </c>
      <c r="G10" s="23">
        <f>IFERROR(__xludf.DUMMYFUNCTION("""COMPUTED_VALUE"""),1.9089775978531145)</f>
        <v>1.908977598</v>
      </c>
      <c r="H10" s="4"/>
      <c r="I10" s="5" t="s">
        <v>126</v>
      </c>
      <c r="J10" s="5" t="s">
        <v>19</v>
      </c>
      <c r="K10" s="5">
        <v>511.0</v>
      </c>
      <c r="L10" s="5">
        <v>3.25753</v>
      </c>
      <c r="M10" s="5">
        <v>5.03308</v>
      </c>
      <c r="N10" s="5">
        <v>8.29061</v>
      </c>
      <c r="O10" s="5">
        <v>1.59545</v>
      </c>
    </row>
    <row r="11">
      <c r="A11" s="12" t="str">
        <f>IFERROR(__xludf.DUMMYFUNCTION("""COMPUTED_VALUE"""),"Kostas Papanikolaou")</f>
        <v>Kostas Papanikolaou</v>
      </c>
      <c r="B11" s="13" t="str">
        <f>IFERROR(__xludf.DUMMYFUNCTION("""COMPUTED_VALUE"""),"OLY")</f>
        <v>OLY</v>
      </c>
      <c r="C11" s="14">
        <f>IFERROR(__xludf.DUMMYFUNCTION("""COMPUTED_VALUE"""),684.9)</f>
        <v>684.9</v>
      </c>
      <c r="D11" s="15">
        <f>IFERROR(__xludf.DUMMYFUNCTION("""COMPUTED_VALUE"""),-0.2889035749770712)</f>
        <v>-0.288903575</v>
      </c>
      <c r="E11" s="15">
        <f>IFERROR(__xludf.DUMMYFUNCTION("""COMPUTED_VALUE"""),7.497341211639288)</f>
        <v>7.497341212</v>
      </c>
      <c r="F11" s="15">
        <f>IFERROR(__xludf.DUMMYFUNCTION("""COMPUTED_VALUE"""),7.208437636662216)</f>
        <v>7.208437637</v>
      </c>
      <c r="G11" s="17">
        <f>IFERROR(__xludf.DUMMYFUNCTION("""COMPUTED_VALUE"""),1.9243195397283783)</f>
        <v>1.92431954</v>
      </c>
      <c r="H11" s="4"/>
      <c r="I11" s="5" t="s">
        <v>37</v>
      </c>
      <c r="J11" s="5" t="s">
        <v>30</v>
      </c>
      <c r="K11" s="5">
        <v>475.0</v>
      </c>
      <c r="L11" s="5">
        <v>3.35486</v>
      </c>
      <c r="M11" s="5">
        <v>4.9335</v>
      </c>
      <c r="N11" s="5">
        <v>8.28836</v>
      </c>
      <c r="O11" s="5">
        <v>1.49113</v>
      </c>
    </row>
    <row r="12">
      <c r="A12" s="18" t="str">
        <f>IFERROR(__xludf.DUMMYFUNCTION("""COMPUTED_VALUE"""),"James Gist")</f>
        <v>James Gist</v>
      </c>
      <c r="B12" s="19" t="str">
        <f>IFERROR(__xludf.DUMMYFUNCTION("""COMPUTED_VALUE"""),"PAN")</f>
        <v>PAN</v>
      </c>
      <c r="C12" s="20">
        <f>IFERROR(__xludf.DUMMYFUNCTION("""COMPUTED_VALUE"""),727.8)</f>
        <v>727.8</v>
      </c>
      <c r="D12" s="21">
        <f>IFERROR(__xludf.DUMMYFUNCTION("""COMPUTED_VALUE"""),-1.0662199806217374)</f>
        <v>-1.066219981</v>
      </c>
      <c r="E12" s="21">
        <f>IFERROR(__xludf.DUMMYFUNCTION("""COMPUTED_VALUE"""),7.858685895988877)</f>
        <v>7.858685896</v>
      </c>
      <c r="F12" s="21">
        <f>IFERROR(__xludf.DUMMYFUNCTION("""COMPUTED_VALUE"""),6.79246591536714)</f>
        <v>6.792465915</v>
      </c>
      <c r="G12" s="23">
        <f>IFERROR(__xludf.DUMMYFUNCTION("""COMPUTED_VALUE"""),1.9428133836610075)</f>
        <v>1.942813384</v>
      </c>
      <c r="H12" s="4"/>
      <c r="I12" s="5" t="s">
        <v>135</v>
      </c>
      <c r="J12" s="5" t="s">
        <v>19</v>
      </c>
      <c r="K12" s="24">
        <v>518.0</v>
      </c>
      <c r="L12" s="5">
        <v>3.49383</v>
      </c>
      <c r="M12" s="5">
        <v>4.69348</v>
      </c>
      <c r="N12" s="5">
        <v>8.18732</v>
      </c>
      <c r="O12" s="5">
        <v>1.60137</v>
      </c>
    </row>
    <row r="13">
      <c r="A13" s="12" t="str">
        <f>IFERROR(__xludf.DUMMYFUNCTION("""COMPUTED_VALUE"""),"Jamel McLean")</f>
        <v>Jamel McLean</v>
      </c>
      <c r="B13" s="13" t="str">
        <f>IFERROR(__xludf.DUMMYFUNCTION("""COMPUTED_VALUE"""),"OLY")</f>
        <v>OLY</v>
      </c>
      <c r="C13" s="14">
        <f>IFERROR(__xludf.DUMMYFUNCTION("""COMPUTED_VALUE"""),628.4)</f>
        <v>628.4</v>
      </c>
      <c r="D13" s="15">
        <f>IFERROR(__xludf.DUMMYFUNCTION("""COMPUTED_VALUE"""),0.17162842574838977)</f>
        <v>0.1716284257</v>
      </c>
      <c r="E13" s="15">
        <f>IFERROR(__xludf.DUMMYFUNCTION("""COMPUTED_VALUE"""),6.526464317631806)</f>
        <v>6.526464318</v>
      </c>
      <c r="F13" s="15">
        <f>IFERROR(__xludf.DUMMYFUNCTION("""COMPUTED_VALUE"""),6.698092743380196)</f>
        <v>6.698092743</v>
      </c>
      <c r="G13" s="17">
        <f>IFERROR(__xludf.DUMMYFUNCTION("""COMPUTED_VALUE"""),1.6677243994468949)</f>
        <v>1.667724399</v>
      </c>
      <c r="H13" s="4"/>
      <c r="I13" s="5" t="s">
        <v>412</v>
      </c>
      <c r="J13" s="5" t="s">
        <v>19</v>
      </c>
      <c r="K13" s="5">
        <v>260.0</v>
      </c>
      <c r="L13" s="5">
        <v>5.19494</v>
      </c>
      <c r="M13" s="5">
        <v>1.91981</v>
      </c>
      <c r="N13" s="5">
        <v>7.11475</v>
      </c>
      <c r="O13" s="5">
        <v>0.71887</v>
      </c>
    </row>
    <row r="14">
      <c r="A14" s="18" t="str">
        <f>IFERROR(__xludf.DUMMYFUNCTION("""COMPUTED_VALUE"""),"Chris Singleton")</f>
        <v>Chris Singleton</v>
      </c>
      <c r="B14" s="19" t="str">
        <f>IFERROR(__xludf.DUMMYFUNCTION("""COMPUTED_VALUE"""),"PAN")</f>
        <v>PAN</v>
      </c>
      <c r="C14" s="20">
        <f>IFERROR(__xludf.DUMMYFUNCTION("""COMPUTED_VALUE"""),774.1)</f>
        <v>774.1</v>
      </c>
      <c r="D14" s="21">
        <f>IFERROR(__xludf.DUMMYFUNCTION("""COMPUTED_VALUE"""),-1.0175123074884844)</f>
        <v>-1.017512307</v>
      </c>
      <c r="E14" s="21">
        <f>IFERROR(__xludf.DUMMYFUNCTION("""COMPUTED_VALUE"""),7.594271724659539)</f>
        <v>7.594271725</v>
      </c>
      <c r="F14" s="21">
        <f>IFERROR(__xludf.DUMMYFUNCTION("""COMPUTED_VALUE"""),6.576759417171054)</f>
        <v>6.576759417</v>
      </c>
      <c r="G14" s="23">
        <f>IFERROR(__xludf.DUMMYFUNCTION("""COMPUTED_VALUE"""),2.015712724726065)</f>
        <v>2.015712725</v>
      </c>
      <c r="H14" s="4"/>
      <c r="I14" s="5" t="s">
        <v>229</v>
      </c>
      <c r="J14" s="5" t="s">
        <v>19</v>
      </c>
      <c r="K14" s="5">
        <v>358.0</v>
      </c>
      <c r="L14" s="5">
        <v>4.12715</v>
      </c>
      <c r="M14" s="5">
        <v>2.97309</v>
      </c>
      <c r="N14" s="5">
        <v>7.10024</v>
      </c>
      <c r="O14" s="5">
        <v>0.98733</v>
      </c>
    </row>
    <row r="15">
      <c r="A15" s="12" t="str">
        <f>IFERROR(__xludf.DUMMYFUNCTION("""COMPUTED_VALUE"""),"Janis Strelnieks")</f>
        <v>Janis Strelnieks</v>
      </c>
      <c r="B15" s="13" t="str">
        <f>IFERROR(__xludf.DUMMYFUNCTION("""COMPUTED_VALUE"""),"OLY")</f>
        <v>OLY</v>
      </c>
      <c r="C15" s="14">
        <f>IFERROR(__xludf.DUMMYFUNCTION("""COMPUTED_VALUE"""),632.5)</f>
        <v>632.5</v>
      </c>
      <c r="D15" s="15">
        <f>IFERROR(__xludf.DUMMYFUNCTION("""COMPUTED_VALUE"""),3.3308262625140075)</f>
        <v>3.330826263</v>
      </c>
      <c r="E15" s="15">
        <f>IFERROR(__xludf.DUMMYFUNCTION("""COMPUTED_VALUE"""),2.991679620775322)</f>
        <v>2.991679621</v>
      </c>
      <c r="F15" s="15">
        <f>IFERROR(__xludf.DUMMYFUNCTION("""COMPUTED_VALUE"""),6.322505883289329)</f>
        <v>6.322505883</v>
      </c>
      <c r="G15" s="17">
        <f>IFERROR(__xludf.DUMMYFUNCTION("""COMPUTED_VALUE"""),1.606122673347038)</f>
        <v>1.606122673</v>
      </c>
      <c r="H15" s="4"/>
      <c r="I15" s="5" t="s">
        <v>172</v>
      </c>
      <c r="J15" s="5" t="s">
        <v>30</v>
      </c>
      <c r="K15" s="5">
        <v>486.0</v>
      </c>
      <c r="L15" s="5">
        <v>2.68523</v>
      </c>
      <c r="M15" s="5">
        <v>3.98223</v>
      </c>
      <c r="N15" s="5">
        <v>6.66746</v>
      </c>
      <c r="O15" s="5">
        <v>1.28425</v>
      </c>
    </row>
    <row r="16">
      <c r="A16" s="18" t="str">
        <f>IFERROR(__xludf.DUMMYFUNCTION("""COMPUTED_VALUE"""),"Georgios Bogris")</f>
        <v>Georgios Bogris</v>
      </c>
      <c r="B16" s="19" t="str">
        <f>IFERROR(__xludf.DUMMYFUNCTION("""COMPUTED_VALUE"""),"OLY")</f>
        <v>OLY</v>
      </c>
      <c r="C16" s="20">
        <f>IFERROR(__xludf.DUMMYFUNCTION("""COMPUTED_VALUE"""),352.5)</f>
        <v>352.5</v>
      </c>
      <c r="D16" s="21">
        <f>IFERROR(__xludf.DUMMYFUNCTION("""COMPUTED_VALUE"""),-1.8577434567468414)</f>
        <v>-1.857743457</v>
      </c>
      <c r="E16" s="21">
        <f>IFERROR(__xludf.DUMMYFUNCTION("""COMPUTED_VALUE"""),7.813031516923357)</f>
        <v>7.813031517</v>
      </c>
      <c r="F16" s="21">
        <f>IFERROR(__xludf.DUMMYFUNCTION("""COMPUTED_VALUE"""),5.955288060176516)</f>
        <v>5.95528806</v>
      </c>
      <c r="G16" s="23">
        <f>IFERROR(__xludf.DUMMYFUNCTION("""COMPUTED_VALUE"""),0.8556164066262241)</f>
        <v>0.8556164066</v>
      </c>
      <c r="H16" s="4"/>
      <c r="I16" s="5" t="s">
        <v>500</v>
      </c>
      <c r="J16" s="5" t="s">
        <v>19</v>
      </c>
      <c r="K16" s="24">
        <v>508.0</v>
      </c>
      <c r="L16" s="5">
        <v>4.80902</v>
      </c>
      <c r="M16" s="5">
        <v>1.8567</v>
      </c>
      <c r="N16" s="5">
        <v>6.66572</v>
      </c>
      <c r="O16" s="5">
        <v>1.33512</v>
      </c>
    </row>
    <row r="17">
      <c r="A17" s="12" t="str">
        <f>IFERROR(__xludf.DUMMYFUNCTION("""COMPUTED_VALUE"""),"Brian Roberts")</f>
        <v>Brian Roberts</v>
      </c>
      <c r="B17" s="13" t="str">
        <f>IFERROR(__xludf.DUMMYFUNCTION("""COMPUTED_VALUE"""),"OLY")</f>
        <v>OLY</v>
      </c>
      <c r="C17" s="14">
        <f>IFERROR(__xludf.DUMMYFUNCTION("""COMPUTED_VALUE"""),599.8)</f>
        <v>599.8</v>
      </c>
      <c r="D17" s="15">
        <f>IFERROR(__xludf.DUMMYFUNCTION("""COMPUTED_VALUE"""),1.7922562579317902)</f>
        <v>1.792256258</v>
      </c>
      <c r="E17" s="15">
        <f>IFERROR(__xludf.DUMMYFUNCTION("""COMPUTED_VALUE"""),3.787922227216224)</f>
        <v>3.787922227</v>
      </c>
      <c r="F17" s="15">
        <f>IFERROR(__xludf.DUMMYFUNCTION("""COMPUTED_VALUE"""),5.580178485148014)</f>
        <v>5.580178485</v>
      </c>
      <c r="G17" s="17">
        <f>IFERROR(__xludf.DUMMYFUNCTION("""COMPUTED_VALUE"""),1.3872347699472902)</f>
        <v>1.38723477</v>
      </c>
      <c r="H17" s="4"/>
      <c r="I17" s="5" t="s">
        <v>200</v>
      </c>
      <c r="J17" s="5" t="s">
        <v>19</v>
      </c>
      <c r="K17" s="5">
        <v>472.0</v>
      </c>
      <c r="L17" s="5">
        <v>4.26221</v>
      </c>
      <c r="M17" s="5">
        <v>2.3525</v>
      </c>
      <c r="N17" s="5">
        <v>6.61472</v>
      </c>
      <c r="O17" s="5">
        <v>1.23401</v>
      </c>
    </row>
    <row r="18">
      <c r="A18" s="18" t="str">
        <f>IFERROR(__xludf.DUMMYFUNCTION("""COMPUTED_VALUE"""),"Dejan Kravic")</f>
        <v>Dejan Kravic</v>
      </c>
      <c r="B18" s="19" t="str">
        <f>IFERROR(__xludf.DUMMYFUNCTION("""COMPUTED_VALUE"""),"PAI")</f>
        <v>PAI</v>
      </c>
      <c r="C18" s="20">
        <f>IFERROR(__xludf.DUMMYFUNCTION("""COMPUTED_VALUE"""),416.5)</f>
        <v>416.5</v>
      </c>
      <c r="D18" s="21">
        <f>IFERROR(__xludf.DUMMYFUNCTION("""COMPUTED_VALUE"""),5.627988033228672)</f>
        <v>5.627988033</v>
      </c>
      <c r="E18" s="21">
        <f>IFERROR(__xludf.DUMMYFUNCTION("""COMPUTED_VALUE"""),-0.2568599267739806)</f>
        <v>-0.2568599268</v>
      </c>
      <c r="F18" s="21">
        <f>IFERROR(__xludf.DUMMYFUNCTION("""COMPUTED_VALUE"""),5.371128106454691)</f>
        <v>5.371128106</v>
      </c>
      <c r="G18" s="23">
        <f>IFERROR(__xludf.DUMMYFUNCTION("""COMPUTED_VALUE"""),0.9330199450627809)</f>
        <v>0.9330199451</v>
      </c>
      <c r="H18" s="4"/>
      <c r="I18" s="5" t="s">
        <v>509</v>
      </c>
      <c r="J18" s="5" t="s">
        <v>19</v>
      </c>
      <c r="K18" s="5">
        <v>465.0</v>
      </c>
      <c r="L18" s="5">
        <v>3.66465</v>
      </c>
      <c r="M18" s="5">
        <v>2.69348</v>
      </c>
      <c r="N18" s="5">
        <v>6.35812</v>
      </c>
      <c r="O18" s="5">
        <v>1.1785</v>
      </c>
    </row>
    <row r="19">
      <c r="A19" s="12" t="str">
        <f>IFERROR(__xludf.DUMMYFUNCTION("""COMPUTED_VALUE"""),"Mike James")</f>
        <v>Mike James</v>
      </c>
      <c r="B19" s="13" t="str">
        <f>IFERROR(__xludf.DUMMYFUNCTION("""COMPUTED_VALUE"""),"PAN")</f>
        <v>PAN</v>
      </c>
      <c r="C19" s="14">
        <f>IFERROR(__xludf.DUMMYFUNCTION("""COMPUTED_VALUE"""),252.3)</f>
        <v>252.3</v>
      </c>
      <c r="D19" s="15">
        <f>IFERROR(__xludf.DUMMYFUNCTION("""COMPUTED_VALUE"""),1.5796131246277831)</f>
        <v>1.579613125</v>
      </c>
      <c r="E19" s="15">
        <f>IFERROR(__xludf.DUMMYFUNCTION("""COMPUTED_VALUE"""),3.714328104777487)</f>
        <v>3.714328105</v>
      </c>
      <c r="F19" s="15">
        <f>IFERROR(__xludf.DUMMYFUNCTION("""COMPUTED_VALUE"""),5.29394122940527)</f>
        <v>5.293941229</v>
      </c>
      <c r="G19" s="17">
        <f>IFERROR(__xludf.DUMMYFUNCTION("""COMPUTED_VALUE"""),0.5587118107453948)</f>
        <v>0.5587118107</v>
      </c>
      <c r="H19" s="4"/>
      <c r="I19" s="5" t="s">
        <v>218</v>
      </c>
      <c r="J19" s="5" t="s">
        <v>30</v>
      </c>
      <c r="K19" s="5">
        <v>490.0</v>
      </c>
      <c r="L19" s="5">
        <v>5.83572</v>
      </c>
      <c r="M19" s="5">
        <v>0.43452</v>
      </c>
      <c r="N19" s="5">
        <v>6.27024</v>
      </c>
      <c r="O19" s="5">
        <v>1.2365</v>
      </c>
    </row>
    <row r="20">
      <c r="A20" s="18" t="str">
        <f>IFERROR(__xludf.DUMMYFUNCTION("""COMPUTED_VALUE"""),"Kostas Mitoglou")</f>
        <v>Kostas Mitoglou</v>
      </c>
      <c r="B20" s="19" t="str">
        <f>IFERROR(__xludf.DUMMYFUNCTION("""COMPUTED_VALUE"""),"PAN")</f>
        <v>PAN</v>
      </c>
      <c r="C20" s="20">
        <f>IFERROR(__xludf.DUMMYFUNCTION("""COMPUTED_VALUE"""),409.0)</f>
        <v>409</v>
      </c>
      <c r="D20" s="21">
        <f>IFERROR(__xludf.DUMMYFUNCTION("""COMPUTED_VALUE"""),-0.4404609016229377)</f>
        <v>-0.4404609016</v>
      </c>
      <c r="E20" s="21">
        <f>IFERROR(__xludf.DUMMYFUNCTION("""COMPUTED_VALUE"""),5.585542782359379)</f>
        <v>5.585542782</v>
      </c>
      <c r="F20" s="21">
        <f>IFERROR(__xludf.DUMMYFUNCTION("""COMPUTED_VALUE"""),5.145081880736441)</f>
        <v>5.145081881</v>
      </c>
      <c r="G20" s="23">
        <f>IFERROR(__xludf.DUMMYFUNCTION("""COMPUTED_VALUE"""),0.887235396888486)</f>
        <v>0.8872353969</v>
      </c>
      <c r="H20" s="4"/>
      <c r="I20" s="5" t="s">
        <v>210</v>
      </c>
      <c r="J20" s="5" t="s">
        <v>30</v>
      </c>
      <c r="K20" s="5">
        <v>470.0</v>
      </c>
      <c r="L20" s="5">
        <v>3.19257</v>
      </c>
      <c r="M20" s="5">
        <v>2.74332</v>
      </c>
      <c r="N20" s="5">
        <v>5.93588</v>
      </c>
      <c r="O20" s="5">
        <v>1.13734</v>
      </c>
    </row>
    <row r="21">
      <c r="A21" s="12" t="str">
        <f>IFERROR(__xludf.DUMMYFUNCTION("""COMPUTED_VALUE"""),"Evangelos Mantzaris")</f>
        <v>Evangelos Mantzaris</v>
      </c>
      <c r="B21" s="13" t="str">
        <f>IFERROR(__xludf.DUMMYFUNCTION("""COMPUTED_VALUE"""),"OLY")</f>
        <v>OLY</v>
      </c>
      <c r="C21" s="14">
        <f>IFERROR(__xludf.DUMMYFUNCTION("""COMPUTED_VALUE"""),621.5)</f>
        <v>621.5</v>
      </c>
      <c r="D21" s="15">
        <f>IFERROR(__xludf.DUMMYFUNCTION("""COMPUTED_VALUE"""),-0.3740441243189411)</f>
        <v>-0.3740441243</v>
      </c>
      <c r="E21" s="15">
        <f>IFERROR(__xludf.DUMMYFUNCTION("""COMPUTED_VALUE"""),5.42445199262816)</f>
        <v>5.424451993</v>
      </c>
      <c r="F21" s="15">
        <f>IFERROR(__xludf.DUMMYFUNCTION("""COMPUTED_VALUE"""),5.050407868309218)</f>
        <v>5.050407868</v>
      </c>
      <c r="G21" s="17">
        <f>IFERROR(__xludf.DUMMYFUNCTION("""COMPUTED_VALUE"""),1.3369631804203952)</f>
        <v>1.33696318</v>
      </c>
      <c r="H21" s="4"/>
      <c r="I21" s="5" t="s">
        <v>435</v>
      </c>
      <c r="J21" s="5" t="s">
        <v>30</v>
      </c>
      <c r="K21" s="5">
        <v>302.0</v>
      </c>
      <c r="L21" s="5">
        <v>1.03822</v>
      </c>
      <c r="M21" s="5">
        <v>4.77077</v>
      </c>
      <c r="N21" s="5">
        <v>5.80899</v>
      </c>
      <c r="O21" s="5">
        <v>0.71997</v>
      </c>
    </row>
    <row r="22">
      <c r="A22" s="18" t="str">
        <f>IFERROR(__xludf.DUMMYFUNCTION("""COMPUTED_VALUE"""),"Nikos Pappas")</f>
        <v>Nikos Pappas</v>
      </c>
      <c r="B22" s="19" t="str">
        <f>IFERROR(__xludf.DUMMYFUNCTION("""COMPUTED_VALUE"""),"PAN")</f>
        <v>PAN</v>
      </c>
      <c r="C22" s="20">
        <f>IFERROR(__xludf.DUMMYFUNCTION("""COMPUTED_VALUE"""),560.7)</f>
        <v>560.7</v>
      </c>
      <c r="D22" s="21">
        <f>IFERROR(__xludf.DUMMYFUNCTION("""COMPUTED_VALUE"""),0.020521658965260037)</f>
        <v>0.02052165897</v>
      </c>
      <c r="E22" s="21">
        <f>IFERROR(__xludf.DUMMYFUNCTION("""COMPUTED_VALUE"""),5.017344840365327)</f>
        <v>5.01734484</v>
      </c>
      <c r="F22" s="21">
        <f>IFERROR(__xludf.DUMMYFUNCTION("""COMPUTED_VALUE"""),5.037866499330587)</f>
        <v>5.037866499</v>
      </c>
      <c r="G22" s="23">
        <f>IFERROR(__xludf.DUMMYFUNCTION("""COMPUTED_VALUE"""),1.1980637352261598)</f>
        <v>1.198063735</v>
      </c>
      <c r="H22" s="4"/>
      <c r="I22" s="5" t="s">
        <v>319</v>
      </c>
      <c r="J22" s="5" t="s">
        <v>19</v>
      </c>
      <c r="K22" s="5">
        <v>463.0</v>
      </c>
      <c r="L22" s="5">
        <v>3.5806</v>
      </c>
      <c r="M22" s="5">
        <v>2.08406</v>
      </c>
      <c r="N22" s="5">
        <v>5.66465</v>
      </c>
      <c r="O22" s="5">
        <v>1.077</v>
      </c>
    </row>
    <row r="23">
      <c r="A23" s="12" t="str">
        <f>IFERROR(__xludf.DUMMYFUNCTION("""COMPUTED_VALUE"""),"Lukas Lekavicius")</f>
        <v>Lukas Lekavicius</v>
      </c>
      <c r="B23" s="13" t="str">
        <f>IFERROR(__xludf.DUMMYFUNCTION("""COMPUTED_VALUE"""),"PAN")</f>
        <v>PAN</v>
      </c>
      <c r="C23" s="14">
        <f>IFERROR(__xludf.DUMMYFUNCTION("""COMPUTED_VALUE"""),599.5)</f>
        <v>599.5</v>
      </c>
      <c r="D23" s="15">
        <f>IFERROR(__xludf.DUMMYFUNCTION("""COMPUTED_VALUE"""),0.5454229067302633)</f>
        <v>0.5454229067</v>
      </c>
      <c r="E23" s="15">
        <f>IFERROR(__xludf.DUMMYFUNCTION("""COMPUTED_VALUE"""),4.453042695598805)</f>
        <v>4.453042696</v>
      </c>
      <c r="F23" s="15">
        <f>IFERROR(__xludf.DUMMYFUNCTION("""COMPUTED_VALUE"""),4.998465602329069)</f>
        <v>4.998465602</v>
      </c>
      <c r="G23" s="17">
        <f>IFERROR(__xludf.DUMMYFUNCTION("""COMPUTED_VALUE"""),1.2737974106362302)</f>
        <v>1.273797411</v>
      </c>
      <c r="H23" s="4"/>
      <c r="I23" s="5" t="s">
        <v>348</v>
      </c>
      <c r="J23" s="5" t="s">
        <v>30</v>
      </c>
      <c r="K23" s="5">
        <v>458.0</v>
      </c>
      <c r="L23" s="5">
        <v>3.98605</v>
      </c>
      <c r="M23" s="5">
        <v>1.65812</v>
      </c>
      <c r="N23" s="5">
        <v>5.64417</v>
      </c>
      <c r="O23" s="5">
        <v>1.06824</v>
      </c>
    </row>
    <row r="24">
      <c r="A24" s="18" t="str">
        <f>IFERROR(__xludf.DUMMYFUNCTION("""COMPUTED_VALUE"""),"Marcus Denmon")</f>
        <v>Marcus Denmon</v>
      </c>
      <c r="B24" s="19" t="str">
        <f>IFERROR(__xludf.DUMMYFUNCTION("""COMPUTED_VALUE"""),"PAN")</f>
        <v>PAN</v>
      </c>
      <c r="C24" s="20">
        <f>IFERROR(__xludf.DUMMYFUNCTION("""COMPUTED_VALUE"""),463.4)</f>
        <v>463.4</v>
      </c>
      <c r="D24" s="21">
        <f>IFERROR(__xludf.DUMMYFUNCTION("""COMPUTED_VALUE"""),-0.08748493947127411)</f>
        <v>-0.08748493947</v>
      </c>
      <c r="E24" s="21">
        <f>IFERROR(__xludf.DUMMYFUNCTION("""COMPUTED_VALUE"""),4.832410660880123)</f>
        <v>4.832410661</v>
      </c>
      <c r="F24" s="21">
        <f>IFERROR(__xludf.DUMMYFUNCTION("""COMPUTED_VALUE"""),4.744925721408849)</f>
        <v>4.744925721</v>
      </c>
      <c r="G24" s="23">
        <f>IFERROR(__xludf.DUMMYFUNCTION("""COMPUTED_VALUE"""),0.9489460944543499)</f>
        <v>0.9489460945</v>
      </c>
      <c r="H24" s="4"/>
      <c r="I24" s="5" t="s">
        <v>638</v>
      </c>
      <c r="J24" s="5" t="s">
        <v>639</v>
      </c>
      <c r="K24" s="5">
        <v>417.0</v>
      </c>
      <c r="L24" s="5">
        <v>4.40499</v>
      </c>
      <c r="M24" s="5">
        <v>0.96957</v>
      </c>
      <c r="N24" s="5">
        <v>5.37456</v>
      </c>
      <c r="O24" s="5">
        <v>0.93345</v>
      </c>
    </row>
    <row r="25">
      <c r="A25" s="12" t="str">
        <f>IFERROR(__xludf.DUMMYFUNCTION("""COMPUTED_VALUE"""),"Michale Kyser")</f>
        <v>Michale Kyser</v>
      </c>
      <c r="B25" s="13" t="str">
        <f>IFERROR(__xludf.DUMMYFUNCTION("""COMPUTED_VALUE"""),"KYM")</f>
        <v>KYM</v>
      </c>
      <c r="C25" s="14">
        <f>IFERROR(__xludf.DUMMYFUNCTION("""COMPUTED_VALUE"""),343.4)</f>
        <v>343.4</v>
      </c>
      <c r="D25" s="15">
        <f>IFERROR(__xludf.DUMMYFUNCTION("""COMPUTED_VALUE"""),0.020779357040525248)</f>
        <v>0.02077935704</v>
      </c>
      <c r="E25" s="15">
        <f>IFERROR(__xludf.DUMMYFUNCTION("""COMPUTED_VALUE"""),4.716736958838378)</f>
        <v>4.716736959</v>
      </c>
      <c r="F25" s="15">
        <f>IFERROR(__xludf.DUMMYFUNCTION("""COMPUTED_VALUE"""),4.737516315878903)</f>
        <v>4.737516316</v>
      </c>
      <c r="G25" s="17">
        <f>IFERROR(__xludf.DUMMYFUNCTION("""COMPUTED_VALUE"""),0.6999355937876406)</f>
        <v>0.6999355938</v>
      </c>
      <c r="H25" s="4"/>
      <c r="I25" s="5" t="s">
        <v>641</v>
      </c>
      <c r="J25" s="5" t="s">
        <v>642</v>
      </c>
      <c r="K25" s="5">
        <v>343.0</v>
      </c>
      <c r="L25" s="5">
        <v>-0.06549</v>
      </c>
      <c r="M25" s="5">
        <v>4.80243</v>
      </c>
      <c r="N25" s="5">
        <v>4.73694</v>
      </c>
      <c r="O25" s="5">
        <v>0.69988</v>
      </c>
    </row>
    <row r="26">
      <c r="A26" s="18" t="str">
        <f>IFERROR(__xludf.DUMMYFUNCTION("""COMPUTED_VALUE"""),"Phil Goss")</f>
        <v>Phil Goss</v>
      </c>
      <c r="B26" s="19" t="str">
        <f>IFERROR(__xludf.DUMMYFUNCTION("""COMPUTED_VALUE"""),"PAOK")</f>
        <v>PAOK</v>
      </c>
      <c r="C26" s="20">
        <f>IFERROR(__xludf.DUMMYFUNCTION("""COMPUTED_VALUE"""),740.6)</f>
        <v>740.6</v>
      </c>
      <c r="D26" s="21">
        <f>IFERROR(__xludf.DUMMYFUNCTION("""COMPUTED_VALUE"""),4.2036168031175745)</f>
        <v>4.203616803</v>
      </c>
      <c r="E26" s="21">
        <f>IFERROR(__xludf.DUMMYFUNCTION("""COMPUTED_VALUE"""),0.5141082711907377)</f>
        <v>0.5141082712</v>
      </c>
      <c r="F26" s="21">
        <f>IFERROR(__xludf.DUMMYFUNCTION("""COMPUTED_VALUE"""),4.717725074308312)</f>
        <v>4.717725074</v>
      </c>
      <c r="G26" s="23">
        <f>IFERROR(__xludf.DUMMYFUNCTION("""COMPUTED_VALUE"""),1.5116557539441564)</f>
        <v>1.511655754</v>
      </c>
      <c r="H26" s="4"/>
      <c r="I26" s="5" t="s">
        <v>645</v>
      </c>
      <c r="J26" s="5" t="s">
        <v>646</v>
      </c>
      <c r="K26" s="5">
        <v>356.0</v>
      </c>
      <c r="L26" s="5">
        <v>4.01701</v>
      </c>
      <c r="M26" s="5">
        <v>0.46836</v>
      </c>
      <c r="N26" s="5">
        <v>4.48537</v>
      </c>
      <c r="O26" s="5">
        <v>0.71422</v>
      </c>
    </row>
    <row r="27">
      <c r="A27" s="12" t="str">
        <f>IFERROR(__xludf.DUMMYFUNCTION("""COMPUTED_VALUE"""),"Dusan Sakota")</f>
        <v>Dusan Sakota</v>
      </c>
      <c r="B27" s="13" t="str">
        <f>IFERROR(__xludf.DUMMYFUNCTION("""COMPUTED_VALUE"""),"ATH")</f>
        <v>ATH</v>
      </c>
      <c r="C27" s="14">
        <f>IFERROR(__xludf.DUMMYFUNCTION("""COMPUTED_VALUE"""),570.5)</f>
        <v>570.5</v>
      </c>
      <c r="D27" s="15">
        <f>IFERROR(__xludf.DUMMYFUNCTION("""COMPUTED_VALUE"""),4.886139539177284)</f>
        <v>4.886139539</v>
      </c>
      <c r="E27" s="15">
        <f>IFERROR(__xludf.DUMMYFUNCTION("""COMPUTED_VALUE"""),-0.5235981394030613)</f>
        <v>-0.5235981394</v>
      </c>
      <c r="F27" s="15">
        <f>IFERROR(__xludf.DUMMYFUNCTION("""COMPUTED_VALUE"""),4.362541399774223)</f>
        <v>4.3625414</v>
      </c>
      <c r="G27" s="17">
        <f>IFERROR(__xludf.DUMMYFUNCTION("""COMPUTED_VALUE"""),1.1544410616811362)</f>
        <v>1.154441062</v>
      </c>
      <c r="H27" s="4"/>
      <c r="I27" s="5" t="s">
        <v>647</v>
      </c>
      <c r="J27" s="5" t="s">
        <v>648</v>
      </c>
      <c r="K27" s="24">
        <v>571.0</v>
      </c>
      <c r="L27" s="5">
        <v>5.55723</v>
      </c>
      <c r="M27" s="5">
        <v>-1.19379</v>
      </c>
      <c r="N27" s="5">
        <v>4.36344</v>
      </c>
      <c r="O27" s="5">
        <v>1.1546</v>
      </c>
    </row>
    <row r="28">
      <c r="A28" s="18" t="str">
        <f>IFERROR(__xludf.DUMMYFUNCTION("""COMPUTED_VALUE"""),"Malcolm Griffin")</f>
        <v>Malcolm Griffin</v>
      </c>
      <c r="B28" s="19" t="str">
        <f>IFERROR(__xludf.DUMMYFUNCTION("""COMPUTED_VALUE"""),"KOL")</f>
        <v>KOL</v>
      </c>
      <c r="C28" s="20">
        <f>IFERROR(__xludf.DUMMYFUNCTION("""COMPUTED_VALUE"""),356.1)</f>
        <v>356.1</v>
      </c>
      <c r="D28" s="21">
        <f>IFERROR(__xludf.DUMMYFUNCTION("""COMPUTED_VALUE"""),4.5176595106090955)</f>
        <v>4.517659511</v>
      </c>
      <c r="E28" s="21">
        <f>IFERROR(__xludf.DUMMYFUNCTION("""COMPUTED_VALUE"""),-0.34748057336940885)</f>
        <v>-0.3474805734</v>
      </c>
      <c r="F28" s="21">
        <f>IFERROR(__xludf.DUMMYFUNCTION("""COMPUTED_VALUE"""),4.170178937239687)</f>
        <v>4.170178937</v>
      </c>
      <c r="G28" s="23">
        <f>IFERROR(__xludf.DUMMYFUNCTION("""COMPUTED_VALUE"""),0.6795066344855277)</f>
        <v>0.6795066345</v>
      </c>
      <c r="H28" s="4"/>
      <c r="I28" s="5" t="s">
        <v>649</v>
      </c>
      <c r="J28" s="5" t="s">
        <v>650</v>
      </c>
      <c r="K28" s="5">
        <v>220.0</v>
      </c>
      <c r="L28" s="5">
        <v>4.56342</v>
      </c>
      <c r="M28" s="5">
        <v>-0.39059</v>
      </c>
      <c r="N28" s="5">
        <v>4.17283</v>
      </c>
      <c r="O28" s="5">
        <v>0.41195</v>
      </c>
    </row>
    <row r="29">
      <c r="A29" s="12" t="str">
        <f>IFERROR(__xludf.DUMMYFUNCTION("""COMPUTED_VALUE"""),"K.C. Rivers")</f>
        <v>K.C. Rivers</v>
      </c>
      <c r="B29" s="13" t="str">
        <f>IFERROR(__xludf.DUMMYFUNCTION("""COMPUTED_VALUE"""),"PAN")</f>
        <v>PAN</v>
      </c>
      <c r="C29" s="14">
        <f>IFERROR(__xludf.DUMMYFUNCTION("""COMPUTED_VALUE"""),634.3)</f>
        <v>634.3</v>
      </c>
      <c r="D29" s="15">
        <f>IFERROR(__xludf.DUMMYFUNCTION("""COMPUTED_VALUE"""),-1.0850294283055688)</f>
        <v>-1.085029428</v>
      </c>
      <c r="E29" s="15">
        <f>IFERROR(__xludf.DUMMYFUNCTION("""COMPUTED_VALUE"""),5.205342780670401)</f>
        <v>5.205342781</v>
      </c>
      <c r="F29" s="15">
        <f>IFERROR(__xludf.DUMMYFUNCTION("""COMPUTED_VALUE"""),4.120313352364832)</f>
        <v>4.120313352</v>
      </c>
      <c r="G29" s="17">
        <f>IFERROR(__xludf.DUMMYFUNCTION("""COMPUTED_VALUE"""),1.178627883810019)</f>
        <v>1.178627884</v>
      </c>
      <c r="H29" s="4"/>
      <c r="I29" s="5" t="s">
        <v>374</v>
      </c>
      <c r="J29" s="5" t="s">
        <v>30</v>
      </c>
      <c r="K29" s="5">
        <v>110.0</v>
      </c>
      <c r="L29" s="5">
        <v>2.48695</v>
      </c>
      <c r="M29" s="5">
        <v>1.43274</v>
      </c>
      <c r="N29" s="5">
        <v>3.91969</v>
      </c>
      <c r="O29" s="5">
        <v>0.19819</v>
      </c>
    </row>
    <row r="30">
      <c r="A30" s="18" t="str">
        <f>IFERROR(__xludf.DUMMYFUNCTION("""COMPUTED_VALUE"""),"Kyle Wiltjer")</f>
        <v>Kyle Wiltjer</v>
      </c>
      <c r="B30" s="19" t="str">
        <f>IFERROR(__xludf.DUMMYFUNCTION("""COMPUTED_VALUE"""),"OLY")</f>
        <v>OLY</v>
      </c>
      <c r="C30" s="20">
        <f>IFERROR(__xludf.DUMMYFUNCTION("""COMPUTED_VALUE"""),381.1)</f>
        <v>381.1</v>
      </c>
      <c r="D30" s="21">
        <f>IFERROR(__xludf.DUMMYFUNCTION("""COMPUTED_VALUE"""),0.1787244214560763)</f>
        <v>0.1787244215</v>
      </c>
      <c r="E30" s="21">
        <f>IFERROR(__xludf.DUMMYFUNCTION("""COMPUTED_VALUE"""),3.7254367437379483)</f>
        <v>3.725436744</v>
      </c>
      <c r="F30" s="21">
        <f>IFERROR(__xludf.DUMMYFUNCTION("""COMPUTED_VALUE"""),3.9041611651940245)</f>
        <v>3.904161165</v>
      </c>
      <c r="G30" s="23">
        <f>IFERROR(__xludf.DUMMYFUNCTION("""COMPUTED_VALUE"""),0.6865326955009379)</f>
        <v>0.6865326955</v>
      </c>
      <c r="H30" s="4"/>
      <c r="I30" s="5" t="s">
        <v>408</v>
      </c>
      <c r="J30" s="5" t="s">
        <v>30</v>
      </c>
      <c r="K30" s="5">
        <v>287.0</v>
      </c>
      <c r="L30" s="5">
        <v>2.87778</v>
      </c>
      <c r="M30" s="5">
        <v>0.96676</v>
      </c>
      <c r="N30" s="5">
        <v>3.84454</v>
      </c>
      <c r="O30" s="5">
        <v>0.5121</v>
      </c>
    </row>
    <row r="31">
      <c r="A31" s="12" t="str">
        <f>IFERROR(__xludf.DUMMYFUNCTION("""COMPUTED_VALUE"""),"Evaggelis Margaritis")</f>
        <v>Evaggelis Margaritis</v>
      </c>
      <c r="B31" s="13" t="str">
        <f>IFERROR(__xludf.DUMMYFUNCTION("""COMPUTED_VALUE"""),"PAOK")</f>
        <v>PAOK</v>
      </c>
      <c r="C31" s="14">
        <f>IFERROR(__xludf.DUMMYFUNCTION("""COMPUTED_VALUE"""),588.2)</f>
        <v>588.2</v>
      </c>
      <c r="D31" s="15">
        <f>IFERROR(__xludf.DUMMYFUNCTION("""COMPUTED_VALUE"""),0.5996425274992425)</f>
        <v>0.5996425275</v>
      </c>
      <c r="E31" s="15">
        <f>IFERROR(__xludf.DUMMYFUNCTION("""COMPUTED_VALUE"""),3.2592331100462255)</f>
        <v>3.25923311</v>
      </c>
      <c r="F31" s="15">
        <f>IFERROR(__xludf.DUMMYFUNCTION("""COMPUTED_VALUE"""),3.8588756375454683)</f>
        <v>3.858875638</v>
      </c>
      <c r="G31" s="17">
        <f>IFERROR(__xludf.DUMMYFUNCTION("""COMPUTED_VALUE"""),1.0470954378403408)</f>
        <v>1.047095438</v>
      </c>
      <c r="H31" s="4"/>
      <c r="I31" s="5" t="s">
        <v>655</v>
      </c>
      <c r="J31" s="5" t="s">
        <v>650</v>
      </c>
      <c r="K31" s="5">
        <v>472.0</v>
      </c>
      <c r="L31" s="5">
        <v>1.16992</v>
      </c>
      <c r="M31" s="5">
        <v>2.54913</v>
      </c>
      <c r="N31" s="5">
        <v>3.71904</v>
      </c>
      <c r="O31" s="5">
        <v>0.81942</v>
      </c>
    </row>
    <row r="32">
      <c r="A32" s="18" t="str">
        <f>IFERROR(__xludf.DUMMYFUNCTION("""COMPUTED_VALUE"""),"Kim Tillie")</f>
        <v>Kim Tillie</v>
      </c>
      <c r="B32" s="19" t="str">
        <f>IFERROR(__xludf.DUMMYFUNCTION("""COMPUTED_VALUE"""),"OLY")</f>
        <v>OLY</v>
      </c>
      <c r="C32" s="20">
        <f>IFERROR(__xludf.DUMMYFUNCTION("""COMPUTED_VALUE"""),109.7)</f>
        <v>109.7</v>
      </c>
      <c r="D32" s="21">
        <f>IFERROR(__xludf.DUMMYFUNCTION("""COMPUTED_VALUE"""),1.353862054723718)</f>
        <v>1.353862055</v>
      </c>
      <c r="E32" s="21">
        <f>IFERROR(__xludf.DUMMYFUNCTION("""COMPUTED_VALUE"""),2.310245809594291)</f>
        <v>2.31024581</v>
      </c>
      <c r="F32" s="21">
        <f>IFERROR(__xludf.DUMMYFUNCTION("""COMPUTED_VALUE"""),3.6641078643180087)</f>
        <v>3.664107864</v>
      </c>
      <c r="G32" s="23">
        <f>IFERROR(__xludf.DUMMYFUNCTION("""COMPUTED_VALUE"""),0.18958423267016522)</f>
        <v>0.1895842327</v>
      </c>
      <c r="H32" s="4"/>
      <c r="I32" s="5" t="s">
        <v>438</v>
      </c>
      <c r="J32" s="5" t="s">
        <v>19</v>
      </c>
      <c r="K32" s="5">
        <v>205.0</v>
      </c>
      <c r="L32" s="5">
        <v>1.46304</v>
      </c>
      <c r="M32" s="5">
        <v>2.19769</v>
      </c>
      <c r="N32" s="5">
        <v>3.66072</v>
      </c>
      <c r="O32" s="5">
        <v>0.35154</v>
      </c>
    </row>
    <row r="33">
      <c r="A33" s="12" t="str">
        <f>IFERROR(__xludf.DUMMYFUNCTION("""COMPUTED_VALUE"""),"Terran Petteway")</f>
        <v>Terran Petteway</v>
      </c>
      <c r="B33" s="13" t="str">
        <f>IFERROR(__xludf.DUMMYFUNCTION("""COMPUTED_VALUE"""),"PAOK")</f>
        <v>PAOK</v>
      </c>
      <c r="C33" s="14">
        <f>IFERROR(__xludf.DUMMYFUNCTION("""COMPUTED_VALUE"""),345.4)</f>
        <v>345.4</v>
      </c>
      <c r="D33" s="15">
        <f>IFERROR(__xludf.DUMMYFUNCTION("""COMPUTED_VALUE"""),3.226363362831686)</f>
        <v>3.226363363</v>
      </c>
      <c r="E33" s="15">
        <f>IFERROR(__xludf.DUMMYFUNCTION("""COMPUTED_VALUE"""),0.3771438464376131)</f>
        <v>0.3771438464</v>
      </c>
      <c r="F33" s="15">
        <f>IFERROR(__xludf.DUMMYFUNCTION("""COMPUTED_VALUE"""),3.6035072092692992)</f>
        <v>3.603507209</v>
      </c>
      <c r="G33" s="17">
        <f>IFERROR(__xludf.DUMMYFUNCTION("""COMPUTED_VALUE"""),0.5880702858716508)</f>
        <v>0.5880702859</v>
      </c>
      <c r="H33" s="4"/>
      <c r="I33" s="5" t="s">
        <v>658</v>
      </c>
      <c r="J33" s="5" t="s">
        <v>642</v>
      </c>
      <c r="K33" s="5">
        <v>731.0</v>
      </c>
      <c r="L33" s="5">
        <v>5.38559</v>
      </c>
      <c r="M33" s="5">
        <v>-1.78663</v>
      </c>
      <c r="N33" s="5">
        <v>3.59896</v>
      </c>
      <c r="O33" s="5">
        <v>1.23767</v>
      </c>
    </row>
    <row r="34">
      <c r="A34" s="18" t="str">
        <f>IFERROR(__xludf.DUMMYFUNCTION("""COMPUTED_VALUE"""),"Thaddeus McFadden")</f>
        <v>Thaddeus McFadden</v>
      </c>
      <c r="B34" s="19" t="str">
        <f>IFERROR(__xludf.DUMMYFUNCTION("""COMPUTED_VALUE"""),"KYM")</f>
        <v>KYM</v>
      </c>
      <c r="C34" s="20">
        <f>IFERROR(__xludf.DUMMYFUNCTION("""COMPUTED_VALUE"""),730.7)</f>
        <v>730.7</v>
      </c>
      <c r="D34" s="21">
        <f>IFERROR(__xludf.DUMMYFUNCTION("""COMPUTED_VALUE"""),5.468823951634085)</f>
        <v>5.468823952</v>
      </c>
      <c r="E34" s="21">
        <f>IFERROR(__xludf.DUMMYFUNCTION("""COMPUTED_VALUE"""),-1.8717851613248495)</f>
        <v>-1.871785161</v>
      </c>
      <c r="F34" s="21">
        <f>IFERROR(__xludf.DUMMYFUNCTION("""COMPUTED_VALUE"""),3.5970387903092353)</f>
        <v>3.59703879</v>
      </c>
      <c r="G34" s="23">
        <f>IFERROR(__xludf.DUMMYFUNCTION("""COMPUTED_VALUE"""),1.2372440748144113)</f>
        <v>1.237244075</v>
      </c>
      <c r="H34" s="4"/>
      <c r="I34" s="5" t="s">
        <v>659</v>
      </c>
      <c r="J34" s="5" t="s">
        <v>660</v>
      </c>
      <c r="K34" s="5">
        <v>693.0</v>
      </c>
      <c r="L34" s="5">
        <v>3.61307</v>
      </c>
      <c r="M34" s="5">
        <v>-0.08968</v>
      </c>
      <c r="N34" s="5">
        <v>3.52339</v>
      </c>
      <c r="O34" s="5">
        <v>1.17</v>
      </c>
    </row>
    <row r="35">
      <c r="A35" s="12" t="str">
        <f>IFERROR(__xludf.DUMMYFUNCTION("""COMPUTED_VALUE"""),"Shaq Goodwin")</f>
        <v>Shaq Goodwin</v>
      </c>
      <c r="B35" s="13" t="str">
        <f>IFERROR(__xludf.DUMMYFUNCTION("""COMPUTED_VALUE"""),"RETH")</f>
        <v>RETH</v>
      </c>
      <c r="C35" s="14">
        <f>IFERROR(__xludf.DUMMYFUNCTION("""COMPUTED_VALUE"""),668.1)</f>
        <v>668.1</v>
      </c>
      <c r="D35" s="15">
        <f>IFERROR(__xludf.DUMMYFUNCTION("""COMPUTED_VALUE"""),2.429852786665917)</f>
        <v>2.429852787</v>
      </c>
      <c r="E35" s="15">
        <f>IFERROR(__xludf.DUMMYFUNCTION("""COMPUTED_VALUE"""),0.6514060900314003)</f>
        <v>0.65140609</v>
      </c>
      <c r="F35" s="15">
        <f>IFERROR(__xludf.DUMMYFUNCTION("""COMPUTED_VALUE"""),3.0812588766973175)</f>
        <v>3.081258877</v>
      </c>
      <c r="G35" s="17">
        <f>IFERROR(__xludf.DUMMYFUNCTION("""COMPUTED_VALUE"""),1.0220248099121658)</f>
        <v>1.02202481</v>
      </c>
      <c r="H35" s="4"/>
      <c r="I35" s="5" t="s">
        <v>298</v>
      </c>
      <c r="J35" s="5" t="s">
        <v>30</v>
      </c>
      <c r="K35" s="5">
        <v>229.0</v>
      </c>
      <c r="L35" s="5">
        <v>2.85241</v>
      </c>
      <c r="M35" s="5">
        <v>0.501</v>
      </c>
      <c r="N35" s="5">
        <v>3.35342</v>
      </c>
      <c r="O35" s="5">
        <v>0.37447</v>
      </c>
    </row>
    <row r="36">
      <c r="A36" s="18" t="str">
        <f>IFERROR(__xludf.DUMMYFUNCTION("""COMPUTED_VALUE"""),"Kenny Gabriel")</f>
        <v>Kenny Gabriel</v>
      </c>
      <c r="B36" s="19" t="str">
        <f>IFERROR(__xludf.DUMMYFUNCTION("""COMPUTED_VALUE"""),"PAN")</f>
        <v>PAN</v>
      </c>
      <c r="C36" s="20">
        <f>IFERROR(__xludf.DUMMYFUNCTION("""COMPUTED_VALUE"""),204.8)</f>
        <v>204.8</v>
      </c>
      <c r="D36" s="21">
        <f>IFERROR(__xludf.DUMMYFUNCTION("""COMPUTED_VALUE"""),-1.0906378704562387)</f>
        <v>-1.09063787</v>
      </c>
      <c r="E36" s="21">
        <f>IFERROR(__xludf.DUMMYFUNCTION("""COMPUTED_VALUE"""),4.073401347392851)</f>
        <v>4.073401347</v>
      </c>
      <c r="F36" s="21">
        <f>IFERROR(__xludf.DUMMYFUNCTION("""COMPUTED_VALUE"""),2.9827634769366127)</f>
        <v>2.982763477</v>
      </c>
      <c r="G36" s="23">
        <f>IFERROR(__xludf.DUMMYFUNCTION("""COMPUTED_VALUE"""),0.3098193701314327)</f>
        <v>0.3098193701</v>
      </c>
      <c r="H36" s="4"/>
      <c r="I36" s="5" t="s">
        <v>663</v>
      </c>
      <c r="J36" s="5" t="s">
        <v>650</v>
      </c>
      <c r="K36" s="5">
        <v>583.0</v>
      </c>
      <c r="L36" s="5">
        <v>4.56639</v>
      </c>
      <c r="M36" s="5">
        <v>-1.22929</v>
      </c>
      <c r="N36" s="5">
        <v>3.3371</v>
      </c>
      <c r="O36" s="5">
        <v>0.94424</v>
      </c>
    </row>
    <row r="37">
      <c r="A37" s="12" t="str">
        <f>IFERROR(__xludf.DUMMYFUNCTION("""COMPUTED_VALUE"""),"Christos Saloustros")</f>
        <v>Christos Saloustros</v>
      </c>
      <c r="B37" s="13" t="str">
        <f>IFERROR(__xludf.DUMMYFUNCTION("""COMPUTED_VALUE"""),"PROM")</f>
        <v>PROM</v>
      </c>
      <c r="C37" s="14">
        <f>IFERROR(__xludf.DUMMYFUNCTION("""COMPUTED_VALUE"""),763.7)</f>
        <v>763.7</v>
      </c>
      <c r="D37" s="15">
        <f>IFERROR(__xludf.DUMMYFUNCTION("""COMPUTED_VALUE"""),2.9319932735604124)</f>
        <v>2.931993274</v>
      </c>
      <c r="E37" s="15">
        <f>IFERROR(__xludf.DUMMYFUNCTION("""COMPUTED_VALUE"""),-0.042762223056644455)</f>
        <v>-0.04276222306</v>
      </c>
      <c r="F37" s="15">
        <f>IFERROR(__xludf.DUMMYFUNCTION("""COMPUTED_VALUE"""),2.889231050503768)</f>
        <v>2.889231051</v>
      </c>
      <c r="G37" s="17">
        <f>IFERROR(__xludf.DUMMYFUNCTION("""COMPUTED_VALUE"""),1.1403479696878986)</f>
        <v>1.14034797</v>
      </c>
      <c r="H37" s="4"/>
      <c r="I37" s="5" t="s">
        <v>264</v>
      </c>
      <c r="J37" s="5" t="s">
        <v>30</v>
      </c>
      <c r="K37" s="5">
        <v>319.0</v>
      </c>
      <c r="L37" s="5">
        <v>-0.80111</v>
      </c>
      <c r="M37" s="5">
        <v>4.03646</v>
      </c>
      <c r="N37" s="5">
        <v>3.23535</v>
      </c>
      <c r="O37" s="5">
        <v>0.50953</v>
      </c>
    </row>
    <row r="38">
      <c r="A38" s="18" t="str">
        <f>IFERROR(__xludf.DUMMYFUNCTION("""COMPUTED_VALUE"""),"Antwaine Wiggins")</f>
        <v>Antwaine Wiggins</v>
      </c>
      <c r="B38" s="19" t="str">
        <f>IFERROR(__xludf.DUMMYFUNCTION("""COMPUTED_VALUE"""),"LAV")</f>
        <v>LAV</v>
      </c>
      <c r="C38" s="20">
        <f>IFERROR(__xludf.DUMMYFUNCTION("""COMPUTED_VALUE"""),704.0)</f>
        <v>704</v>
      </c>
      <c r="D38" s="21">
        <f>IFERROR(__xludf.DUMMYFUNCTION("""COMPUTED_VALUE"""),0.22032532610890065)</f>
        <v>0.2203253261</v>
      </c>
      <c r="E38" s="21">
        <f>IFERROR(__xludf.DUMMYFUNCTION("""COMPUTED_VALUE"""),2.636248443938424)</f>
        <v>2.636248444</v>
      </c>
      <c r="F38" s="21">
        <f>IFERROR(__xludf.DUMMYFUNCTION("""COMPUTED_VALUE"""),2.8565737700473246)</f>
        <v>2.85657377</v>
      </c>
      <c r="G38" s="23">
        <f>IFERROR(__xludf.DUMMYFUNCTION("""COMPUTED_VALUE"""),1.0330339189055022)</f>
        <v>1.033033919</v>
      </c>
      <c r="H38" s="4"/>
      <c r="I38" s="5" t="s">
        <v>665</v>
      </c>
      <c r="J38" s="5" t="s">
        <v>660</v>
      </c>
      <c r="K38" s="5">
        <v>303.0</v>
      </c>
      <c r="L38" s="5">
        <v>0.34653</v>
      </c>
      <c r="M38" s="5">
        <v>2.76466</v>
      </c>
      <c r="N38" s="5">
        <v>3.11119</v>
      </c>
      <c r="O38" s="5">
        <v>0.47364</v>
      </c>
    </row>
    <row r="39">
      <c r="A39" s="12" t="str">
        <f>IFERROR(__xludf.DUMMYFUNCTION("""COMPUTED_VALUE"""),"Vasilis Toliopoulos")</f>
        <v>Vasilis Toliopoulos</v>
      </c>
      <c r="B39" s="13" t="str">
        <f>IFERROR(__xludf.DUMMYFUNCTION("""COMPUTED_VALUE"""),"OLY")</f>
        <v>OLY</v>
      </c>
      <c r="C39" s="14">
        <f>IFERROR(__xludf.DUMMYFUNCTION("""COMPUTED_VALUE"""),229.2)</f>
        <v>229.2</v>
      </c>
      <c r="D39" s="15">
        <f>IFERROR(__xludf.DUMMYFUNCTION("""COMPUTED_VALUE"""),0.5104650109344393)</f>
        <v>0.5104650109</v>
      </c>
      <c r="E39" s="15">
        <f>IFERROR(__xludf.DUMMYFUNCTION("""COMPUTED_VALUE"""),2.335284874791637)</f>
        <v>2.335284875</v>
      </c>
      <c r="F39" s="15">
        <f>IFERROR(__xludf.DUMMYFUNCTION("""COMPUTED_VALUE"""),2.8457498857260766)</f>
        <v>2.845749886</v>
      </c>
      <c r="G39" s="17">
        <f>IFERROR(__xludf.DUMMYFUNCTION("""COMPUTED_VALUE"""),0.3388751164278095)</f>
        <v>0.3388751164</v>
      </c>
      <c r="H39" s="4"/>
      <c r="I39" s="5" t="s">
        <v>667</v>
      </c>
      <c r="J39" s="5" t="s">
        <v>660</v>
      </c>
      <c r="K39" s="5">
        <v>702.0</v>
      </c>
      <c r="L39" s="5">
        <v>2.85557</v>
      </c>
      <c r="M39" s="5">
        <v>0.2434</v>
      </c>
      <c r="N39" s="5">
        <v>3.09897</v>
      </c>
      <c r="O39" s="5">
        <v>1.09396</v>
      </c>
    </row>
    <row r="40">
      <c r="A40" s="18" t="str">
        <f>IFERROR(__xludf.DUMMYFUNCTION("""COMPUTED_VALUE"""),"Tony Meier")</f>
        <v>Tony Meier</v>
      </c>
      <c r="B40" s="19" t="str">
        <f>IFERROR(__xludf.DUMMYFUNCTION("""COMPUTED_VALUE"""),"LAV")</f>
        <v>LAV</v>
      </c>
      <c r="C40" s="20">
        <f>IFERROR(__xludf.DUMMYFUNCTION("""COMPUTED_VALUE"""),737.4)</f>
        <v>737.4</v>
      </c>
      <c r="D40" s="21">
        <f>IFERROR(__xludf.DUMMYFUNCTION("""COMPUTED_VALUE"""),3.211166293102134)</f>
        <v>3.211166293</v>
      </c>
      <c r="E40" s="21">
        <f>IFERROR(__xludf.DUMMYFUNCTION("""COMPUTED_VALUE"""),-0.4264829495326854)</f>
        <v>-0.4264829495</v>
      </c>
      <c r="F40" s="21">
        <f>IFERROR(__xludf.DUMMYFUNCTION("""COMPUTED_VALUE"""),2.7846833435694487)</f>
        <v>2.784683344</v>
      </c>
      <c r="G40" s="23">
        <f>IFERROR(__xludf.DUMMYFUNCTION("""COMPUTED_VALUE"""),1.0660271523811549)</f>
        <v>1.066027152</v>
      </c>
      <c r="H40" s="4"/>
      <c r="I40" s="5" t="s">
        <v>670</v>
      </c>
      <c r="J40" s="5" t="s">
        <v>671</v>
      </c>
      <c r="K40" s="5">
        <v>668.0</v>
      </c>
      <c r="L40" s="5">
        <v>2.64737</v>
      </c>
      <c r="M40" s="5">
        <v>0.43452</v>
      </c>
      <c r="N40" s="5">
        <v>3.08189</v>
      </c>
      <c r="O40" s="5">
        <v>1.02215</v>
      </c>
    </row>
    <row r="41">
      <c r="A41" s="12" t="str">
        <f>IFERROR(__xludf.DUMMYFUNCTION("""COMPUTED_VALUE"""),"Eleftherios Bochoridis")</f>
        <v>Eleftherios Bochoridis</v>
      </c>
      <c r="B41" s="13" t="str">
        <f>IFERROR(__xludf.DUMMYFUNCTION("""COMPUTED_VALUE"""),"ARI")</f>
        <v>ARI</v>
      </c>
      <c r="C41" s="14">
        <f>IFERROR(__xludf.DUMMYFUNCTION("""COMPUTED_VALUE"""),260.05)</f>
        <v>260.05</v>
      </c>
      <c r="D41" s="15">
        <f>IFERROR(__xludf.DUMMYFUNCTION("""COMPUTED_VALUE"""),4.9944205736336595)</f>
        <v>4.994420574</v>
      </c>
      <c r="E41" s="15">
        <f>IFERROR(__xludf.DUMMYFUNCTION("""COMPUTED_VALUE"""),-2.209985072953545)</f>
        <v>-2.209985073</v>
      </c>
      <c r="F41" s="15">
        <f>IFERROR(__xludf.DUMMYFUNCTION("""COMPUTED_VALUE"""),2.7844355006801145)</f>
        <v>2.784435501</v>
      </c>
      <c r="G41" s="17">
        <f>IFERROR(__xludf.DUMMYFUNCTION("""COMPUTED_VALUE"""),0.7812423548975372)</f>
        <v>0.7812423549</v>
      </c>
      <c r="H41" s="4"/>
      <c r="I41" s="5" t="s">
        <v>674</v>
      </c>
      <c r="J41" s="5" t="s">
        <v>631</v>
      </c>
      <c r="K41" s="5">
        <v>704.0</v>
      </c>
      <c r="L41" s="5">
        <v>1.30327</v>
      </c>
      <c r="M41" s="5">
        <v>1.5538</v>
      </c>
      <c r="N41" s="5">
        <v>2.85707</v>
      </c>
      <c r="O41" s="5">
        <v>1.03314</v>
      </c>
    </row>
    <row r="42">
      <c r="A42" s="18" t="str">
        <f>IFERROR(__xludf.DUMMYFUNCTION("""COMPUTED_VALUE"""),"Vince Hunter")</f>
        <v>Vince Hunter</v>
      </c>
      <c r="B42" s="19" t="str">
        <f>IFERROR(__xludf.DUMMYFUNCTION("""COMPUTED_VALUE"""),"ATH")</f>
        <v>ATH</v>
      </c>
      <c r="C42" s="20">
        <f>IFERROR(__xludf.DUMMYFUNCTION("""COMPUTED_VALUE"""),214.8)</f>
        <v>214.8</v>
      </c>
      <c r="D42" s="21">
        <f>IFERROR(__xludf.DUMMYFUNCTION("""COMPUTED_VALUE"""),1.0527810427205886)</f>
        <v>1.052781043</v>
      </c>
      <c r="E42" s="21">
        <f>IFERROR(__xludf.DUMMYFUNCTION("""COMPUTED_VALUE"""),1.5804858631902678)</f>
        <v>1.580485863</v>
      </c>
      <c r="F42" s="21">
        <f>IFERROR(__xludf.DUMMYFUNCTION("""COMPUTED_VALUE"""),2.6332669059108564)</f>
        <v>2.633266906</v>
      </c>
      <c r="G42" s="23">
        <f>IFERROR(__xludf.DUMMYFUNCTION("""COMPUTED_VALUE"""),0.31652432525993474)</f>
        <v>0.3165243253</v>
      </c>
      <c r="H42" s="4"/>
      <c r="I42" s="5" t="s">
        <v>675</v>
      </c>
      <c r="J42" s="5" t="s">
        <v>631</v>
      </c>
      <c r="K42" s="5">
        <v>737.0</v>
      </c>
      <c r="L42" s="5">
        <v>4.29232</v>
      </c>
      <c r="M42" s="5">
        <v>-1.50861</v>
      </c>
      <c r="N42" s="5">
        <v>2.78371</v>
      </c>
      <c r="O42" s="5">
        <v>1.06581</v>
      </c>
    </row>
    <row r="43">
      <c r="A43" s="12" t="str">
        <f>IFERROR(__xludf.DUMMYFUNCTION("""COMPUTED_VALUE"""),"Georgios Printezis")</f>
        <v>Georgios Printezis</v>
      </c>
      <c r="B43" s="13" t="str">
        <f>IFERROR(__xludf.DUMMYFUNCTION("""COMPUTED_VALUE"""),"OLY")</f>
        <v>OLY</v>
      </c>
      <c r="C43" s="14">
        <f>IFERROR(__xludf.DUMMYFUNCTION("""COMPUTED_VALUE"""),498.7)</f>
        <v>498.7</v>
      </c>
      <c r="D43" s="15">
        <f>IFERROR(__xludf.DUMMYFUNCTION("""COMPUTED_VALUE"""),-3.809865938643819)</f>
        <v>-3.809865939</v>
      </c>
      <c r="E43" s="15">
        <f>IFERROR(__xludf.DUMMYFUNCTION("""COMPUTED_VALUE"""),6.32388899720232)</f>
        <v>6.323888997</v>
      </c>
      <c r="F43" s="15">
        <f>IFERROR(__xludf.DUMMYFUNCTION("""COMPUTED_VALUE"""),2.514023058558501)</f>
        <v>2.514023059</v>
      </c>
      <c r="G43" s="17">
        <f>IFERROR(__xludf.DUMMYFUNCTION("""COMPUTED_VALUE"""),0.6868583998166637)</f>
        <v>0.6868583998</v>
      </c>
      <c r="H43" s="4"/>
      <c r="I43" s="5" t="s">
        <v>676</v>
      </c>
      <c r="J43" s="5" t="s">
        <v>677</v>
      </c>
      <c r="K43" s="5">
        <v>260.0</v>
      </c>
      <c r="L43" s="5">
        <v>0.43346</v>
      </c>
      <c r="M43" s="5">
        <v>2.2386</v>
      </c>
      <c r="N43" s="5">
        <v>2.67207</v>
      </c>
      <c r="O43" s="5">
        <v>0.76289</v>
      </c>
    </row>
    <row r="44">
      <c r="A44" s="18" t="str">
        <f>IFERROR(__xludf.DUMMYFUNCTION("""COMPUTED_VALUE"""),"Roeland Schaftenaar")</f>
        <v>Roeland Schaftenaar</v>
      </c>
      <c r="B44" s="19" t="str">
        <f>IFERROR(__xludf.DUMMYFUNCTION("""COMPUTED_VALUE"""),"LAR")</f>
        <v>LAR</v>
      </c>
      <c r="C44" s="20">
        <f>IFERROR(__xludf.DUMMYFUNCTION("""COMPUTED_VALUE"""),697.7)</f>
        <v>697.7</v>
      </c>
      <c r="D44" s="21">
        <f>IFERROR(__xludf.DUMMYFUNCTION("""COMPUTED_VALUE"""),3.62375852101467)</f>
        <v>3.623758521</v>
      </c>
      <c r="E44" s="21">
        <f>IFERROR(__xludf.DUMMYFUNCTION("""COMPUTED_VALUE"""),-1.1661799901899679)</f>
        <v>-1.16617999</v>
      </c>
      <c r="F44" s="21">
        <f>IFERROR(__xludf.DUMMYFUNCTION("""COMPUTED_VALUE"""),2.4575785308247022)</f>
        <v>2.457578531</v>
      </c>
      <c r="G44" s="23">
        <f>IFERROR(__xludf.DUMMYFUNCTION("""COMPUTED_VALUE"""),0.9493917475095763)</f>
        <v>0.9493917475</v>
      </c>
      <c r="H44" s="4"/>
      <c r="I44" s="5" t="s">
        <v>287</v>
      </c>
      <c r="J44" s="5" t="s">
        <v>30</v>
      </c>
      <c r="K44" s="5">
        <v>304.0</v>
      </c>
      <c r="L44" s="5">
        <v>1.73065</v>
      </c>
      <c r="M44" s="5">
        <v>0.92838</v>
      </c>
      <c r="N44" s="5">
        <v>2.65903</v>
      </c>
      <c r="O44" s="5">
        <v>0.43282</v>
      </c>
    </row>
    <row r="45">
      <c r="A45" s="12" t="str">
        <f>IFERROR(__xludf.DUMMYFUNCTION("""COMPUTED_VALUE"""),"Lenzelle Smith, Jr.")</f>
        <v>Lenzelle Smith, Jr.</v>
      </c>
      <c r="B45" s="13" t="str">
        <f>IFERROR(__xludf.DUMMYFUNCTION("""COMPUTED_VALUE"""),"KYM")</f>
        <v>KYM</v>
      </c>
      <c r="C45" s="14">
        <f>IFERROR(__xludf.DUMMYFUNCTION("""COMPUTED_VALUE"""),816.5)</f>
        <v>816.5</v>
      </c>
      <c r="D45" s="15">
        <f>IFERROR(__xludf.DUMMYFUNCTION("""COMPUTED_VALUE"""),2.0310935649540776)</f>
        <v>2.031093565</v>
      </c>
      <c r="E45" s="15">
        <f>IFERROR(__xludf.DUMMYFUNCTION("""COMPUTED_VALUE"""),0.4167039878729648)</f>
        <v>0.4167039879</v>
      </c>
      <c r="F45" s="15">
        <f>IFERROR(__xludf.DUMMYFUNCTION("""COMPUTED_VALUE"""),2.4477975528270424)</f>
        <v>2.447797553</v>
      </c>
      <c r="G45" s="17">
        <f>IFERROR(__xludf.DUMMYFUNCTION("""COMPUTED_VALUE"""),1.0986494917265646)</f>
        <v>1.098649492</v>
      </c>
      <c r="H45" s="4"/>
      <c r="I45" s="5" t="s">
        <v>679</v>
      </c>
      <c r="J45" s="5" t="s">
        <v>648</v>
      </c>
      <c r="K45" s="5">
        <v>215.0</v>
      </c>
      <c r="L45" s="5">
        <v>1.5334</v>
      </c>
      <c r="M45" s="5">
        <v>1.1006</v>
      </c>
      <c r="N45" s="5">
        <v>2.63401</v>
      </c>
      <c r="O45" s="5">
        <v>0.31657</v>
      </c>
    </row>
    <row r="46">
      <c r="A46" s="18" t="str">
        <f>IFERROR(__xludf.DUMMYFUNCTION("""COMPUTED_VALUE"""),"Mouhammad Faye")</f>
        <v>Mouhammad Faye</v>
      </c>
      <c r="B46" s="19" t="str">
        <f>IFERROR(__xludf.DUMMYFUNCTION("""COMPUTED_VALUE"""),"PROM")</f>
        <v>PROM</v>
      </c>
      <c r="C46" s="20">
        <f>IFERROR(__xludf.DUMMYFUNCTION("""COMPUTED_VALUE"""),880.2)</f>
        <v>880.2</v>
      </c>
      <c r="D46" s="21">
        <f>IFERROR(__xludf.DUMMYFUNCTION("""COMPUTED_VALUE"""),2.1204533433935837)</f>
        <v>2.120453343</v>
      </c>
      <c r="E46" s="21">
        <f>IFERROR(__xludf.DUMMYFUNCTION("""COMPUTED_VALUE"""),0.1845584056385885)</f>
        <v>0.1845584056</v>
      </c>
      <c r="F46" s="21">
        <f>IFERROR(__xludf.DUMMYFUNCTION("""COMPUTED_VALUE"""),2.305011749032172)</f>
        <v>2.305011749</v>
      </c>
      <c r="G46" s="23">
        <f>IFERROR(__xludf.DUMMYFUNCTION("""COMPUTED_VALUE"""),1.1572568153574856)</f>
        <v>1.157256815</v>
      </c>
      <c r="H46" s="4"/>
      <c r="I46" s="5" t="s">
        <v>682</v>
      </c>
      <c r="J46" s="5" t="s">
        <v>650</v>
      </c>
      <c r="K46" s="5">
        <v>274.0</v>
      </c>
      <c r="L46" s="5">
        <v>1.55408</v>
      </c>
      <c r="M46" s="5">
        <v>0.9685</v>
      </c>
      <c r="N46" s="5">
        <v>2.52258</v>
      </c>
      <c r="O46" s="5">
        <v>0.37638</v>
      </c>
    </row>
    <row r="47">
      <c r="A47" s="12" t="str">
        <f>IFERROR(__xludf.DUMMYFUNCTION("""COMPUTED_VALUE"""),"Hugh Robertson")</f>
        <v>Hugh Robertson</v>
      </c>
      <c r="B47" s="13" t="str">
        <f>IFERROR(__xludf.DUMMYFUNCTION("""COMPUTED_VALUE"""),"RETH")</f>
        <v>RETH</v>
      </c>
      <c r="C47" s="14">
        <f>IFERROR(__xludf.DUMMYFUNCTION("""COMPUTED_VALUE"""),161.3)</f>
        <v>161.3</v>
      </c>
      <c r="D47" s="15">
        <f>IFERROR(__xludf.DUMMYFUNCTION("""COMPUTED_VALUE"""),1.5684887933607383)</f>
        <v>1.568488793</v>
      </c>
      <c r="E47" s="15">
        <f>IFERROR(__xludf.DUMMYFUNCTION("""COMPUTED_VALUE"""),0.4769627627132107)</f>
        <v>0.4769627627</v>
      </c>
      <c r="F47" s="15">
        <f>IFERROR(__xludf.DUMMYFUNCTION("""COMPUTED_VALUE"""),2.045451556073949)</f>
        <v>2.045451556</v>
      </c>
      <c r="G47" s="17">
        <f>IFERROR(__xludf.DUMMYFUNCTION("""COMPUTED_VALUE"""),0.19644908821272836)</f>
        <v>0.1964490882</v>
      </c>
      <c r="H47" s="4"/>
      <c r="I47" s="5" t="s">
        <v>685</v>
      </c>
      <c r="J47" s="5" t="s">
        <v>686</v>
      </c>
      <c r="K47" s="5">
        <v>698.0</v>
      </c>
      <c r="L47" s="5">
        <v>2.20547</v>
      </c>
      <c r="M47" s="5">
        <v>0.25261</v>
      </c>
      <c r="N47" s="5">
        <v>2.45809</v>
      </c>
      <c r="O47" s="5">
        <v>0.9495</v>
      </c>
    </row>
    <row r="48">
      <c r="A48" s="18" t="str">
        <f>IFERROR(__xludf.DUMMYFUNCTION("""COMPUTED_VALUE"""),"Hollis Thompson")</f>
        <v>Hollis Thompson</v>
      </c>
      <c r="B48" s="19" t="str">
        <f>IFERROR(__xludf.DUMMYFUNCTION("""COMPUTED_VALUE"""),"OLY")</f>
        <v>OLY</v>
      </c>
      <c r="C48" s="20">
        <f>IFERROR(__xludf.DUMMYFUNCTION("""COMPUTED_VALUE"""),304.4)</f>
        <v>304.4</v>
      </c>
      <c r="D48" s="21">
        <f>IFERROR(__xludf.DUMMYFUNCTION("""COMPUTED_VALUE"""),-1.3021221991201426)</f>
        <v>-1.302122199</v>
      </c>
      <c r="E48" s="21">
        <f>IFERROR(__xludf.DUMMYFUNCTION("""COMPUTED_VALUE"""),3.330250747367245)</f>
        <v>3.330250747</v>
      </c>
      <c r="F48" s="21">
        <f>IFERROR(__xludf.DUMMYFUNCTION("""COMPUTED_VALUE"""),2.0281285482471025)</f>
        <v>2.028128548</v>
      </c>
      <c r="G48" s="23">
        <f>IFERROR(__xludf.DUMMYFUNCTION("""COMPUTED_VALUE"""),0.3741209616550597)</f>
        <v>0.3741209617</v>
      </c>
      <c r="H48" s="4"/>
      <c r="I48" s="5" t="s">
        <v>688</v>
      </c>
      <c r="J48" s="5" t="s">
        <v>642</v>
      </c>
      <c r="K48" s="5">
        <v>817.0</v>
      </c>
      <c r="L48" s="5">
        <v>1.94587</v>
      </c>
      <c r="M48" s="5">
        <v>0.50221</v>
      </c>
      <c r="N48" s="5">
        <v>2.44808</v>
      </c>
      <c r="O48" s="5">
        <v>1.09872</v>
      </c>
    </row>
    <row r="49">
      <c r="A49" s="12" t="str">
        <f>IFERROR(__xludf.DUMMYFUNCTION("""COMPUTED_VALUE"""),"Stefan Moody")</f>
        <v>Stefan Moody</v>
      </c>
      <c r="B49" s="13" t="str">
        <f>IFERROR(__xludf.DUMMYFUNCTION("""COMPUTED_VALUE"""),"RETH")</f>
        <v>RETH</v>
      </c>
      <c r="C49" s="14">
        <f>IFERROR(__xludf.DUMMYFUNCTION("""COMPUTED_VALUE"""),644.2)</f>
        <v>644.2</v>
      </c>
      <c r="D49" s="15">
        <f>IFERROR(__xludf.DUMMYFUNCTION("""COMPUTED_VALUE"""),4.354786863028095)</f>
        <v>4.354786863</v>
      </c>
      <c r="E49" s="15">
        <f>IFERROR(__xludf.DUMMYFUNCTION("""COMPUTED_VALUE"""),-2.530334387025733)</f>
        <v>-2.530334387</v>
      </c>
      <c r="F49" s="15">
        <f>IFERROR(__xludf.DUMMYFUNCTION("""COMPUTED_VALUE"""),1.824452476002362)</f>
        <v>1.824452476</v>
      </c>
      <c r="G49" s="17">
        <f>IFERROR(__xludf.DUMMYFUNCTION("""COMPUTED_VALUE"""),0.7417176851391204)</f>
        <v>0.7417176851</v>
      </c>
      <c r="H49" s="4"/>
      <c r="I49" s="5" t="s">
        <v>689</v>
      </c>
      <c r="J49" s="5" t="s">
        <v>660</v>
      </c>
      <c r="K49" s="5">
        <v>690.0</v>
      </c>
      <c r="L49" s="5">
        <v>2.0614</v>
      </c>
      <c r="M49" s="5">
        <v>0.29064</v>
      </c>
      <c r="N49" s="5">
        <v>2.35205</v>
      </c>
      <c r="O49" s="5">
        <v>0.91736</v>
      </c>
    </row>
    <row r="50">
      <c r="A50" s="18" t="str">
        <f>IFERROR(__xludf.DUMMYFUNCTION("""COMPUTED_VALUE"""),"Oleksandr Lypovyy")</f>
        <v>Oleksandr Lypovyy</v>
      </c>
      <c r="B50" s="19" t="str">
        <f>IFERROR(__xludf.DUMMYFUNCTION("""COMPUTED_VALUE"""),"PROM")</f>
        <v>PROM</v>
      </c>
      <c r="C50" s="20">
        <f>IFERROR(__xludf.DUMMYFUNCTION("""COMPUTED_VALUE"""),833.0)</f>
        <v>833</v>
      </c>
      <c r="D50" s="21">
        <f>IFERROR(__xludf.DUMMYFUNCTION("""COMPUTED_VALUE"""),1.7659622027718653)</f>
        <v>1.765962203</v>
      </c>
      <c r="E50" s="21">
        <f>IFERROR(__xludf.DUMMYFUNCTION("""COMPUTED_VALUE"""),0.031478311594822506)</f>
        <v>0.03147831159</v>
      </c>
      <c r="F50" s="21">
        <f>IFERROR(__xludf.DUMMYFUNCTION("""COMPUTED_VALUE"""),1.7974405143666878)</f>
        <v>1.797440514</v>
      </c>
      <c r="G50" s="23">
        <f>IFERROR(__xludf.DUMMYFUNCTION("""COMPUTED_VALUE"""),0.9660731740362933)</f>
        <v>0.966073174</v>
      </c>
      <c r="H50" s="4"/>
      <c r="I50" s="5" t="s">
        <v>472</v>
      </c>
      <c r="J50" s="5" t="s">
        <v>30</v>
      </c>
      <c r="K50" s="5">
        <v>210.0</v>
      </c>
      <c r="L50" s="5">
        <v>2.28642</v>
      </c>
      <c r="M50" s="5">
        <v>-0.11051</v>
      </c>
      <c r="N50" s="5">
        <v>2.17591</v>
      </c>
      <c r="O50" s="5">
        <v>0.26814</v>
      </c>
    </row>
    <row r="51">
      <c r="A51" s="12" t="str">
        <f>IFERROR(__xludf.DUMMYFUNCTION("""COMPUTED_VALUE"""),"Dimitrios Agravanis")</f>
        <v>Dimitrios Agravanis</v>
      </c>
      <c r="B51" s="13" t="str">
        <f>IFERROR(__xludf.DUMMYFUNCTION("""COMPUTED_VALUE"""),"OLY")</f>
        <v>OLY</v>
      </c>
      <c r="C51" s="14">
        <f>IFERROR(__xludf.DUMMYFUNCTION("""COMPUTED_VALUE"""),91.6)</f>
        <v>91.6</v>
      </c>
      <c r="D51" s="15">
        <f>IFERROR(__xludf.DUMMYFUNCTION("""COMPUTED_VALUE"""),0.735138828586619)</f>
        <v>0.7351388286</v>
      </c>
      <c r="E51" s="15">
        <f>IFERROR(__xludf.DUMMYFUNCTION("""COMPUTED_VALUE"""),1.0617592793475477)</f>
        <v>1.061759279</v>
      </c>
      <c r="F51" s="15">
        <f>IFERROR(__xludf.DUMMYFUNCTION("""COMPUTED_VALUE"""),1.7968981079341666)</f>
        <v>1.796898108</v>
      </c>
      <c r="G51" s="17">
        <f>IFERROR(__xludf.DUMMYFUNCTION("""COMPUTED_VALUE"""),0.10611786132374391)</f>
        <v>0.1061178613</v>
      </c>
      <c r="H51" s="4"/>
      <c r="I51" s="5" t="s">
        <v>691</v>
      </c>
      <c r="J51" s="5" t="s">
        <v>671</v>
      </c>
      <c r="K51" s="5">
        <v>161.0</v>
      </c>
      <c r="L51" s="5">
        <v>1.68434</v>
      </c>
      <c r="M51" s="5">
        <v>0.36054</v>
      </c>
      <c r="N51" s="5">
        <v>2.04489</v>
      </c>
      <c r="O51" s="5">
        <v>0.19642</v>
      </c>
    </row>
    <row r="52">
      <c r="A52" s="18" t="str">
        <f>IFERROR(__xludf.DUMMYFUNCTION("""COMPUTED_VALUE"""),"Bobby Brown")</f>
        <v>Bobby Brown</v>
      </c>
      <c r="B52" s="19" t="str">
        <f>IFERROR(__xludf.DUMMYFUNCTION("""COMPUTED_VALUE"""),"OLY")</f>
        <v>OLY</v>
      </c>
      <c r="C52" s="20">
        <f>IFERROR(__xludf.DUMMYFUNCTION("""COMPUTED_VALUE"""),234.8)</f>
        <v>234.8</v>
      </c>
      <c r="D52" s="21">
        <f>IFERROR(__xludf.DUMMYFUNCTION("""COMPUTED_VALUE"""),0.05712086970786693)</f>
        <v>0.05712086971</v>
      </c>
      <c r="E52" s="21">
        <f>IFERROR(__xludf.DUMMYFUNCTION("""COMPUTED_VALUE"""),1.5911258605338894)</f>
        <v>1.591125861</v>
      </c>
      <c r="F52" s="21">
        <f>IFERROR(__xludf.DUMMYFUNCTION("""COMPUTED_VALUE"""),1.6482467302417563)</f>
        <v>1.64824673</v>
      </c>
      <c r="G52" s="23">
        <f>IFERROR(__xludf.DUMMYFUNCTION("""COMPUTED_VALUE"""),0.2613643603001142)</f>
        <v>0.2613643603</v>
      </c>
      <c r="H52" s="4"/>
      <c r="I52" s="5" t="s">
        <v>477</v>
      </c>
      <c r="J52" s="5" t="s">
        <v>30</v>
      </c>
      <c r="K52" s="5">
        <v>92.0</v>
      </c>
      <c r="L52" s="5">
        <v>1.66407</v>
      </c>
      <c r="M52" s="5">
        <v>0.32803</v>
      </c>
      <c r="N52" s="5">
        <v>1.99209</v>
      </c>
      <c r="O52" s="5">
        <v>0.1116</v>
      </c>
    </row>
    <row r="53">
      <c r="A53" s="12" t="str">
        <f>IFERROR(__xludf.DUMMYFUNCTION("""COMPUTED_VALUE"""),"Antonios Koniaris")</f>
        <v>Antonios Koniaris</v>
      </c>
      <c r="B53" s="13" t="str">
        <f>IFERROR(__xludf.DUMMYFUNCTION("""COMPUTED_VALUE"""),"PAOK")</f>
        <v>PAOK</v>
      </c>
      <c r="C53" s="14">
        <f>IFERROR(__xludf.DUMMYFUNCTION("""COMPUTED_VALUE"""),550.1)</f>
        <v>550.1</v>
      </c>
      <c r="D53" s="15">
        <f>IFERROR(__xludf.DUMMYFUNCTION("""COMPUTED_VALUE"""),0.3227190970553211)</f>
        <v>0.3227190971</v>
      </c>
      <c r="E53" s="15">
        <f>IFERROR(__xludf.DUMMYFUNCTION("""COMPUTED_VALUE"""),1.265393635540317)</f>
        <v>1.265393636</v>
      </c>
      <c r="F53" s="15">
        <f>IFERROR(__xludf.DUMMYFUNCTION("""COMPUTED_VALUE"""),1.5881127325956381)</f>
        <v>1.588112733</v>
      </c>
      <c r="G53" s="17">
        <f>IFERROR(__xludf.DUMMYFUNCTION("""COMPUTED_VALUE"""),0.5997285059262415)</f>
        <v>0.5997285059</v>
      </c>
      <c r="H53" s="4"/>
      <c r="I53" s="5" t="s">
        <v>695</v>
      </c>
      <c r="J53" s="5" t="s">
        <v>650</v>
      </c>
      <c r="K53" s="5">
        <v>427.0</v>
      </c>
      <c r="L53" s="5">
        <v>1.71849</v>
      </c>
      <c r="M53" s="5">
        <v>0.14898</v>
      </c>
      <c r="N53" s="5">
        <v>1.86746</v>
      </c>
      <c r="O53" s="5">
        <v>0.50105</v>
      </c>
    </row>
    <row r="54">
      <c r="A54" s="18" t="str">
        <f>IFERROR(__xludf.DUMMYFUNCTION("""COMPUTED_VALUE"""),"Yannis Sahpatzidis")</f>
        <v>Yannis Sahpatzidis</v>
      </c>
      <c r="B54" s="19" t="str">
        <f>IFERROR(__xludf.DUMMYFUNCTION("""COMPUTED_VALUE"""),"AMA")</f>
        <v>AMA</v>
      </c>
      <c r="C54" s="20">
        <f>IFERROR(__xludf.DUMMYFUNCTION("""COMPUTED_VALUE"""),368.2)</f>
        <v>368.2</v>
      </c>
      <c r="D54" s="21">
        <f>IFERROR(__xludf.DUMMYFUNCTION("""COMPUTED_VALUE"""),2.1256238292407614)</f>
        <v>2.125623829</v>
      </c>
      <c r="E54" s="21">
        <f>IFERROR(__xludf.DUMMYFUNCTION("""COMPUTED_VALUE"""),-0.7160621535900755)</f>
        <v>-0.7160621536</v>
      </c>
      <c r="F54" s="21">
        <f>IFERROR(__xludf.DUMMYFUNCTION("""COMPUTED_VALUE"""),1.409561675650686)</f>
        <v>1.409561676</v>
      </c>
      <c r="G54" s="23">
        <f>IFERROR(__xludf.DUMMYFUNCTION("""COMPUTED_VALUE"""),0.37750260956155596)</f>
        <v>0.3775026096</v>
      </c>
      <c r="H54" s="4"/>
      <c r="I54" s="5" t="s">
        <v>698</v>
      </c>
      <c r="J54" s="5" t="s">
        <v>671</v>
      </c>
      <c r="K54" s="5">
        <v>644.0</v>
      </c>
      <c r="L54" s="5">
        <v>4.57574</v>
      </c>
      <c r="M54" s="5">
        <v>-2.74784</v>
      </c>
      <c r="N54" s="5">
        <v>1.8279</v>
      </c>
      <c r="O54" s="5">
        <v>0.74239</v>
      </c>
    </row>
    <row r="55">
      <c r="A55" s="12" t="str">
        <f>IFERROR(__xludf.DUMMYFUNCTION("""COMPUTED_VALUE"""),"Vassilis Kavvadas")</f>
        <v>Vassilis Kavvadas</v>
      </c>
      <c r="B55" s="13" t="str">
        <f>IFERROR(__xludf.DUMMYFUNCTION("""COMPUTED_VALUE"""),"ATH")</f>
        <v>ATH</v>
      </c>
      <c r="C55" s="14">
        <f>IFERROR(__xludf.DUMMYFUNCTION("""COMPUTED_VALUE"""),193.7)</f>
        <v>193.7</v>
      </c>
      <c r="D55" s="15">
        <f>IFERROR(__xludf.DUMMYFUNCTION("""COMPUTED_VALUE"""),1.4439744811446713)</f>
        <v>1.443974481</v>
      </c>
      <c r="E55" s="15">
        <f>IFERROR(__xludf.DUMMYFUNCTION("""COMPUTED_VALUE"""),-0.2311873489621883)</f>
        <v>-0.231187349</v>
      </c>
      <c r="F55" s="15">
        <f>IFERROR(__xludf.DUMMYFUNCTION("""COMPUTED_VALUE"""),1.212787132182483)</f>
        <v>1.212787132</v>
      </c>
      <c r="G55" s="17">
        <f>IFERROR(__xludf.DUMMYFUNCTION("""COMPUTED_VALUE"""),0.1979233658975589)</f>
        <v>0.1979233659</v>
      </c>
      <c r="H55" s="4"/>
      <c r="I55" s="5" t="s">
        <v>699</v>
      </c>
      <c r="J55" s="5" t="s">
        <v>650</v>
      </c>
      <c r="K55" s="5">
        <v>448.0</v>
      </c>
      <c r="L55" s="5">
        <v>1.04201</v>
      </c>
      <c r="M55" s="5">
        <v>0.6014</v>
      </c>
      <c r="N55" s="5">
        <v>1.64341</v>
      </c>
      <c r="O55" s="5">
        <v>0.49547</v>
      </c>
    </row>
    <row r="56">
      <c r="A56" s="18" t="str">
        <f>IFERROR(__xludf.DUMMYFUNCTION("""COMPUTED_VALUE"""),"Darnell Jackson")</f>
        <v>Darnell Jackson</v>
      </c>
      <c r="B56" s="19" t="str">
        <f>IFERROR(__xludf.DUMMYFUNCTION("""COMPUTED_VALUE"""),"PAOK")</f>
        <v>PAOK</v>
      </c>
      <c r="C56" s="20">
        <f>IFERROR(__xludf.DUMMYFUNCTION("""COMPUTED_VALUE"""),357.9)</f>
        <v>357.9</v>
      </c>
      <c r="D56" s="21">
        <f>IFERROR(__xludf.DUMMYFUNCTION("""COMPUTED_VALUE"""),-0.3054205086756887)</f>
        <v>-0.3054205087</v>
      </c>
      <c r="E56" s="21">
        <f>IFERROR(__xludf.DUMMYFUNCTION("""COMPUTED_VALUE"""),1.4430993862693833)</f>
        <v>1.443099386</v>
      </c>
      <c r="F56" s="21">
        <f>IFERROR(__xludf.DUMMYFUNCTION("""COMPUTED_VALUE"""),1.1376788775936946)</f>
        <v>1.137678878</v>
      </c>
      <c r="G56" s="23">
        <f>IFERROR(__xludf.DUMMYFUNCTION("""COMPUTED_VALUE"""),0.3412063933048959)</f>
        <v>0.3412063933</v>
      </c>
      <c r="H56" s="4"/>
      <c r="I56" s="5" t="s">
        <v>701</v>
      </c>
      <c r="J56" s="5" t="s">
        <v>660</v>
      </c>
      <c r="K56" s="5">
        <v>566.0</v>
      </c>
      <c r="L56" s="5">
        <v>3.16868</v>
      </c>
      <c r="M56" s="5">
        <v>-1.74982</v>
      </c>
      <c r="N56" s="5">
        <v>1.41886</v>
      </c>
      <c r="O56" s="5">
        <v>0.59081</v>
      </c>
    </row>
    <row r="57">
      <c r="A57" s="12" t="str">
        <f>IFERROR(__xludf.DUMMYFUNCTION("""COMPUTED_VALUE"""),"Octavius Ellis")</f>
        <v>Octavius Ellis</v>
      </c>
      <c r="B57" s="13" t="str">
        <f>IFERROR(__xludf.DUMMYFUNCTION("""COMPUTED_VALUE"""),"PROM")</f>
        <v>PROM</v>
      </c>
      <c r="C57" s="14">
        <f>IFERROR(__xludf.DUMMYFUNCTION("""COMPUTED_VALUE"""),354.8)</f>
        <v>354.8</v>
      </c>
      <c r="D57" s="15">
        <f>IFERROR(__xludf.DUMMYFUNCTION("""COMPUTED_VALUE"""),-0.9902795125375156)</f>
        <v>-0.9902795125</v>
      </c>
      <c r="E57" s="15">
        <f>IFERROR(__xludf.DUMMYFUNCTION("""COMPUTED_VALUE"""),2.125386164318602)</f>
        <v>2.125386164</v>
      </c>
      <c r="F57" s="15">
        <f>IFERROR(__xludf.DUMMYFUNCTION("""COMPUTED_VALUE"""),1.1351066517810864)</f>
        <v>1.135106652</v>
      </c>
      <c r="G57" s="17">
        <f>IFERROR(__xludf.DUMMYFUNCTION("""COMPUTED_VALUE"""),0.3397112837418399)</f>
        <v>0.3397112837</v>
      </c>
      <c r="H57" s="4"/>
      <c r="I57" s="5" t="s">
        <v>703</v>
      </c>
      <c r="J57" s="5" t="s">
        <v>704</v>
      </c>
      <c r="K57" s="5">
        <v>368.0</v>
      </c>
      <c r="L57" s="5">
        <v>-0.34973</v>
      </c>
      <c r="M57" s="5">
        <v>1.75719</v>
      </c>
      <c r="N57" s="5">
        <v>1.40746</v>
      </c>
      <c r="O57" s="5">
        <v>0.37727</v>
      </c>
    </row>
    <row r="58">
      <c r="A58" s="18" t="str">
        <f>IFERROR(__xludf.DUMMYFUNCTION("""COMPUTED_VALUE"""),"T.J. Bray")</f>
        <v>T.J. Bray</v>
      </c>
      <c r="B58" s="19" t="str">
        <f>IFERROR(__xludf.DUMMYFUNCTION("""COMPUTED_VALUE"""),"KOL")</f>
        <v>KOL</v>
      </c>
      <c r="C58" s="20">
        <f>IFERROR(__xludf.DUMMYFUNCTION("""COMPUTED_VALUE"""),777.9)</f>
        <v>777.9</v>
      </c>
      <c r="D58" s="21">
        <f>IFERROR(__xludf.DUMMYFUNCTION("""COMPUTED_VALUE"""),2.373302435080608)</f>
        <v>2.373302435</v>
      </c>
      <c r="E58" s="21">
        <f>IFERROR(__xludf.DUMMYFUNCTION("""COMPUTED_VALUE"""),-1.284953135870218)</f>
        <v>-1.284953136</v>
      </c>
      <c r="F58" s="21">
        <f>IFERROR(__xludf.DUMMYFUNCTION("""COMPUTED_VALUE"""),1.0883492992103898)</f>
        <v>1.088349299</v>
      </c>
      <c r="G58" s="23">
        <f>IFERROR(__xludf.DUMMYFUNCTION("""COMPUTED_VALUE"""),0.742974920944946)</f>
        <v>0.7429749209</v>
      </c>
      <c r="H58" s="4"/>
      <c r="I58" s="5" t="s">
        <v>705</v>
      </c>
      <c r="J58" s="5" t="s">
        <v>646</v>
      </c>
      <c r="K58" s="5">
        <v>778.0</v>
      </c>
      <c r="L58" s="5">
        <v>1.87037</v>
      </c>
      <c r="M58" s="5">
        <v>-0.46871</v>
      </c>
      <c r="N58" s="5">
        <v>1.40166</v>
      </c>
      <c r="O58" s="5">
        <v>0.81835</v>
      </c>
    </row>
    <row r="59">
      <c r="A59" s="12" t="str">
        <f>IFERROR(__xludf.DUMMYFUNCTION("""COMPUTED_VALUE"""),"Marvin Jones")</f>
        <v>Marvin Jones</v>
      </c>
      <c r="B59" s="13" t="str">
        <f>IFERROR(__xludf.DUMMYFUNCTION("""COMPUTED_VALUE"""),"KOL")</f>
        <v>KOL</v>
      </c>
      <c r="C59" s="14">
        <f>IFERROR(__xludf.DUMMYFUNCTION("""COMPUTED_VALUE"""),452.3)</f>
        <v>452.3</v>
      </c>
      <c r="D59" s="15">
        <f>IFERROR(__xludf.DUMMYFUNCTION("""COMPUTED_VALUE"""),0.5249624808610572)</f>
        <v>0.5249624809</v>
      </c>
      <c r="E59" s="15">
        <f>IFERROR(__xludf.DUMMYFUNCTION("""COMPUTED_VALUE"""),0.4733852802987579)</f>
        <v>0.4733852803</v>
      </c>
      <c r="F59" s="15">
        <f>IFERROR(__xludf.DUMMYFUNCTION("""COMPUTED_VALUE"""),0.9983477611598152)</f>
        <v>0.9983477612</v>
      </c>
      <c r="G59" s="17">
        <f>IFERROR(__xludf.DUMMYFUNCTION("""COMPUTED_VALUE"""),0.41940399147096236)</f>
        <v>0.4194039915</v>
      </c>
      <c r="H59" s="4"/>
      <c r="I59" s="5" t="s">
        <v>707</v>
      </c>
      <c r="J59" s="5" t="s">
        <v>646</v>
      </c>
      <c r="K59" s="5">
        <v>452.0</v>
      </c>
      <c r="L59" s="5">
        <v>0.02192</v>
      </c>
      <c r="M59" s="5">
        <v>1.28965</v>
      </c>
      <c r="N59" s="5">
        <v>1.31157</v>
      </c>
      <c r="O59" s="5">
        <v>0.46322</v>
      </c>
    </row>
    <row r="60">
      <c r="A60" s="18" t="str">
        <f>IFERROR(__xludf.DUMMYFUNCTION("""COMPUTED_VALUE"""),"Kelsey Barlow")</f>
        <v>Kelsey Barlow</v>
      </c>
      <c r="B60" s="19" t="str">
        <f>IFERROR(__xludf.DUMMYFUNCTION("""COMPUTED_VALUE"""),"ATH")</f>
        <v>ATH</v>
      </c>
      <c r="C60" s="20">
        <f>IFERROR(__xludf.DUMMYFUNCTION("""COMPUTED_VALUE"""),294.8)</f>
        <v>294.8</v>
      </c>
      <c r="D60" s="21">
        <f>IFERROR(__xludf.DUMMYFUNCTION("""COMPUTED_VALUE"""),0.7075215119281424)</f>
        <v>0.7075215119</v>
      </c>
      <c r="E60" s="21">
        <f>IFERROR(__xludf.DUMMYFUNCTION("""COMPUTED_VALUE"""),0.27358128105664903)</f>
        <v>0.2735812811</v>
      </c>
      <c r="F60" s="21">
        <f>IFERROR(__xludf.DUMMYFUNCTION("""COMPUTED_VALUE"""),0.9811027929847914)</f>
        <v>0.981102793</v>
      </c>
      <c r="G60" s="23">
        <f>IFERROR(__xludf.DUMMYFUNCTION("""COMPUTED_VALUE"""),0.2795052219712752)</f>
        <v>0.279505222</v>
      </c>
      <c r="H60" s="4"/>
      <c r="I60" s="5" t="s">
        <v>709</v>
      </c>
      <c r="J60" s="5" t="s">
        <v>648</v>
      </c>
      <c r="K60" s="5">
        <v>194.0</v>
      </c>
      <c r="L60" s="5">
        <v>1.8776</v>
      </c>
      <c r="M60" s="5">
        <v>-0.66397</v>
      </c>
      <c r="N60" s="5">
        <v>1.21364</v>
      </c>
      <c r="O60" s="5">
        <v>0.19798</v>
      </c>
    </row>
    <row r="61">
      <c r="A61" s="12" t="str">
        <f>IFERROR(__xludf.DUMMYFUNCTION("""COMPUTED_VALUE"""),"Dimitris Legkikas")</f>
        <v>Dimitris Legkikas</v>
      </c>
      <c r="B61" s="13" t="str">
        <f>IFERROR(__xludf.DUMMYFUNCTION("""COMPUTED_VALUE"""),"LAV")</f>
        <v>LAV</v>
      </c>
      <c r="C61" s="14">
        <f>IFERROR(__xludf.DUMMYFUNCTION("""COMPUTED_VALUE"""),76.3)</f>
        <v>76.3</v>
      </c>
      <c r="D61" s="15">
        <f>IFERROR(__xludf.DUMMYFUNCTION("""COMPUTED_VALUE"""),0.31386628703294256)</f>
        <v>0.313866287</v>
      </c>
      <c r="E61" s="15">
        <f>IFERROR(__xludf.DUMMYFUNCTION("""COMPUTED_VALUE"""),0.6667026372177967)</f>
        <v>0.6667026372</v>
      </c>
      <c r="F61" s="15">
        <f>IFERROR(__xludf.DUMMYFUNCTION("""COMPUTED_VALUE"""),0.9805689242507392)</f>
        <v>0.9805689243</v>
      </c>
      <c r="G61" s="17">
        <f>IFERROR(__xludf.DUMMYFUNCTION("""COMPUTED_VALUE"""),0.06871248252179937)</f>
        <v>0.06871248252</v>
      </c>
      <c r="H61" s="4"/>
      <c r="I61" s="5" t="s">
        <v>712</v>
      </c>
      <c r="J61" s="5" t="s">
        <v>646</v>
      </c>
      <c r="K61" s="5">
        <v>776.0</v>
      </c>
      <c r="L61" s="5">
        <v>-1.12208</v>
      </c>
      <c r="M61" s="5">
        <v>2.24917</v>
      </c>
      <c r="N61" s="5">
        <v>1.12709</v>
      </c>
      <c r="O61" s="5">
        <v>0.75046</v>
      </c>
    </row>
    <row r="62">
      <c r="A62" s="18" t="str">
        <f>IFERROR(__xludf.DUMMYFUNCTION("""COMPUTED_VALUE"""),"Delroy James")</f>
        <v>Delroy James</v>
      </c>
      <c r="B62" s="19" t="str">
        <f>IFERROR(__xludf.DUMMYFUNCTION("""COMPUTED_VALUE"""),"ATH")</f>
        <v>ATH</v>
      </c>
      <c r="C62" s="20">
        <f>IFERROR(__xludf.DUMMYFUNCTION("""COMPUTED_VALUE"""),575.3)</f>
        <v>575.3</v>
      </c>
      <c r="D62" s="21">
        <f>IFERROR(__xludf.DUMMYFUNCTION("""COMPUTED_VALUE"""),-1.4958767301543523)</f>
        <v>-1.49587673</v>
      </c>
      <c r="E62" s="21">
        <f>IFERROR(__xludf.DUMMYFUNCTION("""COMPUTED_VALUE"""),2.4391269644168085)</f>
        <v>2.439126964</v>
      </c>
      <c r="F62" s="21">
        <f>IFERROR(__xludf.DUMMYFUNCTION("""COMPUTED_VALUE"""),0.943250234262456)</f>
        <v>0.9432502343</v>
      </c>
      <c r="G62" s="23">
        <f>IFERROR(__xludf.DUMMYFUNCTION("""COMPUTED_VALUE"""),0.5385264724424292)</f>
        <v>0.5385264724</v>
      </c>
      <c r="H62" s="4"/>
      <c r="I62" s="5" t="s">
        <v>714</v>
      </c>
      <c r="J62" s="5" t="s">
        <v>660</v>
      </c>
      <c r="K62" s="5">
        <v>207.0</v>
      </c>
      <c r="L62" s="5">
        <v>-0.76174</v>
      </c>
      <c r="M62" s="5">
        <v>1.8648</v>
      </c>
      <c r="N62" s="5">
        <v>1.10306</v>
      </c>
      <c r="O62" s="5">
        <v>0.19644</v>
      </c>
    </row>
    <row r="63">
      <c r="A63" s="12" t="str">
        <f>IFERROR(__xludf.DUMMYFUNCTION("""COMPUTED_VALUE"""),"Steven Gray")</f>
        <v>Steven Gray</v>
      </c>
      <c r="B63" s="13" t="str">
        <f>IFERROR(__xludf.DUMMYFUNCTION("""COMPUTED_VALUE"""),"LAV")</f>
        <v>LAV</v>
      </c>
      <c r="C63" s="14">
        <f>IFERROR(__xludf.DUMMYFUNCTION("""COMPUTED_VALUE"""),336.1)</f>
        <v>336.1</v>
      </c>
      <c r="D63" s="15">
        <f>IFERROR(__xludf.DUMMYFUNCTION("""COMPUTED_VALUE"""),1.7618065497705708)</f>
        <v>1.76180655</v>
      </c>
      <c r="E63" s="15">
        <f>IFERROR(__xludf.DUMMYFUNCTION("""COMPUTED_VALUE"""),-0.8292685631535078)</f>
        <v>-0.8292685632</v>
      </c>
      <c r="F63" s="15">
        <f>IFERROR(__xludf.DUMMYFUNCTION("""COMPUTED_VALUE"""),0.932537986617063)</f>
        <v>0.9325379866</v>
      </c>
      <c r="G63" s="17">
        <f>IFERROR(__xludf.DUMMYFUNCTION("""COMPUTED_VALUE"""),0.297799587148666)</f>
        <v>0.2977995871</v>
      </c>
      <c r="H63" s="4"/>
      <c r="I63" s="5" t="s">
        <v>715</v>
      </c>
      <c r="J63" s="5" t="s">
        <v>648</v>
      </c>
      <c r="K63" s="5">
        <v>295.0</v>
      </c>
      <c r="L63" s="5">
        <v>1.36504</v>
      </c>
      <c r="M63" s="5">
        <v>-0.38465</v>
      </c>
      <c r="N63" s="5">
        <v>0.98039</v>
      </c>
      <c r="O63" s="5">
        <v>0.27944</v>
      </c>
    </row>
    <row r="64">
      <c r="A64" s="18" t="str">
        <f>IFERROR(__xludf.DUMMYFUNCTION("""COMPUTED_VALUE"""),"Ramon Harris")</f>
        <v>Ramon Harris</v>
      </c>
      <c r="B64" s="19" t="str">
        <f>IFERROR(__xludf.DUMMYFUNCTION("""COMPUTED_VALUE"""),"KOL")</f>
        <v>KOL</v>
      </c>
      <c r="C64" s="20">
        <f>IFERROR(__xludf.DUMMYFUNCTION("""COMPUTED_VALUE"""),776.0)</f>
        <v>776</v>
      </c>
      <c r="D64" s="21">
        <f>IFERROR(__xludf.DUMMYFUNCTION("""COMPUTED_VALUE"""),-0.6173737439133518)</f>
        <v>-0.6173737439</v>
      </c>
      <c r="E64" s="21">
        <f>IFERROR(__xludf.DUMMYFUNCTION("""COMPUTED_VALUE"""),1.4326088904276655)</f>
        <v>1.43260889</v>
      </c>
      <c r="F64" s="21">
        <f>IFERROR(__xludf.DUMMYFUNCTION("""COMPUTED_VALUE"""),0.8152351465143136)</f>
        <v>0.8152351465</v>
      </c>
      <c r="G64" s="23">
        <f>IFERROR(__xludf.DUMMYFUNCTION("""COMPUTED_VALUE"""),0.6756166842259761)</f>
        <v>0.6756166842</v>
      </c>
      <c r="H64" s="4"/>
      <c r="I64" s="5" t="s">
        <v>717</v>
      </c>
      <c r="J64" s="5" t="s">
        <v>631</v>
      </c>
      <c r="K64" s="5">
        <v>76.0</v>
      </c>
      <c r="L64" s="5">
        <v>0.58867</v>
      </c>
      <c r="M64" s="5">
        <v>0.39151</v>
      </c>
      <c r="N64" s="5">
        <v>0.98018</v>
      </c>
      <c r="O64" s="5">
        <v>0.0687</v>
      </c>
    </row>
    <row r="65">
      <c r="A65" s="12" t="str">
        <f>IFERROR(__xludf.DUMMYFUNCTION("""COMPUTED_VALUE"""),"Owen Klassen")</f>
        <v>Owen Klassen</v>
      </c>
      <c r="B65" s="13" t="str">
        <f>IFERROR(__xludf.DUMMYFUNCTION("""COMPUTED_VALUE"""),"PAOK")</f>
        <v>PAOK</v>
      </c>
      <c r="C65" s="14">
        <f>IFERROR(__xludf.DUMMYFUNCTION("""COMPUTED_VALUE"""),142.1)</f>
        <v>142.1</v>
      </c>
      <c r="D65" s="15">
        <f>IFERROR(__xludf.DUMMYFUNCTION("""COMPUTED_VALUE"""),0.8833325312901854)</f>
        <v>0.8833325313</v>
      </c>
      <c r="E65" s="15">
        <f>IFERROR(__xludf.DUMMYFUNCTION("""COMPUTED_VALUE"""),-0.0767746820398485)</f>
        <v>-0.07677468204</v>
      </c>
      <c r="F65" s="15">
        <f>IFERROR(__xludf.DUMMYFUNCTION("""COMPUTED_VALUE"""),0.8065578492503369)</f>
        <v>0.8065578493</v>
      </c>
      <c r="G65" s="17">
        <f>IFERROR(__xludf.DUMMYFUNCTION("""COMPUTED_VALUE"""),0.12117556236459465)</f>
        <v>0.1211755624</v>
      </c>
      <c r="H65" s="4"/>
      <c r="I65" s="5" t="s">
        <v>719</v>
      </c>
      <c r="J65" s="5" t="s">
        <v>648</v>
      </c>
      <c r="K65" s="5">
        <v>575.0</v>
      </c>
      <c r="L65" s="5">
        <v>-0.82656</v>
      </c>
      <c r="M65" s="5">
        <v>1.76925</v>
      </c>
      <c r="N65" s="5">
        <v>0.94269</v>
      </c>
      <c r="O65" s="5">
        <v>0.53842</v>
      </c>
    </row>
    <row r="66">
      <c r="A66" s="18" t="str">
        <f>IFERROR(__xludf.DUMMYFUNCTION("""COMPUTED_VALUE"""),"Sean Evans")</f>
        <v>Sean Evans</v>
      </c>
      <c r="B66" s="19" t="str">
        <f>IFERROR(__xludf.DUMMYFUNCTION("""COMPUTED_VALUE"""),"PROM")</f>
        <v>PROM</v>
      </c>
      <c r="C66" s="20">
        <f>IFERROR(__xludf.DUMMYFUNCTION("""COMPUTED_VALUE"""),207.2)</f>
        <v>207.2</v>
      </c>
      <c r="D66" s="21">
        <f>IFERROR(__xludf.DUMMYFUNCTION("""COMPUTED_VALUE"""),-0.9446393626074865)</f>
        <v>-0.9446393626</v>
      </c>
      <c r="E66" s="21">
        <f>IFERROR(__xludf.DUMMYFUNCTION("""COMPUTED_VALUE"""),1.6943498321214796)</f>
        <v>1.694349832</v>
      </c>
      <c r="F66" s="21">
        <f>IFERROR(__xludf.DUMMYFUNCTION("""COMPUTED_VALUE"""),0.7497104695139931)</f>
        <v>0.7497104695</v>
      </c>
      <c r="G66" s="23">
        <f>IFERROR(__xludf.DUMMYFUNCTION("""COMPUTED_VALUE"""),0.17400060573763557)</f>
        <v>0.1740006057</v>
      </c>
      <c r="H66" s="4"/>
      <c r="I66" s="5" t="s">
        <v>720</v>
      </c>
      <c r="J66" s="5" t="s">
        <v>650</v>
      </c>
      <c r="K66" s="5">
        <v>142.0</v>
      </c>
      <c r="L66" s="5">
        <v>1.31297</v>
      </c>
      <c r="M66" s="5">
        <v>-0.3733</v>
      </c>
      <c r="N66" s="5">
        <v>0.93967</v>
      </c>
      <c r="O66" s="5">
        <v>0.12683</v>
      </c>
    </row>
    <row r="67">
      <c r="A67" s="12" t="str">
        <f>IFERROR(__xludf.DUMMYFUNCTION("""COMPUTED_VALUE"""),"Parish Petty")</f>
        <v>Parish Petty</v>
      </c>
      <c r="B67" s="13" t="str">
        <f>IFERROR(__xludf.DUMMYFUNCTION("""COMPUTED_VALUE"""),"LAR")</f>
        <v>LAR</v>
      </c>
      <c r="C67" s="14">
        <f>IFERROR(__xludf.DUMMYFUNCTION("""COMPUTED_VALUE"""),10.0)</f>
        <v>10</v>
      </c>
      <c r="D67" s="15">
        <f>IFERROR(__xludf.DUMMYFUNCTION("""COMPUTED_VALUE"""),0.6207112642991718)</f>
        <v>0.6207112643</v>
      </c>
      <c r="E67" s="15">
        <f>IFERROR(__xludf.DUMMYFUNCTION("""COMPUTED_VALUE"""),0.10889793017203064)</f>
        <v>0.1088979302</v>
      </c>
      <c r="F67" s="15">
        <f>IFERROR(__xludf.DUMMYFUNCTION("""COMPUTED_VALUE"""),0.7296091944712024)</f>
        <v>0.7296091945</v>
      </c>
      <c r="G67" s="17">
        <f>IFERROR(__xludf.DUMMYFUNCTION("""COMPUTED_VALUE"""),0.008332555186866075)</f>
        <v>0.008332555187</v>
      </c>
      <c r="H67" s="4"/>
      <c r="I67" s="5" t="s">
        <v>722</v>
      </c>
      <c r="J67" s="5" t="s">
        <v>631</v>
      </c>
      <c r="K67" s="5">
        <v>336.0</v>
      </c>
      <c r="L67" s="5">
        <v>2.84508</v>
      </c>
      <c r="M67" s="5">
        <v>-1.91177</v>
      </c>
      <c r="N67" s="5">
        <v>0.93331</v>
      </c>
      <c r="O67" s="5">
        <v>0.29788</v>
      </c>
    </row>
    <row r="68">
      <c r="A68" s="18" t="str">
        <f>IFERROR(__xludf.DUMMYFUNCTION("""COMPUTED_VALUE"""),"Steve Burtt")</f>
        <v>Steve Burtt</v>
      </c>
      <c r="B68" s="19" t="str">
        <f>IFERROR(__xludf.DUMMYFUNCTION("""COMPUTED_VALUE"""),"LAR")</f>
        <v>LAR</v>
      </c>
      <c r="C68" s="20">
        <f>IFERROR(__xludf.DUMMYFUNCTION("""COMPUTED_VALUE"""),213.8)</f>
        <v>213.8</v>
      </c>
      <c r="D68" s="21">
        <f>IFERROR(__xludf.DUMMYFUNCTION("""COMPUTED_VALUE"""),5.1901618458174426)</f>
        <v>5.190161846</v>
      </c>
      <c r="E68" s="21">
        <f>IFERROR(__xludf.DUMMYFUNCTION("""COMPUTED_VALUE"""),-4.46889258004898)</f>
        <v>-4.46889258</v>
      </c>
      <c r="F68" s="21">
        <f>IFERROR(__xludf.DUMMYFUNCTION("""COMPUTED_VALUE"""),0.7212692657684624)</f>
        <v>0.7212692658</v>
      </c>
      <c r="G68" s="23">
        <f>IFERROR(__xludf.DUMMYFUNCTION("""COMPUTED_VALUE"""),0.17760571807549505)</f>
        <v>0.1776057181</v>
      </c>
      <c r="H68" s="4"/>
      <c r="I68" s="5" t="s">
        <v>236</v>
      </c>
      <c r="J68" s="5" t="s">
        <v>19</v>
      </c>
      <c r="K68" s="5">
        <v>112.0</v>
      </c>
      <c r="L68" s="5">
        <v>-0.33302</v>
      </c>
      <c r="M68" s="5">
        <v>1.15501</v>
      </c>
      <c r="N68" s="5">
        <v>0.822</v>
      </c>
      <c r="O68" s="5">
        <v>0.0961</v>
      </c>
    </row>
    <row r="69">
      <c r="A69" s="12" t="str">
        <f>IFERROR(__xludf.DUMMYFUNCTION("""COMPUTED_VALUE"""),"Dimitrios Katsivelis")</f>
        <v>Dimitrios Katsivelis</v>
      </c>
      <c r="B69" s="13" t="str">
        <f>IFERROR(__xludf.DUMMYFUNCTION("""COMPUTED_VALUE"""),"PAOK")</f>
        <v>PAOK</v>
      </c>
      <c r="C69" s="14">
        <f>IFERROR(__xludf.DUMMYFUNCTION("""COMPUTED_VALUE"""),785.9)</f>
        <v>785.9</v>
      </c>
      <c r="D69" s="15">
        <f>IFERROR(__xludf.DUMMYFUNCTION("""COMPUTED_VALUE"""),-1.449012028245686)</f>
        <v>-1.449012028</v>
      </c>
      <c r="E69" s="15">
        <f>IFERROR(__xludf.DUMMYFUNCTION("""COMPUTED_VALUE"""),2.1457710172544227)</f>
        <v>2.145771017</v>
      </c>
      <c r="F69" s="15">
        <f>IFERROR(__xludf.DUMMYFUNCTION("""COMPUTED_VALUE"""),0.6967589890087365)</f>
        <v>0.696758989</v>
      </c>
      <c r="G69" s="17">
        <f>IFERROR(__xludf.DUMMYFUNCTION("""COMPUTED_VALUE"""),0.6439562926066701)</f>
        <v>0.6439562926</v>
      </c>
      <c r="H69" s="4"/>
      <c r="I69" s="5" t="s">
        <v>725</v>
      </c>
      <c r="J69" s="5" t="s">
        <v>686</v>
      </c>
      <c r="K69" s="5">
        <v>10.0</v>
      </c>
      <c r="L69" s="5">
        <v>0.57351</v>
      </c>
      <c r="M69" s="5">
        <v>0.15618</v>
      </c>
      <c r="N69" s="5">
        <v>0.72969</v>
      </c>
      <c r="O69" s="5">
        <v>0.00833</v>
      </c>
    </row>
    <row r="70">
      <c r="A70" s="18" t="str">
        <f>IFERROR(__xludf.DUMMYFUNCTION("""COMPUTED_VALUE"""),"Mike Green")</f>
        <v>Mike Green</v>
      </c>
      <c r="B70" s="19" t="str">
        <f>IFERROR(__xludf.DUMMYFUNCTION("""COMPUTED_VALUE"""),"ATH")</f>
        <v>ATH</v>
      </c>
      <c r="C70" s="20">
        <f>IFERROR(__xludf.DUMMYFUNCTION("""COMPUTED_VALUE"""),752.8)</f>
        <v>752.8</v>
      </c>
      <c r="D70" s="21">
        <f>IFERROR(__xludf.DUMMYFUNCTION("""COMPUTED_VALUE"""),0.7919353758358613)</f>
        <v>0.7919353758</v>
      </c>
      <c r="E70" s="21">
        <f>IFERROR(__xludf.DUMMYFUNCTION("""COMPUTED_VALUE"""),-0.1157483927470847)</f>
        <v>-0.1157483927</v>
      </c>
      <c r="F70" s="21">
        <f>IFERROR(__xludf.DUMMYFUNCTION("""COMPUTED_VALUE"""),0.6761869830887766)</f>
        <v>0.6761869831</v>
      </c>
      <c r="G70" s="23">
        <f>IFERROR(__xludf.DUMMYFUNCTION("""COMPUTED_VALUE"""),0.6407395914188714)</f>
        <v>0.6407395914</v>
      </c>
      <c r="H70" s="4"/>
      <c r="I70" s="5" t="s">
        <v>727</v>
      </c>
      <c r="J70" s="5" t="s">
        <v>686</v>
      </c>
      <c r="K70" s="5">
        <v>214.0</v>
      </c>
      <c r="L70" s="5">
        <v>4.18298</v>
      </c>
      <c r="M70" s="5">
        <v>-3.45841</v>
      </c>
      <c r="N70" s="5">
        <v>0.72458</v>
      </c>
      <c r="O70" s="5">
        <v>0.17782</v>
      </c>
    </row>
    <row r="71">
      <c r="A71" s="12" t="str">
        <f>IFERROR(__xludf.DUMMYFUNCTION("""COMPUTED_VALUE"""),"Linos Chrysikopoulos")</f>
        <v>Linos Chrysikopoulos</v>
      </c>
      <c r="B71" s="13" t="str">
        <f>IFERROR(__xludf.DUMMYFUNCTION("""COMPUTED_VALUE"""),"PAOK")</f>
        <v>PAOK</v>
      </c>
      <c r="C71" s="14">
        <f>IFERROR(__xludf.DUMMYFUNCTION("""COMPUTED_VALUE"""),527.8)</f>
        <v>527.8</v>
      </c>
      <c r="D71" s="15">
        <f>IFERROR(__xludf.DUMMYFUNCTION("""COMPUTED_VALUE"""),-0.476826978378893)</f>
        <v>-0.4768269784</v>
      </c>
      <c r="E71" s="15">
        <f>IFERROR(__xludf.DUMMYFUNCTION("""COMPUTED_VALUE"""),1.1159156771872707)</f>
        <v>1.115915677</v>
      </c>
      <c r="F71" s="15">
        <f>IFERROR(__xludf.DUMMYFUNCTION("""COMPUTED_VALUE"""),0.6390886988083777)</f>
        <v>0.6390886988</v>
      </c>
      <c r="G71" s="17">
        <f>IFERROR(__xludf.DUMMYFUNCTION("""COMPUTED_VALUE"""),0.42322405156667864)</f>
        <v>0.4232240516</v>
      </c>
      <c r="H71" s="4"/>
      <c r="I71" s="5" t="s">
        <v>728</v>
      </c>
      <c r="J71" s="5" t="s">
        <v>648</v>
      </c>
      <c r="K71" s="5">
        <v>753.0</v>
      </c>
      <c r="L71" s="5">
        <v>1.46184</v>
      </c>
      <c r="M71" s="5">
        <v>-0.78573</v>
      </c>
      <c r="N71" s="5">
        <v>0.67611</v>
      </c>
      <c r="O71" s="5">
        <v>0.64072</v>
      </c>
    </row>
    <row r="72">
      <c r="A72" s="18" t="str">
        <f>IFERROR(__xludf.DUMMYFUNCTION("""COMPUTED_VALUE"""),"Dimitrios Moraitis")</f>
        <v>Dimitrios Moraitis</v>
      </c>
      <c r="B72" s="19" t="str">
        <f>IFERROR(__xludf.DUMMYFUNCTION("""COMPUTED_VALUE"""),"ATH")</f>
        <v>ATH</v>
      </c>
      <c r="C72" s="20">
        <f>IFERROR(__xludf.DUMMYFUNCTION("""COMPUTED_VALUE"""),39.3)</f>
        <v>39.3</v>
      </c>
      <c r="D72" s="21">
        <f>IFERROR(__xludf.DUMMYFUNCTION("""COMPUTED_VALUE"""),0.675217590957654)</f>
        <v>0.675217591</v>
      </c>
      <c r="E72" s="21">
        <f>IFERROR(__xludf.DUMMYFUNCTION("""COMPUTED_VALUE"""),-0.05410963738800867)</f>
        <v>-0.05410963739</v>
      </c>
      <c r="F72" s="21">
        <f>IFERROR(__xludf.DUMMYFUNCTION("""COMPUTED_VALUE"""),0.6211079535696453)</f>
        <v>0.6211079536</v>
      </c>
      <c r="G72" s="23">
        <f>IFERROR(__xludf.DUMMYFUNCTION("""COMPUTED_VALUE"""),0.03276143786339835)</f>
        <v>0.03276143786</v>
      </c>
      <c r="H72" s="4"/>
      <c r="I72" s="5" t="s">
        <v>730</v>
      </c>
      <c r="J72" s="5" t="s">
        <v>648</v>
      </c>
      <c r="K72" s="5">
        <v>39.0</v>
      </c>
      <c r="L72" s="5">
        <v>0.76262</v>
      </c>
      <c r="M72" s="5">
        <v>-0.14181</v>
      </c>
      <c r="N72" s="5">
        <v>0.6208</v>
      </c>
      <c r="O72" s="5">
        <v>0.03276</v>
      </c>
    </row>
    <row r="73">
      <c r="A73" s="12" t="str">
        <f>IFERROR(__xludf.DUMMYFUNCTION("""COMPUTED_VALUE"""),"Keron DeShields")</f>
        <v>Keron DeShields</v>
      </c>
      <c r="B73" s="13" t="str">
        <f>IFERROR(__xludf.DUMMYFUNCTION("""COMPUTED_VALUE"""),"RETH")</f>
        <v>RETH</v>
      </c>
      <c r="C73" s="14">
        <f>IFERROR(__xludf.DUMMYFUNCTION("""COMPUTED_VALUE"""),65.9)</f>
        <v>65.9</v>
      </c>
      <c r="D73" s="15">
        <f>IFERROR(__xludf.DUMMYFUNCTION("""COMPUTED_VALUE"""),0.45253411522605735)</f>
        <v>0.4525341152</v>
      </c>
      <c r="E73" s="15">
        <f>IFERROR(__xludf.DUMMYFUNCTION("""COMPUTED_VALUE"""),0.12084592867374955)</f>
        <v>0.1208459287</v>
      </c>
      <c r="F73" s="15">
        <f>IFERROR(__xludf.DUMMYFUNCTION("""COMPUTED_VALUE"""),0.5733800438998069)</f>
        <v>0.5733800439</v>
      </c>
      <c r="G73" s="17">
        <f>IFERROR(__xludf.DUMMYFUNCTION("""COMPUTED_VALUE"""),0.05105496567045299)</f>
        <v>0.05105496567</v>
      </c>
      <c r="H73" s="4"/>
      <c r="I73" s="5" t="s">
        <v>731</v>
      </c>
      <c r="J73" s="5" t="s">
        <v>671</v>
      </c>
      <c r="K73" s="5">
        <v>66.0</v>
      </c>
      <c r="L73" s="5">
        <v>0.49984</v>
      </c>
      <c r="M73" s="5">
        <v>0.07329</v>
      </c>
      <c r="N73" s="5">
        <v>0.57312</v>
      </c>
      <c r="O73" s="5">
        <v>0.05105</v>
      </c>
    </row>
    <row r="74">
      <c r="A74" s="18" t="str">
        <f>IFERROR(__xludf.DUMMYFUNCTION("""COMPUTED_VALUE"""),"Dimitrios Mavroeidis")</f>
        <v>Dimitrios Mavroeidis</v>
      </c>
      <c r="B74" s="19" t="str">
        <f>IFERROR(__xludf.DUMMYFUNCTION("""COMPUTED_VALUE"""),"ATH")</f>
        <v>ATH</v>
      </c>
      <c r="C74" s="20">
        <f>IFERROR(__xludf.DUMMYFUNCTION("""COMPUTED_VALUE"""),401.4)</f>
        <v>401.4</v>
      </c>
      <c r="D74" s="21">
        <f>IFERROR(__xludf.DUMMYFUNCTION("""COMPUTED_VALUE"""),0.7235309639409876)</f>
        <v>0.7235309639</v>
      </c>
      <c r="E74" s="21">
        <f>IFERROR(__xludf.DUMMYFUNCTION("""COMPUTED_VALUE"""),-0.17474755255890273)</f>
        <v>-0.1747475526</v>
      </c>
      <c r="F74" s="21">
        <f>IFERROR(__xludf.DUMMYFUNCTION("""COMPUTED_VALUE"""),0.5487834113820849)</f>
        <v>0.5487834114</v>
      </c>
      <c r="G74" s="23">
        <f>IFERROR(__xludf.DUMMYFUNCTION("""COMPUTED_VALUE"""),0.3253837017313968)</f>
        <v>0.3253837017</v>
      </c>
      <c r="H74" s="4"/>
      <c r="I74" s="5" t="s">
        <v>732</v>
      </c>
      <c r="J74" s="5" t="s">
        <v>648</v>
      </c>
      <c r="K74" s="5">
        <v>401.0</v>
      </c>
      <c r="L74" s="5">
        <v>1.39463</v>
      </c>
      <c r="M74" s="5">
        <v>-0.84495</v>
      </c>
      <c r="N74" s="5">
        <v>0.54969</v>
      </c>
      <c r="O74" s="5">
        <v>0.3255</v>
      </c>
    </row>
    <row r="75">
      <c r="A75" s="12" t="str">
        <f>IFERROR(__xludf.DUMMYFUNCTION("""COMPUTED_VALUE"""),"Zisis Sarikopoulos")</f>
        <v>Zisis Sarikopoulos</v>
      </c>
      <c r="B75" s="13" t="str">
        <f>IFERROR(__xludf.DUMMYFUNCTION("""COMPUTED_VALUE"""),"PAI")</f>
        <v>PAI</v>
      </c>
      <c r="C75" s="14">
        <f>IFERROR(__xludf.DUMMYFUNCTION("""COMPUTED_VALUE"""),541.2)</f>
        <v>541.2</v>
      </c>
      <c r="D75" s="15">
        <f>IFERROR(__xludf.DUMMYFUNCTION("""COMPUTED_VALUE"""),2.7180903784712176)</f>
        <v>2.718090378</v>
      </c>
      <c r="E75" s="15">
        <f>IFERROR(__xludf.DUMMYFUNCTION("""COMPUTED_VALUE"""),-2.1876692872858596)</f>
        <v>-2.187669287</v>
      </c>
      <c r="F75" s="15">
        <f>IFERROR(__xludf.DUMMYFUNCTION("""COMPUTED_VALUE"""),0.530421091185358)</f>
        <v>0.5304210912</v>
      </c>
      <c r="G75" s="17">
        <f>IFERROR(__xludf.DUMMYFUNCTION("""COMPUTED_VALUE"""),0.4161908707274924)</f>
        <v>0.4161908707</v>
      </c>
      <c r="H75" s="4"/>
      <c r="I75" s="5" t="s">
        <v>735</v>
      </c>
      <c r="J75" s="5" t="s">
        <v>639</v>
      </c>
      <c r="K75" s="5">
        <v>541.0</v>
      </c>
      <c r="L75" s="5">
        <v>1.49097</v>
      </c>
      <c r="M75" s="5">
        <v>-0.96051</v>
      </c>
      <c r="N75" s="5">
        <v>0.53046</v>
      </c>
      <c r="O75" s="5">
        <v>0.4162</v>
      </c>
    </row>
    <row r="76">
      <c r="A76" s="18" t="str">
        <f>IFERROR(__xludf.DUMMYFUNCTION("""COMPUTED_VALUE"""),"Zamal Nixon")</f>
        <v>Zamal Nixon</v>
      </c>
      <c r="B76" s="19" t="str">
        <f>IFERROR(__xludf.DUMMYFUNCTION("""COMPUTED_VALUE"""),"LAV")</f>
        <v>LAV</v>
      </c>
      <c r="C76" s="20">
        <f>IFERROR(__xludf.DUMMYFUNCTION("""COMPUTED_VALUE"""),701.0)</f>
        <v>701</v>
      </c>
      <c r="D76" s="21">
        <f>IFERROR(__xludf.DUMMYFUNCTION("""COMPUTED_VALUE"""),1.4187569928822836)</f>
        <v>1.418756993</v>
      </c>
      <c r="E76" s="21">
        <f>IFERROR(__xludf.DUMMYFUNCTION("""COMPUTED_VALUE"""),-0.9128380800947713)</f>
        <v>-0.9128380801</v>
      </c>
      <c r="F76" s="21">
        <f>IFERROR(__xludf.DUMMYFUNCTION("""COMPUTED_VALUE"""),0.5059189127875123)</f>
        <v>0.5059189128</v>
      </c>
      <c r="G76" s="23">
        <f>IFERROR(__xludf.DUMMYFUNCTION("""COMPUTED_VALUE"""),0.5307585075817641)</f>
        <v>0.5307585076</v>
      </c>
      <c r="H76" s="4"/>
      <c r="I76" s="5" t="s">
        <v>45</v>
      </c>
      <c r="J76" s="5" t="s">
        <v>19</v>
      </c>
      <c r="K76" s="5">
        <v>74.0</v>
      </c>
      <c r="L76" s="5">
        <v>0.64537</v>
      </c>
      <c r="M76" s="5">
        <v>-0.13651</v>
      </c>
      <c r="N76" s="5">
        <v>0.50887</v>
      </c>
      <c r="O76" s="5">
        <v>0.05599</v>
      </c>
    </row>
    <row r="77">
      <c r="A77" s="12" t="str">
        <f>IFERROR(__xludf.DUMMYFUNCTION("""COMPUTED_VALUE"""),"Giorgos Kalaitzakis")</f>
        <v>Giorgos Kalaitzakis</v>
      </c>
      <c r="B77" s="13" t="str">
        <f>IFERROR(__xludf.DUMMYFUNCTION("""COMPUTED_VALUE"""),"PAN")</f>
        <v>PAN</v>
      </c>
      <c r="C77" s="14">
        <f>IFERROR(__xludf.DUMMYFUNCTION("""COMPUTED_VALUE"""),112.3)</f>
        <v>112.3</v>
      </c>
      <c r="D77" s="15">
        <f>IFERROR(__xludf.DUMMYFUNCTION("""COMPUTED_VALUE"""),-1.7143360245649009)</f>
        <v>-1.714336025</v>
      </c>
      <c r="E77" s="15">
        <f>IFERROR(__xludf.DUMMYFUNCTION("""COMPUTED_VALUE"""),2.1840268123897983)</f>
        <v>2.184026812</v>
      </c>
      <c r="F77" s="15">
        <f>IFERROR(__xludf.DUMMYFUNCTION("""COMPUTED_VALUE"""),0.4696907878248976)</f>
        <v>0.4696907878</v>
      </c>
      <c r="G77" s="17">
        <f>IFERROR(__xludf.DUMMYFUNCTION("""COMPUTED_VALUE"""),0.08420360396381521)</f>
        <v>0.08420360396</v>
      </c>
      <c r="H77" s="4"/>
      <c r="I77" s="5" t="s">
        <v>738</v>
      </c>
      <c r="J77" s="5" t="s">
        <v>631</v>
      </c>
      <c r="K77" s="5">
        <v>701.0</v>
      </c>
      <c r="L77" s="5">
        <v>2.50108</v>
      </c>
      <c r="M77" s="5">
        <v>-1.99517</v>
      </c>
      <c r="N77" s="5">
        <v>0.50591</v>
      </c>
      <c r="O77" s="5">
        <v>0.53076</v>
      </c>
    </row>
    <row r="78">
      <c r="A78" s="18" t="str">
        <f>IFERROR(__xludf.DUMMYFUNCTION("""COMPUTED_VALUE"""),"Vasilis Charalambopoulos")</f>
        <v>Vasilis Charalambopoulos</v>
      </c>
      <c r="B78" s="19" t="str">
        <f>IFERROR(__xludf.DUMMYFUNCTION("""COMPUTED_VALUE"""),"PAOK")</f>
        <v>PAOK</v>
      </c>
      <c r="C78" s="20">
        <f>IFERROR(__xludf.DUMMYFUNCTION("""COMPUTED_VALUE"""),468.9)</f>
        <v>468.9</v>
      </c>
      <c r="D78" s="21">
        <f>IFERROR(__xludf.DUMMYFUNCTION("""COMPUTED_VALUE"""),-0.8436922633424635)</f>
        <v>-0.8436922633</v>
      </c>
      <c r="E78" s="21">
        <f>IFERROR(__xludf.DUMMYFUNCTION("""COMPUTED_VALUE"""),1.3031120481775087)</f>
        <v>1.303112048</v>
      </c>
      <c r="F78" s="21">
        <f>IFERROR(__xludf.DUMMYFUNCTION("""COMPUTED_VALUE"""),0.4594197848350452)</f>
        <v>0.4594197848</v>
      </c>
      <c r="G78" s="23">
        <f>IFERROR(__xludf.DUMMYFUNCTION("""COMPUTED_VALUE"""),0.3503965833007257)</f>
        <v>0.3503965833</v>
      </c>
      <c r="H78" s="4"/>
      <c r="I78" s="5" t="s">
        <v>740</v>
      </c>
      <c r="J78" s="5" t="s">
        <v>650</v>
      </c>
      <c r="K78" s="5">
        <v>87.0</v>
      </c>
      <c r="L78" s="5">
        <v>0.93289</v>
      </c>
      <c r="M78" s="5">
        <v>-0.4841</v>
      </c>
      <c r="N78" s="5">
        <v>0.44879</v>
      </c>
      <c r="O78" s="5">
        <v>0.06468</v>
      </c>
    </row>
    <row r="79">
      <c r="A79" s="12" t="str">
        <f>IFERROR(__xludf.DUMMYFUNCTION("""COMPUTED_VALUE"""),"Esian Henderson")</f>
        <v>Esian Henderson</v>
      </c>
      <c r="B79" s="13" t="str">
        <f>IFERROR(__xludf.DUMMYFUNCTION("""COMPUTED_VALUE"""),"PAI")</f>
        <v>PAI</v>
      </c>
      <c r="C79" s="14">
        <f>IFERROR(__xludf.DUMMYFUNCTION("""COMPUTED_VALUE"""),204.1)</f>
        <v>204.1</v>
      </c>
      <c r="D79" s="15">
        <f>IFERROR(__xludf.DUMMYFUNCTION("""COMPUTED_VALUE"""),1.6746080004279669)</f>
        <v>1.674608</v>
      </c>
      <c r="E79" s="15">
        <f>IFERROR(__xludf.DUMMYFUNCTION("""COMPUTED_VALUE"""),-1.2466048767968598)</f>
        <v>-1.246604877</v>
      </c>
      <c r="F79" s="15">
        <f>IFERROR(__xludf.DUMMYFUNCTION("""COMPUTED_VALUE"""),0.428003123631107)</f>
        <v>0.4280031236</v>
      </c>
      <c r="G79" s="17">
        <f>IFERROR(__xludf.DUMMYFUNCTION("""COMPUTED_VALUE"""),0.15060320309393221)</f>
        <v>0.1506032031</v>
      </c>
      <c r="H79" s="4"/>
      <c r="I79" s="5" t="s">
        <v>741</v>
      </c>
      <c r="J79" s="5" t="s">
        <v>639</v>
      </c>
      <c r="K79" s="5">
        <v>204.0</v>
      </c>
      <c r="L79" s="5">
        <v>0.83946</v>
      </c>
      <c r="M79" s="5">
        <v>-0.41167</v>
      </c>
      <c r="N79" s="5">
        <v>0.42779</v>
      </c>
      <c r="O79" s="5">
        <v>0.15059</v>
      </c>
    </row>
    <row r="80">
      <c r="A80" s="18" t="str">
        <f>IFERROR(__xludf.DUMMYFUNCTION("""COMPUTED_VALUE"""),"Dimitris Margelis")</f>
        <v>Dimitris Margelis</v>
      </c>
      <c r="B80" s="19" t="str">
        <f>IFERROR(__xludf.DUMMYFUNCTION("""COMPUTED_VALUE"""),"KYM")</f>
        <v>KYM</v>
      </c>
      <c r="C80" s="20">
        <f>IFERROR(__xludf.DUMMYFUNCTION("""COMPUTED_VALUE"""),5.8)</f>
        <v>5.8</v>
      </c>
      <c r="D80" s="21">
        <f>IFERROR(__xludf.DUMMYFUNCTION("""COMPUTED_VALUE"""),0.30664042189811413)</f>
        <v>0.3066404219</v>
      </c>
      <c r="E80" s="21">
        <f>IFERROR(__xludf.DUMMYFUNCTION("""COMPUTED_VALUE"""),0.10194631746555799)</f>
        <v>0.1019463175</v>
      </c>
      <c r="F80" s="21">
        <f>IFERROR(__xludf.DUMMYFUNCTION("""COMPUTED_VALUE"""),0.4085867393636721)</f>
        <v>0.4085867394</v>
      </c>
      <c r="G80" s="23">
        <f>IFERROR(__xludf.DUMMYFUNCTION("""COMPUTED_VALUE"""),0.004226182458271968)</f>
        <v>0.004226182458</v>
      </c>
      <c r="H80" s="4"/>
      <c r="I80" s="5" t="s">
        <v>743</v>
      </c>
      <c r="J80" s="5" t="s">
        <v>642</v>
      </c>
      <c r="K80" s="5">
        <v>6.0</v>
      </c>
      <c r="L80" s="5">
        <v>0.30498</v>
      </c>
      <c r="M80" s="5">
        <v>0.1036</v>
      </c>
      <c r="N80" s="5">
        <v>0.40858</v>
      </c>
      <c r="O80" s="5">
        <v>0.00423</v>
      </c>
    </row>
    <row r="81">
      <c r="A81" s="12" t="str">
        <f>IFERROR(__xludf.DUMMYFUNCTION("""COMPUTED_VALUE"""),"Kevin Dillard")</f>
        <v>Kevin Dillard</v>
      </c>
      <c r="B81" s="13" t="str">
        <f>IFERROR(__xludf.DUMMYFUNCTION("""COMPUTED_VALUE"""),"PAOK")</f>
        <v>PAOK</v>
      </c>
      <c r="C81" s="14">
        <f>IFERROR(__xludf.DUMMYFUNCTION("""COMPUTED_VALUE"""),87.0)</f>
        <v>87</v>
      </c>
      <c r="D81" s="15">
        <f>IFERROR(__xludf.DUMMYFUNCTION("""COMPUTED_VALUE"""),0.6704691022262474)</f>
        <v>0.6704691022</v>
      </c>
      <c r="E81" s="15">
        <f>IFERROR(__xludf.DUMMYFUNCTION("""COMPUTED_VALUE"""),-0.3026262086494586)</f>
        <v>-0.3026262086</v>
      </c>
      <c r="F81" s="15">
        <f>IFERROR(__xludf.DUMMYFUNCTION("""COMPUTED_VALUE"""),0.36784289357678884)</f>
        <v>0.3678428936</v>
      </c>
      <c r="G81" s="17">
        <f>IFERROR(__xludf.DUMMYFUNCTION("""COMPUTED_VALUE"""),0.06259203963379015)</f>
        <v>0.06259203963</v>
      </c>
      <c r="H81" s="4"/>
      <c r="I81" s="5" t="s">
        <v>745</v>
      </c>
      <c r="J81" s="5" t="s">
        <v>648</v>
      </c>
      <c r="K81" s="5">
        <v>159.0</v>
      </c>
      <c r="L81" s="5">
        <v>-1.04279</v>
      </c>
      <c r="M81" s="5">
        <v>1.38412</v>
      </c>
      <c r="N81" s="5">
        <v>0.34133</v>
      </c>
      <c r="O81" s="5">
        <v>0.1187</v>
      </c>
    </row>
    <row r="82">
      <c r="A82" s="18" t="str">
        <f>IFERROR(__xludf.DUMMYFUNCTION("""COMPUTED_VALUE"""),"Chinemelu Elonu")</f>
        <v>Chinemelu Elonu</v>
      </c>
      <c r="B82" s="19" t="str">
        <f>IFERROR(__xludf.DUMMYFUNCTION("""COMPUTED_VALUE"""),"ATH")</f>
        <v>ATH</v>
      </c>
      <c r="C82" s="20">
        <f>IFERROR(__xludf.DUMMYFUNCTION("""COMPUTED_VALUE"""),159.4)</f>
        <v>159.4</v>
      </c>
      <c r="D82" s="21">
        <f>IFERROR(__xludf.DUMMYFUNCTION("""COMPUTED_VALUE"""),-1.3986198160121757)</f>
        <v>-1.398619816</v>
      </c>
      <c r="E82" s="21">
        <f>IFERROR(__xludf.DUMMYFUNCTION("""COMPUTED_VALUE"""),1.740086166191348)</f>
        <v>1.740086166</v>
      </c>
      <c r="F82" s="21">
        <f>IFERROR(__xludf.DUMMYFUNCTION("""COMPUTED_VALUE"""),0.3414663501791725)</f>
        <v>0.3414663502</v>
      </c>
      <c r="G82" s="23">
        <f>IFERROR(__xludf.DUMMYFUNCTION("""COMPUTED_VALUE"""),0.11870301048041362)</f>
        <v>0.1187030105</v>
      </c>
      <c r="H82" s="4"/>
      <c r="I82" s="5" t="s">
        <v>747</v>
      </c>
      <c r="J82" s="5" t="s">
        <v>650</v>
      </c>
      <c r="K82" s="5">
        <v>663.0</v>
      </c>
      <c r="L82" s="5">
        <v>-0.85871</v>
      </c>
      <c r="M82" s="5">
        <v>1.13704</v>
      </c>
      <c r="N82" s="5">
        <v>0.27833</v>
      </c>
      <c r="O82" s="5">
        <v>0.45863</v>
      </c>
    </row>
    <row r="83">
      <c r="A83" s="12" t="str">
        <f>IFERROR(__xludf.DUMMYFUNCTION("""COMPUTED_VALUE"""),"Andreas Tsoumanis")</f>
        <v>Andreas Tsoumanis</v>
      </c>
      <c r="B83" s="13" t="str">
        <f>IFERROR(__xludf.DUMMYFUNCTION("""COMPUTED_VALUE"""),"OLY")</f>
        <v>OLY</v>
      </c>
      <c r="C83" s="14">
        <f>IFERROR(__xludf.DUMMYFUNCTION("""COMPUTED_VALUE"""),12.6)</f>
        <v>12.6</v>
      </c>
      <c r="D83" s="15">
        <f>IFERROR(__xludf.DUMMYFUNCTION("""COMPUTED_VALUE"""),0.09632463090342844)</f>
        <v>0.0963246309</v>
      </c>
      <c r="E83" s="15">
        <f>IFERROR(__xludf.DUMMYFUNCTION("""COMPUTED_VALUE"""),0.11176048529596988)</f>
        <v>0.1117604853</v>
      </c>
      <c r="F83" s="15">
        <f>IFERROR(__xludf.DUMMYFUNCTION("""COMPUTED_VALUE"""),0.20808511619939832)</f>
        <v>0.2080851162</v>
      </c>
      <c r="G83" s="17">
        <f>IFERROR(__xludf.DUMMYFUNCTION("""COMPUTED_VALUE"""),0.008488880653008294)</f>
        <v>0.008488880653</v>
      </c>
      <c r="H83" s="4"/>
      <c r="I83" s="5" t="s">
        <v>749</v>
      </c>
      <c r="J83" s="5" t="s">
        <v>650</v>
      </c>
      <c r="K83" s="5">
        <v>489.0</v>
      </c>
      <c r="L83" s="5">
        <v>-0.55436</v>
      </c>
      <c r="M83" s="5">
        <v>0.79998</v>
      </c>
      <c r="N83" s="5">
        <v>0.24562</v>
      </c>
      <c r="O83" s="5">
        <v>0.33368</v>
      </c>
    </row>
    <row r="84">
      <c r="A84" s="18" t="str">
        <f>IFERROR(__xludf.DUMMYFUNCTION("""COMPUTED_VALUE"""),"Brandon Triche")</f>
        <v>Brandon Triche</v>
      </c>
      <c r="B84" s="19" t="str">
        <f>IFERROR(__xludf.DUMMYFUNCTION("""COMPUTED_VALUE"""),"PAOK")</f>
        <v>PAOK</v>
      </c>
      <c r="C84" s="20">
        <f>IFERROR(__xludf.DUMMYFUNCTION("""COMPUTED_VALUE"""),106.4)</f>
        <v>106.4</v>
      </c>
      <c r="D84" s="21">
        <f>IFERROR(__xludf.DUMMYFUNCTION("""COMPUTED_VALUE"""),-0.38800710162930035)</f>
        <v>-0.3880071016</v>
      </c>
      <c r="E84" s="21">
        <f>IFERROR(__xludf.DUMMYFUNCTION("""COMPUTED_VALUE"""),0.4857380374757005)</f>
        <v>0.4857380375</v>
      </c>
      <c r="F84" s="21">
        <f>IFERROR(__xludf.DUMMYFUNCTION("""COMPUTED_VALUE"""),0.09773093584640014)</f>
        <v>0.09773093585</v>
      </c>
      <c r="G84" s="23">
        <f>IFERROR(__xludf.DUMMYFUNCTION("""COMPUTED_VALUE"""),0.06781696944926364)</f>
        <v>0.06781696945</v>
      </c>
      <c r="H84" s="4"/>
      <c r="I84" s="5" t="s">
        <v>750</v>
      </c>
      <c r="J84" s="5" t="s">
        <v>30</v>
      </c>
      <c r="K84" s="5">
        <v>13.0</v>
      </c>
      <c r="L84" s="5">
        <v>0.22514</v>
      </c>
      <c r="M84" s="5">
        <v>0.01089</v>
      </c>
      <c r="N84" s="5">
        <v>0.23603</v>
      </c>
      <c r="O84" s="5">
        <v>0.0086</v>
      </c>
    </row>
    <row r="85">
      <c r="A85" s="12" t="str">
        <f>IFERROR(__xludf.DUMMYFUNCTION("""COMPUTED_VALUE"""),"Angelos Ioannis Dragatis")</f>
        <v>Angelos Ioannis Dragatis</v>
      </c>
      <c r="B85" s="13" t="str">
        <f>IFERROR(__xludf.DUMMYFUNCTION("""COMPUTED_VALUE"""),"RETH")</f>
        <v>RETH</v>
      </c>
      <c r="C85" s="14">
        <f>IFERROR(__xludf.DUMMYFUNCTION("""COMPUTED_VALUE"""),22.9)</f>
        <v>22.9</v>
      </c>
      <c r="D85" s="15">
        <f>IFERROR(__xludf.DUMMYFUNCTION("""COMPUTED_VALUE"""),-0.1505093800559449)</f>
        <v>-0.1505093801</v>
      </c>
      <c r="E85" s="15">
        <f>IFERROR(__xludf.DUMMYFUNCTION("""COMPUTED_VALUE"""),0.23319936457285895)</f>
        <v>0.2331993646</v>
      </c>
      <c r="F85" s="15">
        <f>IFERROR(__xludf.DUMMYFUNCTION("""COMPUTED_VALUE"""),0.08268998451691403)</f>
        <v>0.08268998452</v>
      </c>
      <c r="G85" s="17">
        <f>IFERROR(__xludf.DUMMYFUNCTION("""COMPUTED_VALUE"""),0.014358489536897664)</f>
        <v>0.01435848954</v>
      </c>
      <c r="H85" s="4"/>
      <c r="I85" s="5" t="s">
        <v>753</v>
      </c>
      <c r="J85" s="5" t="s">
        <v>660</v>
      </c>
      <c r="K85" s="5">
        <v>532.0</v>
      </c>
      <c r="L85" s="5">
        <v>1.41433</v>
      </c>
      <c r="M85" s="5">
        <v>-1.20178</v>
      </c>
      <c r="N85" s="5">
        <v>0.21255</v>
      </c>
      <c r="O85" s="5">
        <v>0.35943</v>
      </c>
    </row>
    <row r="86">
      <c r="A86" s="18" t="str">
        <f>IFERROR(__xludf.DUMMYFUNCTION("""COMPUTED_VALUE"""),"Kevin Punter")</f>
        <v>Kevin Punter</v>
      </c>
      <c r="B86" s="19" t="str">
        <f>IFERROR(__xludf.DUMMYFUNCTION("""COMPUTED_VALUE"""),"ATH")</f>
        <v>ATH</v>
      </c>
      <c r="C86" s="20">
        <f>IFERROR(__xludf.DUMMYFUNCTION("""COMPUTED_VALUE"""),254.6)</f>
        <v>254.6</v>
      </c>
      <c r="D86" s="21">
        <f>IFERROR(__xludf.DUMMYFUNCTION("""COMPUTED_VALUE"""),0.9669998906836031)</f>
        <v>0.9669998907</v>
      </c>
      <c r="E86" s="21">
        <f>IFERROR(__xludf.DUMMYFUNCTION("""COMPUTED_VALUE"""),-0.9825778742304714)</f>
        <v>-0.9825778742</v>
      </c>
      <c r="F86" s="21">
        <f>IFERROR(__xludf.DUMMYFUNCTION("""COMPUTED_VALUE"""),-0.015577983546868254)</f>
        <v>-0.01557798355</v>
      </c>
      <c r="G86" s="23">
        <f>IFERROR(__xludf.DUMMYFUNCTION("""COMPUTED_VALUE"""),0.16068595994491375)</f>
        <v>0.1606859599</v>
      </c>
      <c r="H86" s="4"/>
      <c r="I86" s="5" t="s">
        <v>754</v>
      </c>
      <c r="J86" s="5" t="s">
        <v>650</v>
      </c>
      <c r="K86" s="5">
        <v>106.0</v>
      </c>
      <c r="L86" s="5">
        <v>-0.06738</v>
      </c>
      <c r="M86" s="5">
        <v>0.2638</v>
      </c>
      <c r="N86" s="5">
        <v>0.19641</v>
      </c>
      <c r="O86" s="5">
        <v>0.07096</v>
      </c>
    </row>
    <row r="87">
      <c r="A87" s="12" t="str">
        <f>IFERROR(__xludf.DUMMYFUNCTION("""COMPUTED_VALUE"""),"Boris Dallo")</f>
        <v>Boris Dallo</v>
      </c>
      <c r="B87" s="13" t="str">
        <f>IFERROR(__xludf.DUMMYFUNCTION("""COMPUTED_VALUE"""),"PAI")</f>
        <v>PAI</v>
      </c>
      <c r="C87" s="14">
        <f>IFERROR(__xludf.DUMMYFUNCTION("""COMPUTED_VALUE"""),618.7)</f>
        <v>618.7</v>
      </c>
      <c r="D87" s="15">
        <f>IFERROR(__xludf.DUMMYFUNCTION("""COMPUTED_VALUE"""),0.03667950515046947)</f>
        <v>0.03667950515</v>
      </c>
      <c r="E87" s="15">
        <f>IFERROR(__xludf.DUMMYFUNCTION("""COMPUTED_VALUE"""),-0.056890647568919595)</f>
        <v>-0.05689064757</v>
      </c>
      <c r="F87" s="15">
        <f>IFERROR(__xludf.DUMMYFUNCTION("""COMPUTED_VALUE"""),-0.020211142418450123)</f>
        <v>-0.02021114242</v>
      </c>
      <c r="G87" s="17">
        <f>IFERROR(__xludf.DUMMYFUNCTION("""COMPUTED_VALUE"""),0.37225535556787676)</f>
        <v>0.3722553556</v>
      </c>
      <c r="H87" s="4"/>
      <c r="I87" s="5" t="s">
        <v>755</v>
      </c>
      <c r="J87" s="5" t="s">
        <v>650</v>
      </c>
      <c r="K87" s="5">
        <v>401.0</v>
      </c>
      <c r="L87" s="5">
        <v>-0.73904</v>
      </c>
      <c r="M87" s="5">
        <v>0.82417</v>
      </c>
      <c r="N87" s="5">
        <v>0.08513</v>
      </c>
      <c r="O87" s="5">
        <v>0.25355</v>
      </c>
    </row>
    <row r="88">
      <c r="A88" s="18" t="str">
        <f>IFERROR(__xludf.DUMMYFUNCTION("""COMPUTED_VALUE"""),"Giannis Dimakopoulos")</f>
        <v>Giannis Dimakopoulos</v>
      </c>
      <c r="B88" s="19" t="str">
        <f>IFERROR(__xludf.DUMMYFUNCTION("""COMPUTED_VALUE"""),"PAI")</f>
        <v>PAI</v>
      </c>
      <c r="C88" s="20">
        <f>IFERROR(__xludf.DUMMYFUNCTION("""COMPUTED_VALUE"""),2.9)</f>
        <v>2.9</v>
      </c>
      <c r="D88" s="21">
        <f>IFERROR(__xludf.DUMMYFUNCTION("""COMPUTED_VALUE"""),0.08582180275429371)</f>
        <v>0.08582180275</v>
      </c>
      <c r="E88" s="21">
        <f>IFERROR(__xludf.DUMMYFUNCTION("""COMPUTED_VALUE"""),-0.10773690494803713)</f>
        <v>-0.1077369049</v>
      </c>
      <c r="F88" s="21">
        <f>IFERROR(__xludf.DUMMYFUNCTION("""COMPUTED_VALUE"""),-0.021915102193743412)</f>
        <v>-0.02191510219</v>
      </c>
      <c r="G88" s="23">
        <f>IFERROR(__xludf.DUMMYFUNCTION("""COMPUTED_VALUE"""),0.0017433512120149251)</f>
        <v>0.001743351212</v>
      </c>
      <c r="H88" s="4"/>
      <c r="I88" s="5" t="s">
        <v>757</v>
      </c>
      <c r="J88" s="5" t="s">
        <v>671</v>
      </c>
      <c r="K88" s="5">
        <v>23.0</v>
      </c>
      <c r="L88" s="5">
        <v>-0.13425</v>
      </c>
      <c r="M88" s="5">
        <v>0.21671</v>
      </c>
      <c r="N88" s="5">
        <v>0.08245</v>
      </c>
      <c r="O88" s="5">
        <v>0.01436</v>
      </c>
    </row>
    <row r="89">
      <c r="A89" s="12" t="str">
        <f>IFERROR(__xludf.DUMMYFUNCTION("""COMPUTED_VALUE"""),"Langston Hall")</f>
        <v>Langston Hall</v>
      </c>
      <c r="B89" s="13" t="str">
        <f>IFERROR(__xludf.DUMMYFUNCTION("""COMPUTED_VALUE"""),"PROM")</f>
        <v>PROM</v>
      </c>
      <c r="C89" s="14">
        <f>IFERROR(__xludf.DUMMYFUNCTION("""COMPUTED_VALUE"""),682.7)</f>
        <v>682.7</v>
      </c>
      <c r="D89" s="15">
        <f>IFERROR(__xludf.DUMMYFUNCTION("""COMPUTED_VALUE"""),1.9667401416661021)</f>
        <v>1.966740142</v>
      </c>
      <c r="E89" s="15">
        <f>IFERROR(__xludf.DUMMYFUNCTION("""COMPUTED_VALUE"""),-2.0249642423743768)</f>
        <v>-2.024964242</v>
      </c>
      <c r="F89" s="15">
        <f>IFERROR(__xludf.DUMMYFUNCTION("""COMPUTED_VALUE"""),-0.05822410070827458)</f>
        <v>-0.05822410071</v>
      </c>
      <c r="G89" s="17">
        <f>IFERROR(__xludf.DUMMYFUNCTION("""COMPUTED_VALUE"""),0.4048583037167938)</f>
        <v>0.4048583037</v>
      </c>
      <c r="H89" s="4"/>
      <c r="I89" s="5" t="s">
        <v>759</v>
      </c>
      <c r="J89" s="5" t="s">
        <v>30</v>
      </c>
      <c r="K89" s="5">
        <v>54.0</v>
      </c>
      <c r="L89" s="5">
        <v>-0.23782</v>
      </c>
      <c r="M89" s="5">
        <v>0.2915</v>
      </c>
      <c r="N89" s="5">
        <v>0.05368</v>
      </c>
      <c r="O89" s="5">
        <v>0.03366</v>
      </c>
    </row>
    <row r="90">
      <c r="A90" s="18" t="str">
        <f>IFERROR(__xludf.DUMMYFUNCTION("""COMPUTED_VALUE"""),"Nikos Arsenopoulos")</f>
        <v>Nikos Arsenopoulos</v>
      </c>
      <c r="B90" s="19" t="str">
        <f>IFERROR(__xludf.DUMMYFUNCTION("""COMPUTED_VALUE"""),"OLY")</f>
        <v>OLY</v>
      </c>
      <c r="C90" s="20">
        <f>IFERROR(__xludf.DUMMYFUNCTION("""COMPUTED_VALUE"""),53.7)</f>
        <v>53.7</v>
      </c>
      <c r="D90" s="21">
        <f>IFERROR(__xludf.DUMMYFUNCTION("""COMPUTED_VALUE"""),-0.7911688241156541)</f>
        <v>-0.7911688241</v>
      </c>
      <c r="E90" s="21">
        <f>IFERROR(__xludf.DUMMYFUNCTION("""COMPUTED_VALUE"""),0.7209832695703617)</f>
        <v>0.7209832696</v>
      </c>
      <c r="F90" s="21">
        <f>IFERROR(__xludf.DUMMYFUNCTION("""COMPUTED_VALUE"""),-0.0701855545452924)</f>
        <v>-0.07018555455</v>
      </c>
      <c r="G90" s="23">
        <f>IFERROR(__xludf.DUMMYFUNCTION("""COMPUTED_VALUE"""),0.031619420846575125)</f>
        <v>0.03161942085</v>
      </c>
      <c r="H90" s="4"/>
      <c r="I90" s="5" t="s">
        <v>761</v>
      </c>
      <c r="J90" s="5" t="s">
        <v>648</v>
      </c>
      <c r="K90" s="5">
        <v>255.0</v>
      </c>
      <c r="L90" s="5">
        <v>1.53812</v>
      </c>
      <c r="M90" s="5">
        <v>-1.55163</v>
      </c>
      <c r="N90" s="5">
        <v>-0.01351</v>
      </c>
      <c r="O90" s="5">
        <v>0.16085</v>
      </c>
    </row>
    <row r="91">
      <c r="A91" s="12" t="str">
        <f>IFERROR(__xludf.DUMMYFUNCTION("""COMPUTED_VALUE"""),"Bubu Palo")</f>
        <v>Bubu Palo</v>
      </c>
      <c r="B91" s="13" t="str">
        <f>IFERROR(__xludf.DUMMYFUNCTION("""COMPUTED_VALUE"""),"PROM")</f>
        <v>PROM</v>
      </c>
      <c r="C91" s="14">
        <f>IFERROR(__xludf.DUMMYFUNCTION("""COMPUTED_VALUE"""),2.6)</f>
        <v>2.6</v>
      </c>
      <c r="D91" s="15">
        <f>IFERROR(__xludf.DUMMYFUNCTION("""COMPUTED_VALUE"""),-0.09352956036726884)</f>
        <v>-0.09352956037</v>
      </c>
      <c r="E91" s="15">
        <f>IFERROR(__xludf.DUMMYFUNCTION("""COMPUTED_VALUE"""),-0.017312798720336725)</f>
        <v>-0.01731279872</v>
      </c>
      <c r="F91" s="15">
        <f>IFERROR(__xludf.DUMMYFUNCTION("""COMPUTED_VALUE"""),-0.11084235908760556)</f>
        <v>-0.1108423591</v>
      </c>
      <c r="G91" s="17">
        <f>IFERROR(__xludf.DUMMYFUNCTION("""COMPUTED_VALUE"""),0.0015000840349828567)</f>
        <v>0.001500084035</v>
      </c>
      <c r="H91" s="4"/>
      <c r="I91" s="5" t="s">
        <v>762</v>
      </c>
      <c r="J91" s="5" t="s">
        <v>639</v>
      </c>
      <c r="K91" s="5">
        <v>619.0</v>
      </c>
      <c r="L91" s="5">
        <v>-1.19218</v>
      </c>
      <c r="M91" s="5">
        <v>1.17058</v>
      </c>
      <c r="N91" s="5">
        <v>-0.0216</v>
      </c>
      <c r="O91" s="5">
        <v>0.37199</v>
      </c>
    </row>
    <row r="92">
      <c r="A92" s="18" t="str">
        <f>IFERROR(__xludf.DUMMYFUNCTION("""COMPUTED_VALUE"""),"Shaquille Hines")</f>
        <v>Shaquille Hines</v>
      </c>
      <c r="B92" s="19" t="str">
        <f>IFERROR(__xludf.DUMMYFUNCTION("""COMPUTED_VALUE"""),"AMA")</f>
        <v>AMA</v>
      </c>
      <c r="C92" s="20">
        <f>IFERROR(__xludf.DUMMYFUNCTION("""COMPUTED_VALUE"""),681.1)</f>
        <v>681.1</v>
      </c>
      <c r="D92" s="21">
        <f>IFERROR(__xludf.DUMMYFUNCTION("""COMPUTED_VALUE"""),2.8092242565367043)</f>
        <v>2.809224257</v>
      </c>
      <c r="E92" s="21">
        <f>IFERROR(__xludf.DUMMYFUNCTION("""COMPUTED_VALUE"""),-2.9301790826334826)</f>
        <v>-2.930179083</v>
      </c>
      <c r="F92" s="21">
        <f>IFERROR(__xludf.DUMMYFUNCTION("""COMPUTED_VALUE"""),-0.12095482609677832)</f>
        <v>-0.1209548261</v>
      </c>
      <c r="G92" s="23">
        <f>IFERROR(__xludf.DUMMYFUNCTION("""COMPUTED_VALUE"""),0.384844890116018)</f>
        <v>0.3848448901</v>
      </c>
      <c r="H92" s="4"/>
      <c r="I92" s="5" t="s">
        <v>763</v>
      </c>
      <c r="J92" s="5" t="s">
        <v>639</v>
      </c>
      <c r="K92" s="5">
        <v>3.0</v>
      </c>
      <c r="L92" s="5">
        <v>0.07399</v>
      </c>
      <c r="M92" s="5">
        <v>-0.09588</v>
      </c>
      <c r="N92" s="5">
        <v>-0.02189</v>
      </c>
      <c r="O92" s="5">
        <v>0.00174</v>
      </c>
    </row>
    <row r="93">
      <c r="A93" s="12" t="str">
        <f>IFERROR(__xludf.DUMMYFUNCTION("""COMPUTED_VALUE"""),"Sakis Tataris")</f>
        <v>Sakis Tataris</v>
      </c>
      <c r="B93" s="13" t="str">
        <f>IFERROR(__xludf.DUMMYFUNCTION("""COMPUTED_VALUE"""),"ARI")</f>
        <v>ARI</v>
      </c>
      <c r="C93" s="14">
        <f>IFERROR(__xludf.DUMMYFUNCTION("""COMPUTED_VALUE"""),7.8)</f>
        <v>7.8</v>
      </c>
      <c r="D93" s="15">
        <f>IFERROR(__xludf.DUMMYFUNCTION("""COMPUTED_VALUE"""),-0.18131518968872976)</f>
        <v>-0.1813151897</v>
      </c>
      <c r="E93" s="15">
        <f>IFERROR(__xludf.DUMMYFUNCTION("""COMPUTED_VALUE"""),0.04385774269551665)</f>
        <v>0.0438577427</v>
      </c>
      <c r="F93" s="15">
        <f>IFERROR(__xludf.DUMMYFUNCTION("""COMPUTED_VALUE"""),-0.1374574469932131)</f>
        <v>-0.137457447</v>
      </c>
      <c r="G93" s="17">
        <f>IFERROR(__xludf.DUMMYFUNCTION("""COMPUTED_VALUE"""),0.009122188129188774)</f>
        <v>0.009122188129</v>
      </c>
      <c r="H93" s="4"/>
      <c r="I93" s="5" t="s">
        <v>764</v>
      </c>
      <c r="J93" s="5" t="s">
        <v>660</v>
      </c>
      <c r="K93" s="5">
        <v>3.0</v>
      </c>
      <c r="L93" s="5">
        <v>-0.08774</v>
      </c>
      <c r="M93" s="5">
        <v>-0.01504</v>
      </c>
      <c r="N93" s="5">
        <v>-0.10278</v>
      </c>
      <c r="O93" s="5">
        <v>0.00151</v>
      </c>
    </row>
    <row r="94">
      <c r="A94" s="18" t="str">
        <f>IFERROR(__xludf.DUMMYFUNCTION("""COMPUTED_VALUE"""),"Michalis Kamperidis")</f>
        <v>Michalis Kamperidis</v>
      </c>
      <c r="B94" s="19" t="str">
        <f>IFERROR(__xludf.DUMMYFUNCTION("""COMPUTED_VALUE"""),"ATH")</f>
        <v>ATH</v>
      </c>
      <c r="C94" s="20">
        <f>IFERROR(__xludf.DUMMYFUNCTION("""COMPUTED_VALUE"""),7.3)</f>
        <v>7.3</v>
      </c>
      <c r="D94" s="21">
        <f>IFERROR(__xludf.DUMMYFUNCTION("""COMPUTED_VALUE"""),-0.11372611937797629)</f>
        <v>-0.1137261194</v>
      </c>
      <c r="E94" s="21">
        <f>IFERROR(__xludf.DUMMYFUNCTION("""COMPUTED_VALUE"""),-0.03332193314083774)</f>
        <v>-0.03332193314</v>
      </c>
      <c r="F94" s="21">
        <f>IFERROR(__xludf.DUMMYFUNCTION("""COMPUTED_VALUE"""),-0.14704805251881403)</f>
        <v>-0.1470480525</v>
      </c>
      <c r="G94" s="23">
        <f>IFERROR(__xludf.DUMMYFUNCTION("""COMPUTED_VALUE"""),0.004302020867070337)</f>
        <v>0.004302020867</v>
      </c>
      <c r="H94" s="4"/>
      <c r="I94" s="5" t="s">
        <v>766</v>
      </c>
      <c r="J94" s="5" t="s">
        <v>704</v>
      </c>
      <c r="K94" s="5">
        <v>681.0</v>
      </c>
      <c r="L94" s="5">
        <v>0.33626</v>
      </c>
      <c r="M94" s="5">
        <v>-0.45736</v>
      </c>
      <c r="N94" s="5">
        <v>-0.12109</v>
      </c>
      <c r="O94" s="5">
        <v>0.38482</v>
      </c>
    </row>
    <row r="95">
      <c r="A95" s="12" t="str">
        <f>IFERROR(__xludf.DUMMYFUNCTION("""COMPUTED_VALUE"""),"Dimitris Ermidis")</f>
        <v>Dimitris Ermidis</v>
      </c>
      <c r="B95" s="13" t="str">
        <f>IFERROR(__xludf.DUMMYFUNCTION("""COMPUTED_VALUE"""),"PROM")</f>
        <v>PROM</v>
      </c>
      <c r="C95" s="14">
        <f>IFERROR(__xludf.DUMMYFUNCTION("""COMPUTED_VALUE"""),1.0)</f>
        <v>1</v>
      </c>
      <c r="D95" s="15">
        <f>IFERROR(__xludf.DUMMYFUNCTION("""COMPUTED_VALUE"""),-0.12563393074215926)</f>
        <v>-0.1256339307</v>
      </c>
      <c r="E95" s="15">
        <f>IFERROR(__xludf.DUMMYFUNCTION("""COMPUTED_VALUE"""),-0.04126179300289087)</f>
        <v>-0.041261793</v>
      </c>
      <c r="F95" s="15">
        <f>IFERROR(__xludf.DUMMYFUNCTION("""COMPUTED_VALUE"""),-0.16689572374505013)</f>
        <v>-0.1668957237</v>
      </c>
      <c r="G95" s="17">
        <f>IFERROR(__xludf.DUMMYFUNCTION("""COMPUTED_VALUE"""),5.598365030566249E-4)</f>
        <v>0.0005598365031</v>
      </c>
      <c r="H95" s="4"/>
      <c r="I95" s="5" t="s">
        <v>767</v>
      </c>
      <c r="J95" s="5" t="s">
        <v>677</v>
      </c>
      <c r="K95" s="5">
        <v>8.0</v>
      </c>
      <c r="L95" s="5">
        <v>-0.2508</v>
      </c>
      <c r="M95" s="5">
        <v>0.11338</v>
      </c>
      <c r="N95" s="5">
        <v>-0.13742</v>
      </c>
      <c r="O95" s="5">
        <v>0.00912</v>
      </c>
    </row>
    <row r="96">
      <c r="A96" s="18" t="str">
        <f>IFERROR(__xludf.DUMMYFUNCTION("""COMPUTED_VALUE"""),"Panagiotis Gatzios")</f>
        <v>Panagiotis Gatzios</v>
      </c>
      <c r="B96" s="19" t="str">
        <f>IFERROR(__xludf.DUMMYFUNCTION("""COMPUTED_VALUE"""),"PROM")</f>
        <v>PROM</v>
      </c>
      <c r="C96" s="20">
        <f>IFERROR(__xludf.DUMMYFUNCTION("""COMPUTED_VALUE"""),2.5)</f>
        <v>2.5</v>
      </c>
      <c r="D96" s="21">
        <f>IFERROR(__xludf.DUMMYFUNCTION("""COMPUTED_VALUE"""),-0.14618667960971812)</f>
        <v>-0.1461866796</v>
      </c>
      <c r="E96" s="21">
        <f>IFERROR(__xludf.DUMMYFUNCTION("""COMPUTED_VALUE"""),-0.03782678829687758)</f>
        <v>-0.0378267883</v>
      </c>
      <c r="F96" s="21">
        <f>IFERROR(__xludf.DUMMYFUNCTION("""COMPUTED_VALUE"""),-0.1840134679065957)</f>
        <v>-0.1840134679</v>
      </c>
      <c r="G96" s="23">
        <f>IFERROR(__xludf.DUMMYFUNCTION("""COMPUTED_VALUE"""),0.0013865217092315883)</f>
        <v>0.001386521709</v>
      </c>
      <c r="H96" s="4"/>
      <c r="I96" s="5" t="s">
        <v>769</v>
      </c>
      <c r="J96" s="5" t="s">
        <v>648</v>
      </c>
      <c r="K96" s="5">
        <v>7.0</v>
      </c>
      <c r="L96" s="5">
        <v>-0.09763</v>
      </c>
      <c r="M96" s="5">
        <v>-0.04959</v>
      </c>
      <c r="N96" s="5">
        <v>-0.14722</v>
      </c>
      <c r="O96" s="5">
        <v>0.0043</v>
      </c>
    </row>
    <row r="97">
      <c r="A97" s="12" t="str">
        <f>IFERROR(__xludf.DUMMYFUNCTION("""COMPUTED_VALUE"""),"Dimitris Karamanolis")</f>
        <v>Dimitris Karamanolis</v>
      </c>
      <c r="B97" s="13" t="str">
        <f>IFERROR(__xludf.DUMMYFUNCTION("""COMPUTED_VALUE"""),"PAOK")</f>
        <v>PAOK</v>
      </c>
      <c r="C97" s="14">
        <f>IFERROR(__xludf.DUMMYFUNCTION("""COMPUTED_VALUE"""),10.6)</f>
        <v>10.6</v>
      </c>
      <c r="D97" s="15">
        <f>IFERROR(__xludf.DUMMYFUNCTION("""COMPUTED_VALUE"""),-0.043478226134650085)</f>
        <v>-0.04347822613</v>
      </c>
      <c r="E97" s="15">
        <f>IFERROR(__xludf.DUMMYFUNCTION("""COMPUTED_VALUE"""),-0.15102325528534544)</f>
        <v>-0.1510232553</v>
      </c>
      <c r="F97" s="15">
        <f>IFERROR(__xludf.DUMMYFUNCTION("""COMPUTED_VALUE"""),-0.19450148141999551)</f>
        <v>-0.1945014814</v>
      </c>
      <c r="G97" s="17">
        <f>IFERROR(__xludf.DUMMYFUNCTION("""COMPUTED_VALUE"""),0.0058150033502647495)</f>
        <v>0.00581500335</v>
      </c>
      <c r="H97" s="4"/>
      <c r="I97" s="5" t="s">
        <v>770</v>
      </c>
      <c r="J97" s="5" t="s">
        <v>660</v>
      </c>
      <c r="K97" s="5">
        <v>1.0</v>
      </c>
      <c r="L97" s="5">
        <v>-0.1259</v>
      </c>
      <c r="M97" s="5">
        <v>-0.04049</v>
      </c>
      <c r="N97" s="5">
        <v>-0.16639</v>
      </c>
      <c r="O97" s="5">
        <v>5.6E-4</v>
      </c>
    </row>
    <row r="98">
      <c r="A98" s="18" t="str">
        <f>IFERROR(__xludf.DUMMYFUNCTION("""COMPUTED_VALUE"""),"Kostas Vasiliadis")</f>
        <v>Kostas Vasiliadis</v>
      </c>
      <c r="B98" s="19" t="str">
        <f>IFERROR(__xludf.DUMMYFUNCTION("""COMPUTED_VALUE"""),"ARI")</f>
        <v>ARI</v>
      </c>
      <c r="C98" s="20">
        <f>IFERROR(__xludf.DUMMYFUNCTION("""COMPUTED_VALUE"""),141.7)</f>
        <v>141.7</v>
      </c>
      <c r="D98" s="21">
        <f>IFERROR(__xludf.DUMMYFUNCTION("""COMPUTED_VALUE"""),2.3824830102163506)</f>
        <v>2.38248301</v>
      </c>
      <c r="E98" s="21">
        <f>IFERROR(__xludf.DUMMYFUNCTION("""COMPUTED_VALUE"""),-2.6322085946344793)</f>
        <v>-2.632208595</v>
      </c>
      <c r="F98" s="21">
        <f>IFERROR(__xludf.DUMMYFUNCTION("""COMPUTED_VALUE"""),-0.24972558441812875)</f>
        <v>-0.2497255844</v>
      </c>
      <c r="G98" s="23">
        <f>IFERROR(__xludf.DUMMYFUNCTION("""COMPUTED_VALUE"""),0.15573069183705152)</f>
        <v>0.1557306918</v>
      </c>
      <c r="H98" s="4"/>
      <c r="I98" s="5" t="s">
        <v>771</v>
      </c>
      <c r="J98" s="5" t="s">
        <v>660</v>
      </c>
      <c r="K98" s="5">
        <v>3.0</v>
      </c>
      <c r="L98" s="5">
        <v>-0.14291</v>
      </c>
      <c r="M98" s="5">
        <v>-0.03573</v>
      </c>
      <c r="N98" s="5">
        <v>-0.17864</v>
      </c>
      <c r="O98" s="5">
        <v>0.00139</v>
      </c>
    </row>
    <row r="99">
      <c r="A99" s="12" t="str">
        <f>IFERROR(__xludf.DUMMYFUNCTION("""COMPUTED_VALUE"""),"Earvin Morris, Jr.")</f>
        <v>Earvin Morris, Jr.</v>
      </c>
      <c r="B99" s="13" t="str">
        <f>IFERROR(__xludf.DUMMYFUNCTION("""COMPUTED_VALUE"""),"ARI")</f>
        <v>ARI</v>
      </c>
      <c r="C99" s="14">
        <f>IFERROR(__xludf.DUMMYFUNCTION("""COMPUTED_VALUE"""),355.5)</f>
        <v>355.5</v>
      </c>
      <c r="D99" s="15">
        <f>IFERROR(__xludf.DUMMYFUNCTION("""COMPUTED_VALUE"""),2.636509972252395)</f>
        <v>2.636509972</v>
      </c>
      <c r="E99" s="15">
        <f>IFERROR(__xludf.DUMMYFUNCTION("""COMPUTED_VALUE"""),-2.900465903740437)</f>
        <v>-2.900465904</v>
      </c>
      <c r="F99" s="15">
        <f>IFERROR(__xludf.DUMMYFUNCTION("""COMPUTED_VALUE"""),-0.263955931488042)</f>
        <v>-0.2639559315</v>
      </c>
      <c r="G99" s="17">
        <f>IFERROR(__xludf.DUMMYFUNCTION("""COMPUTED_VALUE"""),0.387523968100567)</f>
        <v>0.3875239681</v>
      </c>
      <c r="H99" s="4"/>
      <c r="I99" s="5" t="s">
        <v>772</v>
      </c>
      <c r="J99" s="5" t="s">
        <v>650</v>
      </c>
      <c r="K99" s="5">
        <v>11.0</v>
      </c>
      <c r="L99" s="5">
        <v>-0.01137</v>
      </c>
      <c r="M99" s="5">
        <v>-0.17313</v>
      </c>
      <c r="N99" s="5">
        <v>-0.1845</v>
      </c>
      <c r="O99" s="5">
        <v>0.00584</v>
      </c>
    </row>
    <row r="100">
      <c r="A100" s="18" t="str">
        <f>IFERROR(__xludf.DUMMYFUNCTION("""COMPUTED_VALUE"""),"Chrysostomos Sandramanis")</f>
        <v>Chrysostomos Sandramanis</v>
      </c>
      <c r="B100" s="19" t="str">
        <f>IFERROR(__xludf.DUMMYFUNCTION("""COMPUTED_VALUE"""),"PROM")</f>
        <v>PROM</v>
      </c>
      <c r="C100" s="20">
        <f>IFERROR(__xludf.DUMMYFUNCTION("""COMPUTED_VALUE"""),8.3)</f>
        <v>8.3</v>
      </c>
      <c r="D100" s="21">
        <f>IFERROR(__xludf.DUMMYFUNCTION("""COMPUTED_VALUE"""),-0.15705408388276842)</f>
        <v>-0.1570540839</v>
      </c>
      <c r="E100" s="21">
        <f>IFERROR(__xludf.DUMMYFUNCTION("""COMPUTED_VALUE"""),-0.11645770261064758)</f>
        <v>-0.1164577026</v>
      </c>
      <c r="F100" s="21">
        <f>IFERROR(__xludf.DUMMYFUNCTION("""COMPUTED_VALUE"""),-0.273511786493416)</f>
        <v>-0.2735117865</v>
      </c>
      <c r="G100" s="23">
        <f>IFERROR(__xludf.DUMMYFUNCTION("""COMPUTED_VALUE"""),0.0043763873300973555)</f>
        <v>0.00437638733</v>
      </c>
      <c r="H100" s="4"/>
      <c r="I100" s="5" t="s">
        <v>774</v>
      </c>
      <c r="J100" s="5" t="s">
        <v>650</v>
      </c>
      <c r="K100" s="5">
        <v>667.0</v>
      </c>
      <c r="L100" s="5">
        <v>-1.02049</v>
      </c>
      <c r="M100" s="5">
        <v>0.83416</v>
      </c>
      <c r="N100" s="5">
        <v>-0.18633</v>
      </c>
      <c r="O100" s="5">
        <v>0.36746</v>
      </c>
    </row>
    <row r="101">
      <c r="A101" s="12" t="str">
        <f>IFERROR(__xludf.DUMMYFUNCTION("""COMPUTED_VALUE"""),"Kostas Ezomo")</f>
        <v>Kostas Ezomo</v>
      </c>
      <c r="B101" s="13" t="str">
        <f>IFERROR(__xludf.DUMMYFUNCTION("""COMPUTED_VALUE"""),"KYM")</f>
        <v>KYM</v>
      </c>
      <c r="C101" s="14">
        <f>IFERROR(__xludf.DUMMYFUNCTION("""COMPUTED_VALUE"""),6.6)</f>
        <v>6.6</v>
      </c>
      <c r="D101" s="15">
        <f>IFERROR(__xludf.DUMMYFUNCTION("""COMPUTED_VALUE"""),-0.13244891947645096)</f>
        <v>-0.1324489195</v>
      </c>
      <c r="E101" s="15">
        <f>IFERROR(__xludf.DUMMYFUNCTION("""COMPUTED_VALUE"""),-0.14185066260784204)</f>
        <v>-0.1418506626</v>
      </c>
      <c r="F101" s="15">
        <f>IFERROR(__xludf.DUMMYFUNCTION("""COMPUTED_VALUE"""),-0.274299582084293)</f>
        <v>-0.2742995821</v>
      </c>
      <c r="G101" s="17">
        <f>IFERROR(__xludf.DUMMYFUNCTION("""COMPUTED_VALUE"""),0.0034456193550434708)</f>
        <v>0.003445619355</v>
      </c>
      <c r="H101" s="4"/>
      <c r="I101" s="5" t="s">
        <v>141</v>
      </c>
      <c r="J101" s="5" t="s">
        <v>677</v>
      </c>
      <c r="K101" s="5">
        <v>142.0</v>
      </c>
      <c r="L101" s="5">
        <v>1.12421</v>
      </c>
      <c r="M101" s="5">
        <v>-1.36992</v>
      </c>
      <c r="N101" s="5">
        <v>-0.24572</v>
      </c>
      <c r="O101" s="5">
        <v>0.15609</v>
      </c>
    </row>
    <row r="102">
      <c r="A102" s="18" t="str">
        <f>IFERROR(__xludf.DUMMYFUNCTION("""COMPUTED_VALUE"""),"Nikos Maragkidis")</f>
        <v>Nikos Maragkidis</v>
      </c>
      <c r="B102" s="19" t="str">
        <f>IFERROR(__xludf.DUMMYFUNCTION("""COMPUTED_VALUE"""),"PAI")</f>
        <v>PAI</v>
      </c>
      <c r="C102" s="20">
        <f>IFERROR(__xludf.DUMMYFUNCTION("""COMPUTED_VALUE"""),7.8)</f>
        <v>7.8</v>
      </c>
      <c r="D102" s="21">
        <f>IFERROR(__xludf.DUMMYFUNCTION("""COMPUTED_VALUE"""),-0.11243748293229923)</f>
        <v>-0.1124374829</v>
      </c>
      <c r="E102" s="21">
        <f>IFERROR(__xludf.DUMMYFUNCTION("""COMPUTED_VALUE"""),-0.16700361105345507)</f>
        <v>-0.1670036111</v>
      </c>
      <c r="F102" s="21">
        <f>IFERROR(__xludf.DUMMYFUNCTION("""COMPUTED_VALUE"""),-0.2794410939857543)</f>
        <v>-0.279441094</v>
      </c>
      <c r="G102" s="23">
        <f>IFERROR(__xludf.DUMMYFUNCTION("""COMPUTED_VALUE"""),0.004078553012050754)</f>
        <v>0.004078553012</v>
      </c>
      <c r="H102" s="4"/>
      <c r="I102" s="5" t="s">
        <v>776</v>
      </c>
      <c r="J102" s="5" t="s">
        <v>660</v>
      </c>
      <c r="K102" s="5">
        <v>8.0</v>
      </c>
      <c r="L102" s="5">
        <v>-0.1438</v>
      </c>
      <c r="M102" s="5">
        <v>-0.10942</v>
      </c>
      <c r="N102" s="5">
        <v>-0.25322</v>
      </c>
      <c r="O102" s="5">
        <v>0.00443</v>
      </c>
    </row>
    <row r="103">
      <c r="A103" s="12" t="str">
        <f>IFERROR(__xludf.DUMMYFUNCTION("""COMPUTED_VALUE"""),"Lefteris Mitsibonas")</f>
        <v>Lefteris Mitsibonas</v>
      </c>
      <c r="B103" s="13" t="str">
        <f>IFERROR(__xludf.DUMMYFUNCTION("""COMPUTED_VALUE"""),"KYM")</f>
        <v>KYM</v>
      </c>
      <c r="C103" s="14">
        <f>IFERROR(__xludf.DUMMYFUNCTION("""COMPUTED_VALUE"""),6.8)</f>
        <v>6.8</v>
      </c>
      <c r="D103" s="15">
        <f>IFERROR(__xludf.DUMMYFUNCTION("""COMPUTED_VALUE"""),-0.27227852897107396)</f>
        <v>-0.272278529</v>
      </c>
      <c r="E103" s="15">
        <f>IFERROR(__xludf.DUMMYFUNCTION("""COMPUTED_VALUE"""),-0.011168027311592665)</f>
        <v>-0.01116802731</v>
      </c>
      <c r="F103" s="15">
        <f>IFERROR(__xludf.DUMMYFUNCTION("""COMPUTED_VALUE"""),-0.28344655628266663)</f>
        <v>-0.2834465563</v>
      </c>
      <c r="G103" s="17">
        <f>IFERROR(__xludf.DUMMYFUNCTION("""COMPUTED_VALUE"""),0.003531215325321887)</f>
        <v>0.003531215325</v>
      </c>
      <c r="H103" s="4"/>
      <c r="I103" s="5" t="s">
        <v>777</v>
      </c>
      <c r="J103" s="5" t="s">
        <v>677</v>
      </c>
      <c r="K103" s="5">
        <v>356.0</v>
      </c>
      <c r="L103" s="5">
        <v>-0.02517</v>
      </c>
      <c r="M103" s="5">
        <v>-0.22843</v>
      </c>
      <c r="N103" s="5">
        <v>-0.2536</v>
      </c>
      <c r="O103" s="5">
        <v>0.38984</v>
      </c>
    </row>
    <row r="104">
      <c r="A104" s="18" t="str">
        <f>IFERROR(__xludf.DUMMYFUNCTION("""COMPUTED_VALUE"""),"Nontas Papantoniou")</f>
        <v>Nontas Papantoniou</v>
      </c>
      <c r="B104" s="19" t="str">
        <f>IFERROR(__xludf.DUMMYFUNCTION("""COMPUTED_VALUE"""),"LAR")</f>
        <v>LAR</v>
      </c>
      <c r="C104" s="20">
        <f>IFERROR(__xludf.DUMMYFUNCTION("""COMPUTED_VALUE"""),712.8)</f>
        <v>712.8</v>
      </c>
      <c r="D104" s="21">
        <f>IFERROR(__xludf.DUMMYFUNCTION("""COMPUTED_VALUE"""),2.1551593585933)</f>
        <v>2.155159359</v>
      </c>
      <c r="E104" s="21">
        <f>IFERROR(__xludf.DUMMYFUNCTION("""COMPUTED_VALUE"""),-2.4634366232386835)</f>
        <v>-2.463436623</v>
      </c>
      <c r="F104" s="21">
        <f>IFERROR(__xludf.DUMMYFUNCTION("""COMPUTED_VALUE"""),-0.3082772646453835)</f>
        <v>-0.3082772646</v>
      </c>
      <c r="G104" s="23">
        <f>IFERROR(__xludf.DUMMYFUNCTION("""COMPUTED_VALUE"""),0.36810744676146206)</f>
        <v>0.3681074468</v>
      </c>
      <c r="H104" s="4"/>
      <c r="I104" s="5" t="s">
        <v>779</v>
      </c>
      <c r="J104" s="5" t="s">
        <v>642</v>
      </c>
      <c r="K104" s="5">
        <v>7.0</v>
      </c>
      <c r="L104" s="5">
        <v>-0.13451</v>
      </c>
      <c r="M104" s="5">
        <v>-0.13994</v>
      </c>
      <c r="N104" s="5">
        <v>-0.27445</v>
      </c>
      <c r="O104" s="5">
        <v>0.00345</v>
      </c>
    </row>
    <row r="105">
      <c r="A105" s="12" t="str">
        <f>IFERROR(__xludf.DUMMYFUNCTION("""COMPUTED_VALUE"""),"Milan Milosevic")</f>
        <v>Milan Milosevic</v>
      </c>
      <c r="B105" s="13" t="str">
        <f>IFERROR(__xludf.DUMMYFUNCTION("""COMPUTED_VALUE"""),"PROM")</f>
        <v>PROM</v>
      </c>
      <c r="C105" s="14">
        <f>IFERROR(__xludf.DUMMYFUNCTION("""COMPUTED_VALUE"""),531.7)</f>
        <v>531.7</v>
      </c>
      <c r="D105" s="15">
        <f>IFERROR(__xludf.DUMMYFUNCTION("""COMPUTED_VALUE"""),1.1286267559874923)</f>
        <v>1.128626756</v>
      </c>
      <c r="E105" s="15">
        <f>IFERROR(__xludf.DUMMYFUNCTION("""COMPUTED_VALUE"""),-1.4505537734448022)</f>
        <v>-1.450553773</v>
      </c>
      <c r="F105" s="15">
        <f>IFERROR(__xludf.DUMMYFUNCTION("""COMPUTED_VALUE"""),-0.32192701745731)</f>
        <v>-0.3219270175</v>
      </c>
      <c r="G105" s="17">
        <f>IFERROR(__xludf.DUMMYFUNCTION("""COMPUTED_VALUE"""),0.27249061390608453)</f>
        <v>0.2724906139</v>
      </c>
      <c r="H105" s="4"/>
      <c r="I105" s="5" t="s">
        <v>780</v>
      </c>
      <c r="J105" s="5" t="s">
        <v>639</v>
      </c>
      <c r="K105" s="5">
        <v>8.0</v>
      </c>
      <c r="L105" s="5">
        <v>-0.14439</v>
      </c>
      <c r="M105" s="5">
        <v>-0.13509</v>
      </c>
      <c r="N105" s="5">
        <v>-0.27948</v>
      </c>
      <c r="O105" s="5">
        <v>0.00408</v>
      </c>
    </row>
    <row r="106">
      <c r="A106" s="18" t="str">
        <f>IFERROR(__xludf.DUMMYFUNCTION("""COMPUTED_VALUE"""),"Giannis Karakechagias")</f>
        <v>Giannis Karakechagias</v>
      </c>
      <c r="B106" s="19" t="str">
        <f>IFERROR(__xludf.DUMMYFUNCTION("""COMPUTED_VALUE"""),"PAI")</f>
        <v>PAI</v>
      </c>
      <c r="C106" s="20">
        <f>IFERROR(__xludf.DUMMYFUNCTION("""COMPUTED_VALUE"""),15.2)</f>
        <v>15.2</v>
      </c>
      <c r="D106" s="21">
        <f>IFERROR(__xludf.DUMMYFUNCTION("""COMPUTED_VALUE"""),-0.17295368982277662)</f>
        <v>-0.1729536898</v>
      </c>
      <c r="E106" s="21">
        <f>IFERROR(__xludf.DUMMYFUNCTION("""COMPUTED_VALUE"""),-0.16134901076114735)</f>
        <v>-0.1613490108</v>
      </c>
      <c r="F106" s="21">
        <f>IFERROR(__xludf.DUMMYFUNCTION("""COMPUTED_VALUE"""),-0.334302700583924)</f>
        <v>-0.3343027006</v>
      </c>
      <c r="G106" s="23">
        <f>IFERROR(__xludf.DUMMYFUNCTION("""COMPUTED_VALUE"""),0.007694521765055283)</f>
        <v>0.007694521765</v>
      </c>
      <c r="H106" s="4"/>
      <c r="I106" s="5" t="s">
        <v>781</v>
      </c>
      <c r="J106" s="5" t="s">
        <v>642</v>
      </c>
      <c r="K106" s="5">
        <v>7.0</v>
      </c>
      <c r="L106" s="5">
        <v>-0.2744</v>
      </c>
      <c r="M106" s="5">
        <v>-0.0092</v>
      </c>
      <c r="N106" s="5">
        <v>-0.2836</v>
      </c>
      <c r="O106" s="5">
        <v>0.00353</v>
      </c>
    </row>
    <row r="107">
      <c r="A107" s="12" t="str">
        <f>IFERROR(__xludf.DUMMYFUNCTION("""COMPUTED_VALUE"""),"Giannis Panaretakis")</f>
        <v>Giannis Panaretakis</v>
      </c>
      <c r="B107" s="13" t="str">
        <f>IFERROR(__xludf.DUMMYFUNCTION("""COMPUTED_VALUE"""),"RETH")</f>
        <v>RETH</v>
      </c>
      <c r="C107" s="14">
        <f>IFERROR(__xludf.DUMMYFUNCTION("""COMPUTED_VALUE"""),8.2)</f>
        <v>8.2</v>
      </c>
      <c r="D107" s="15">
        <f>IFERROR(__xludf.DUMMYFUNCTION("""COMPUTED_VALUE"""),-0.280736159429519)</f>
        <v>-0.2807361594</v>
      </c>
      <c r="E107" s="15">
        <f>IFERROR(__xludf.DUMMYFUNCTION("""COMPUTED_VALUE"""),-0.075320156572456)</f>
        <v>-0.07532015657</v>
      </c>
      <c r="F107" s="15">
        <f>IFERROR(__xludf.DUMMYFUNCTION("""COMPUTED_VALUE"""),-0.356056316001975)</f>
        <v>-0.356056316</v>
      </c>
      <c r="G107" s="17">
        <f>IFERROR(__xludf.DUMMYFUNCTION("""COMPUTED_VALUE"""),0.004058349390804088)</f>
        <v>0.004058349391</v>
      </c>
      <c r="H107" s="4"/>
      <c r="I107" s="5" t="s">
        <v>35</v>
      </c>
      <c r="J107" s="5" t="s">
        <v>660</v>
      </c>
      <c r="K107" s="5">
        <v>104.0</v>
      </c>
      <c r="L107" s="5">
        <v>0.58741</v>
      </c>
      <c r="M107" s="5">
        <v>-0.87425</v>
      </c>
      <c r="N107" s="5">
        <v>-0.28684</v>
      </c>
      <c r="O107" s="5">
        <v>0.05459</v>
      </c>
    </row>
    <row r="108">
      <c r="A108" s="18" t="str">
        <f>IFERROR(__xludf.DUMMYFUNCTION("""COMPUTED_VALUE"""),"Lucky Jones")</f>
        <v>Lucky Jones</v>
      </c>
      <c r="B108" s="19" t="str">
        <f>IFERROR(__xludf.DUMMYFUNCTION("""COMPUTED_VALUE"""),"PAOK")</f>
        <v>PAOK</v>
      </c>
      <c r="C108" s="20">
        <f>IFERROR(__xludf.DUMMYFUNCTION("""COMPUTED_VALUE"""),767.0)</f>
        <v>767</v>
      </c>
      <c r="D108" s="21">
        <f>IFERROR(__xludf.DUMMYFUNCTION("""COMPUTED_VALUE"""),-1.8117530529454742)</f>
        <v>-1.811753053</v>
      </c>
      <c r="E108" s="21">
        <f>IFERROR(__xludf.DUMMYFUNCTION("""COMPUTED_VALUE"""),1.445272402031432)</f>
        <v>1.445272402</v>
      </c>
      <c r="F108" s="21">
        <f>IFERROR(__xludf.DUMMYFUNCTION("""COMPUTED_VALUE"""),-0.36648065091404214)</f>
        <v>-0.3664806509</v>
      </c>
      <c r="G108" s="23">
        <f>IFERROR(__xludf.DUMMYFUNCTION("""COMPUTED_VALUE"""),0.38068574491783774)</f>
        <v>0.3806857449</v>
      </c>
      <c r="H108" s="4"/>
      <c r="I108" s="5" t="s">
        <v>783</v>
      </c>
      <c r="J108" s="5" t="s">
        <v>686</v>
      </c>
      <c r="K108" s="5">
        <v>713.0</v>
      </c>
      <c r="L108" s="5">
        <v>0.73689</v>
      </c>
      <c r="M108" s="5">
        <v>-1.04465</v>
      </c>
      <c r="N108" s="5">
        <v>-0.30776</v>
      </c>
      <c r="O108" s="5">
        <v>0.36822</v>
      </c>
    </row>
    <row r="109">
      <c r="A109" s="12" t="str">
        <f>IFERROR(__xludf.DUMMYFUNCTION("""COMPUTED_VALUE"""),"Vassilis Xanthopoulos")</f>
        <v>Vassilis Xanthopoulos</v>
      </c>
      <c r="B109" s="13" t="str">
        <f>IFERROR(__xludf.DUMMYFUNCTION("""COMPUTED_VALUE"""),"ATH")</f>
        <v>ATH</v>
      </c>
      <c r="C109" s="14">
        <f>IFERROR(__xludf.DUMMYFUNCTION("""COMPUTED_VALUE"""),494.3)</f>
        <v>494.3</v>
      </c>
      <c r="D109" s="15">
        <f>IFERROR(__xludf.DUMMYFUNCTION("""COMPUTED_VALUE"""),-1.682079708579775)</f>
        <v>-1.682079709</v>
      </c>
      <c r="E109" s="15">
        <f>IFERROR(__xludf.DUMMYFUNCTION("""COMPUTED_VALUE"""),1.3134114825780163)</f>
        <v>1.313411483</v>
      </c>
      <c r="F109" s="15">
        <f>IFERROR(__xludf.DUMMYFUNCTION("""COMPUTED_VALUE"""),-0.36866822600175864)</f>
        <v>-0.368668226</v>
      </c>
      <c r="G109" s="17">
        <f>IFERROR(__xludf.DUMMYFUNCTION("""COMPUTED_VALUE"""),0.25645926968349825)</f>
        <v>0.2564592697</v>
      </c>
      <c r="H109" s="4"/>
      <c r="I109" s="5" t="s">
        <v>785</v>
      </c>
      <c r="J109" s="5" t="s">
        <v>639</v>
      </c>
      <c r="K109" s="5">
        <v>15.0</v>
      </c>
      <c r="L109" s="5">
        <v>-0.2354</v>
      </c>
      <c r="M109" s="5">
        <v>-0.09912</v>
      </c>
      <c r="N109" s="5">
        <v>-0.33453</v>
      </c>
      <c r="O109" s="5">
        <v>0.00769</v>
      </c>
    </row>
    <row r="110">
      <c r="A110" s="18" t="str">
        <f>IFERROR(__xludf.DUMMYFUNCTION("""COMPUTED_VALUE"""),"Aris Karaiskos")</f>
        <v>Aris Karaiskos</v>
      </c>
      <c r="B110" s="19" t="str">
        <f>IFERROR(__xludf.DUMMYFUNCTION("""COMPUTED_VALUE"""),"PROM")</f>
        <v>PROM</v>
      </c>
      <c r="C110" s="20">
        <f>IFERROR(__xludf.DUMMYFUNCTION("""COMPUTED_VALUE"""),32.7)</f>
        <v>32.7</v>
      </c>
      <c r="D110" s="21">
        <f>IFERROR(__xludf.DUMMYFUNCTION("""COMPUTED_VALUE"""),-0.7312385018218829)</f>
        <v>-0.7312385018</v>
      </c>
      <c r="E110" s="21">
        <f>IFERROR(__xludf.DUMMYFUNCTION("""COMPUTED_VALUE"""),0.320663965937302)</f>
        <v>0.3206639659</v>
      </c>
      <c r="F110" s="21">
        <f>IFERROR(__xludf.DUMMYFUNCTION("""COMPUTED_VALUE"""),-0.41057453588458087)</f>
        <v>-0.4105745359</v>
      </c>
      <c r="G110" s="23">
        <f>IFERROR(__xludf.DUMMYFUNCTION("""COMPUTED_VALUE"""),0.01587310762998174)</f>
        <v>0.01587310763</v>
      </c>
      <c r="H110" s="4"/>
      <c r="I110" s="5" t="s">
        <v>786</v>
      </c>
      <c r="J110" s="5" t="s">
        <v>671</v>
      </c>
      <c r="K110" s="5">
        <v>8.0</v>
      </c>
      <c r="L110" s="5">
        <v>-0.27496</v>
      </c>
      <c r="M110" s="5">
        <v>-0.08122</v>
      </c>
      <c r="N110" s="5">
        <v>-0.35618</v>
      </c>
      <c r="O110" s="5">
        <v>0.00406</v>
      </c>
    </row>
    <row r="111">
      <c r="A111" s="12" t="str">
        <f>IFERROR(__xludf.DUMMYFUNCTION("""COMPUTED_VALUE"""),"Giorgos Papadimitriou")</f>
        <v>Giorgos Papadimitriou</v>
      </c>
      <c r="B111" s="13" t="str">
        <f>IFERROR(__xludf.DUMMYFUNCTION("""COMPUTED_VALUE"""),"LAV")</f>
        <v>LAV</v>
      </c>
      <c r="C111" s="14">
        <f>IFERROR(__xludf.DUMMYFUNCTION("""COMPUTED_VALUE"""),50.6)</f>
        <v>50.6</v>
      </c>
      <c r="D111" s="15">
        <f>IFERROR(__xludf.DUMMYFUNCTION("""COMPUTED_VALUE"""),-0.06748407732515163)</f>
        <v>-0.06748407733</v>
      </c>
      <c r="E111" s="15">
        <f>IFERROR(__xludf.DUMMYFUNCTION("""COMPUTED_VALUE"""),-0.3574021864553697)</f>
        <v>-0.3574021865</v>
      </c>
      <c r="F111" s="15">
        <f>IFERROR(__xludf.DUMMYFUNCTION("""COMPUTED_VALUE"""),-0.4248862637805213)</f>
        <v>-0.4248862638</v>
      </c>
      <c r="G111" s="17">
        <f>IFERROR(__xludf.DUMMYFUNCTION("""COMPUTED_VALUE"""),0.02408099170829858)</f>
        <v>0.02408099171</v>
      </c>
      <c r="H111" s="4"/>
      <c r="I111" s="5" t="s">
        <v>788</v>
      </c>
      <c r="J111" s="5" t="s">
        <v>660</v>
      </c>
      <c r="K111" s="5">
        <v>36.0</v>
      </c>
      <c r="L111" s="5">
        <v>0.08045</v>
      </c>
      <c r="M111" s="5">
        <v>-0.44378</v>
      </c>
      <c r="N111" s="5">
        <v>-0.36333</v>
      </c>
      <c r="O111" s="5">
        <v>0.018</v>
      </c>
    </row>
    <row r="112">
      <c r="A112" s="18" t="str">
        <f>IFERROR(__xludf.DUMMYFUNCTION("""COMPUTED_VALUE"""),"Willie Conner")</f>
        <v>Willie Conner</v>
      </c>
      <c r="B112" s="19" t="str">
        <f>IFERROR(__xludf.DUMMYFUNCTION("""COMPUTED_VALUE"""),"LAR")</f>
        <v>LAR</v>
      </c>
      <c r="C112" s="20">
        <f>IFERROR(__xludf.DUMMYFUNCTION("""COMPUTED_VALUE"""),15.0)</f>
        <v>15</v>
      </c>
      <c r="D112" s="21">
        <f>IFERROR(__xludf.DUMMYFUNCTION("""COMPUTED_VALUE"""),-0.2097297556255744)</f>
        <v>-0.2097297556</v>
      </c>
      <c r="E112" s="21">
        <f>IFERROR(__xludf.DUMMYFUNCTION("""COMPUTED_VALUE"""),-0.22343355820362598)</f>
        <v>-0.2234335582</v>
      </c>
      <c r="F112" s="21">
        <f>IFERROR(__xludf.DUMMYFUNCTION("""COMPUTED_VALUE"""),-0.43316331382920037)</f>
        <v>-0.4331633138</v>
      </c>
      <c r="G112" s="23">
        <f>IFERROR(__xludf.DUMMYFUNCTION("""COMPUTED_VALUE"""),0.007174517793299231)</f>
        <v>0.007174517793</v>
      </c>
      <c r="H112" s="4"/>
      <c r="I112" s="5" t="s">
        <v>789</v>
      </c>
      <c r="J112" s="5" t="s">
        <v>646</v>
      </c>
      <c r="K112" s="5">
        <v>567.0</v>
      </c>
      <c r="L112" s="5">
        <v>0.3559</v>
      </c>
      <c r="M112" s="5">
        <v>-0.72208</v>
      </c>
      <c r="N112" s="5">
        <v>-0.36618</v>
      </c>
      <c r="O112" s="5">
        <v>0.28659</v>
      </c>
    </row>
    <row r="113">
      <c r="A113" s="12" t="str">
        <f>IFERROR(__xludf.DUMMYFUNCTION("""COMPUTED_VALUE"""),"Ousman Krubally")</f>
        <v>Ousman Krubally</v>
      </c>
      <c r="B113" s="13" t="str">
        <f>IFERROR(__xludf.DUMMYFUNCTION("""COMPUTED_VALUE"""),"PAOK")</f>
        <v>PAOK</v>
      </c>
      <c r="C113" s="14">
        <f>IFERROR(__xludf.DUMMYFUNCTION("""COMPUTED_VALUE"""),585.8)</f>
        <v>585.8</v>
      </c>
      <c r="D113" s="15">
        <f>IFERROR(__xludf.DUMMYFUNCTION("""COMPUTED_VALUE"""),-1.59250545704313)</f>
        <v>-1.592505457</v>
      </c>
      <c r="E113" s="15">
        <f>IFERROR(__xludf.DUMMYFUNCTION("""COMPUTED_VALUE"""),1.1483444106405045)</f>
        <v>1.148344411</v>
      </c>
      <c r="F113" s="15">
        <f>IFERROR(__xludf.DUMMYFUNCTION("""COMPUTED_VALUE"""),-0.44416104640262555)</f>
        <v>-0.4441610464</v>
      </c>
      <c r="G113" s="17">
        <f>IFERROR(__xludf.DUMMYFUNCTION("""COMPUTED_VALUE"""),0.27692424202818094)</f>
        <v>0.276924242</v>
      </c>
      <c r="H113" s="4"/>
      <c r="I113" s="5" t="s">
        <v>791</v>
      </c>
      <c r="J113" s="5" t="s">
        <v>648</v>
      </c>
      <c r="K113" s="5">
        <v>494.0</v>
      </c>
      <c r="L113" s="5">
        <v>-1.01637</v>
      </c>
      <c r="M113" s="5">
        <v>0.64417</v>
      </c>
      <c r="N113" s="5">
        <v>-0.3722</v>
      </c>
      <c r="O113" s="5">
        <v>0.2559</v>
      </c>
    </row>
    <row r="114">
      <c r="A114" s="18" t="str">
        <f>IFERROR(__xludf.DUMMYFUNCTION("""COMPUTED_VALUE"""),"Brent Petway")</f>
        <v>Brent Petway</v>
      </c>
      <c r="B114" s="19" t="str">
        <f>IFERROR(__xludf.DUMMYFUNCTION("""COMPUTED_VALUE"""),"ARI")</f>
        <v>ARI</v>
      </c>
      <c r="C114" s="20">
        <f>IFERROR(__xludf.DUMMYFUNCTION("""COMPUTED_VALUE"""),76.4)</f>
        <v>76.4</v>
      </c>
      <c r="D114" s="21">
        <f>IFERROR(__xludf.DUMMYFUNCTION("""COMPUTED_VALUE"""),0.09713685493844727)</f>
        <v>0.09713685494</v>
      </c>
      <c r="E114" s="21">
        <f>IFERROR(__xludf.DUMMYFUNCTION("""COMPUTED_VALUE"""),-0.5503925331969028)</f>
        <v>-0.5503925332</v>
      </c>
      <c r="F114" s="21">
        <f>IFERROR(__xludf.DUMMYFUNCTION("""COMPUTED_VALUE"""),-0.45325567825845553)</f>
        <v>-0.4532556783</v>
      </c>
      <c r="G114" s="23">
        <f>IFERROR(__xludf.DUMMYFUNCTION("""COMPUTED_VALUE"""),0.07420105959305569)</f>
        <v>0.07420105959</v>
      </c>
      <c r="H114" s="4"/>
      <c r="I114" s="5" t="s">
        <v>793</v>
      </c>
      <c r="J114" s="5" t="s">
        <v>660</v>
      </c>
      <c r="K114" s="5">
        <v>17.0</v>
      </c>
      <c r="L114" s="5">
        <v>-0.58524</v>
      </c>
      <c r="M114" s="5">
        <v>0.17743</v>
      </c>
      <c r="N114" s="5">
        <v>-0.40781</v>
      </c>
      <c r="O114" s="5">
        <v>0.00842</v>
      </c>
    </row>
    <row r="115">
      <c r="A115" s="12" t="str">
        <f>IFERROR(__xludf.DUMMYFUNCTION("""COMPUTED_VALUE"""),"Giannoulis Larentzakis")</f>
        <v>Giannoulis Larentzakis</v>
      </c>
      <c r="B115" s="13" t="str">
        <f>IFERROR(__xludf.DUMMYFUNCTION("""COMPUTED_VALUE"""),"ATH")</f>
        <v>ATH</v>
      </c>
      <c r="C115" s="14">
        <f>IFERROR(__xludf.DUMMYFUNCTION("""COMPUTED_VALUE"""),552.6)</f>
        <v>552.6</v>
      </c>
      <c r="D115" s="15">
        <f>IFERROR(__xludf.DUMMYFUNCTION("""COMPUTED_VALUE"""),-0.08951617548954197)</f>
        <v>-0.08951617549</v>
      </c>
      <c r="E115" s="15">
        <f>IFERROR(__xludf.DUMMYFUNCTION("""COMPUTED_VALUE"""),-0.3717838083419933)</f>
        <v>-0.3717838083</v>
      </c>
      <c r="F115" s="15">
        <f>IFERROR(__xludf.DUMMYFUNCTION("""COMPUTED_VALUE"""),-0.46129998383153525)</f>
        <v>-0.4612999838</v>
      </c>
      <c r="G115" s="17">
        <f>IFERROR(__xludf.DUMMYFUNCTION("""COMPUTED_VALUE"""),0.27042717695911406)</f>
        <v>0.270427177</v>
      </c>
      <c r="H115" s="4"/>
      <c r="I115" s="5" t="s">
        <v>794</v>
      </c>
      <c r="J115" s="5" t="s">
        <v>631</v>
      </c>
      <c r="K115" s="5">
        <v>51.0</v>
      </c>
      <c r="L115" s="5">
        <v>0.11477</v>
      </c>
      <c r="M115" s="5">
        <v>-0.5399</v>
      </c>
      <c r="N115" s="5">
        <v>-0.42513</v>
      </c>
      <c r="O115" s="5">
        <v>0.02408</v>
      </c>
    </row>
    <row r="116">
      <c r="A116" s="18" t="str">
        <f>IFERROR(__xludf.DUMMYFUNCTION("""COMPUTED_VALUE"""),"Jamari Traylor")</f>
        <v>Jamari Traylor</v>
      </c>
      <c r="B116" s="19" t="str">
        <f>IFERROR(__xludf.DUMMYFUNCTION("""COMPUTED_VALUE"""),"KYM")</f>
        <v>KYM</v>
      </c>
      <c r="C116" s="20">
        <f>IFERROR(__xludf.DUMMYFUNCTION("""COMPUTED_VALUE"""),41.2)</f>
        <v>41.2</v>
      </c>
      <c r="D116" s="21">
        <f>IFERROR(__xludf.DUMMYFUNCTION("""COMPUTED_VALUE"""),-0.3791876227218355)</f>
        <v>-0.3791876227</v>
      </c>
      <c r="E116" s="21">
        <f>IFERROR(__xludf.DUMMYFUNCTION("""COMPUTED_VALUE"""),-0.09433679164360093)</f>
        <v>-0.09433679164</v>
      </c>
      <c r="F116" s="21">
        <f>IFERROR(__xludf.DUMMYFUNCTION("""COMPUTED_VALUE"""),-0.4735244143654364)</f>
        <v>-0.4735244144</v>
      </c>
      <c r="G116" s="23">
        <f>IFERROR(__xludf.DUMMYFUNCTION("""COMPUTED_VALUE"""),0.019025892437494838)</f>
        <v>0.01902589244</v>
      </c>
      <c r="H116" s="4"/>
      <c r="I116" s="5" t="s">
        <v>796</v>
      </c>
      <c r="J116" s="5" t="s">
        <v>686</v>
      </c>
      <c r="K116" s="5">
        <v>15.0</v>
      </c>
      <c r="L116" s="5">
        <v>-0.28081</v>
      </c>
      <c r="M116" s="5">
        <v>-0.15246</v>
      </c>
      <c r="N116" s="5">
        <v>-0.43327</v>
      </c>
      <c r="O116" s="5">
        <v>0.00717</v>
      </c>
    </row>
    <row r="117">
      <c r="A117" s="12" t="str">
        <f>IFERROR(__xludf.DUMMYFUNCTION("""COMPUTED_VALUE"""),"Dimitrios Chatzikyriakidis")</f>
        <v>Dimitrios Chatzikyriakidis</v>
      </c>
      <c r="B117" s="13" t="str">
        <f>IFERROR(__xludf.DUMMYFUNCTION("""COMPUTED_VALUE"""),"LAR")</f>
        <v>LAR</v>
      </c>
      <c r="C117" s="14">
        <f>IFERROR(__xludf.DUMMYFUNCTION("""COMPUTED_VALUE"""),28.1)</f>
        <v>28.1</v>
      </c>
      <c r="D117" s="15">
        <f>IFERROR(__xludf.DUMMYFUNCTION("""COMPUTED_VALUE"""),0.02883486057873832)</f>
        <v>0.02883486058</v>
      </c>
      <c r="E117" s="15">
        <f>IFERROR(__xludf.DUMMYFUNCTION("""COMPUTED_VALUE"""),-0.5370998798135764)</f>
        <v>-0.5370998798</v>
      </c>
      <c r="F117" s="15">
        <f>IFERROR(__xludf.DUMMYFUNCTION("""COMPUTED_VALUE"""),-0.5082650192348381)</f>
        <v>-0.5082650192</v>
      </c>
      <c r="G117" s="17">
        <f>IFERROR(__xludf.DUMMYFUNCTION("""COMPUTED_VALUE"""),0.012796043864152003)</f>
        <v>0.01279604386</v>
      </c>
      <c r="H117" s="4"/>
      <c r="I117" s="5" t="s">
        <v>799</v>
      </c>
      <c r="J117" s="5" t="s">
        <v>677</v>
      </c>
      <c r="K117" s="5">
        <v>76.0</v>
      </c>
      <c r="L117" s="5">
        <v>-0.58196</v>
      </c>
      <c r="M117" s="5">
        <v>0.13031</v>
      </c>
      <c r="N117" s="5">
        <v>-0.45165</v>
      </c>
      <c r="O117" s="5">
        <v>0.07428</v>
      </c>
    </row>
    <row r="118">
      <c r="A118" s="18" t="str">
        <f>IFERROR(__xludf.DUMMYFUNCTION("""COMPUTED_VALUE"""),"Edin Atic")</f>
        <v>Edin Atic</v>
      </c>
      <c r="B118" s="19" t="str">
        <f>IFERROR(__xludf.DUMMYFUNCTION("""COMPUTED_VALUE"""),"ATH")</f>
        <v>ATH</v>
      </c>
      <c r="C118" s="20">
        <f>IFERROR(__xludf.DUMMYFUNCTION("""COMPUTED_VALUE"""),128.5)</f>
        <v>128.5</v>
      </c>
      <c r="D118" s="21">
        <f>IFERROR(__xludf.DUMMYFUNCTION("""COMPUTED_VALUE"""),-0.8671051212816847)</f>
        <v>-0.8671051213</v>
      </c>
      <c r="E118" s="21">
        <f>IFERROR(__xludf.DUMMYFUNCTION("""COMPUTED_VALUE"""),0.3480657395548391)</f>
        <v>0.3480657396</v>
      </c>
      <c r="F118" s="21">
        <f>IFERROR(__xludf.DUMMYFUNCTION("""COMPUTED_VALUE"""),-0.5190393817268456)</f>
        <v>-0.5190393817</v>
      </c>
      <c r="G118" s="23">
        <f>IFERROR(__xludf.DUMMYFUNCTION("""COMPUTED_VALUE"""),0.06052462860043485)</f>
        <v>0.0605246286</v>
      </c>
      <c r="H118" s="4"/>
      <c r="I118" s="5" t="s">
        <v>801</v>
      </c>
      <c r="J118" s="5" t="s">
        <v>648</v>
      </c>
      <c r="K118" s="5">
        <v>553.0</v>
      </c>
      <c r="L118" s="5">
        <v>0.58062</v>
      </c>
      <c r="M118" s="5">
        <v>-1.04181</v>
      </c>
      <c r="N118" s="5">
        <v>-0.46119</v>
      </c>
      <c r="O118" s="5">
        <v>0.27045</v>
      </c>
    </row>
    <row r="119">
      <c r="A119" s="12" t="str">
        <f>IFERROR(__xludf.DUMMYFUNCTION("""COMPUTED_VALUE"""),"Ioannis Agravanis")</f>
        <v>Ioannis Agravanis</v>
      </c>
      <c r="B119" s="13" t="str">
        <f>IFERROR(__xludf.DUMMYFUNCTION("""COMPUTED_VALUE"""),"ATH")</f>
        <v>ATH</v>
      </c>
      <c r="C119" s="14">
        <f>IFERROR(__xludf.DUMMYFUNCTION("""COMPUTED_VALUE"""),8.2)</f>
        <v>8.2</v>
      </c>
      <c r="D119" s="15">
        <f>IFERROR(__xludf.DUMMYFUNCTION("""COMPUTED_VALUE"""),-0.557760455727174)</f>
        <v>-0.5577604557</v>
      </c>
      <c r="E119" s="15">
        <f>IFERROR(__xludf.DUMMYFUNCTION("""COMPUTED_VALUE"""),0.010666587033609454)</f>
        <v>0.01066658703</v>
      </c>
      <c r="F119" s="15">
        <f>IFERROR(__xludf.DUMMYFUNCTION("""COMPUTED_VALUE"""),-0.5470938686935646)</f>
        <v>-0.5470938687</v>
      </c>
      <c r="G119" s="17">
        <f>IFERROR(__xludf.DUMMYFUNCTION("""COMPUTED_VALUE"""),0.003789107305668586)</f>
        <v>0.003789107306</v>
      </c>
      <c r="H119" s="4"/>
      <c r="I119" s="5" t="s">
        <v>803</v>
      </c>
      <c r="J119" s="5" t="s">
        <v>642</v>
      </c>
      <c r="K119" s="5">
        <v>41.0</v>
      </c>
      <c r="L119" s="5">
        <v>-0.39038</v>
      </c>
      <c r="M119" s="5">
        <v>-0.08269</v>
      </c>
      <c r="N119" s="5">
        <v>-0.47306</v>
      </c>
      <c r="O119" s="5">
        <v>0.01903</v>
      </c>
    </row>
    <row r="120">
      <c r="A120" s="18" t="str">
        <f>IFERROR(__xludf.DUMMYFUNCTION("""COMPUTED_VALUE"""),"Dionysios Giannakopoulos")</f>
        <v>Dionysios Giannakopoulos</v>
      </c>
      <c r="B120" s="19" t="str">
        <f>IFERROR(__xludf.DUMMYFUNCTION("""COMPUTED_VALUE"""),"LAV")</f>
        <v>LAV</v>
      </c>
      <c r="C120" s="20">
        <f>IFERROR(__xludf.DUMMYFUNCTION("""COMPUTED_VALUE"""),67.5)</f>
        <v>67.5</v>
      </c>
      <c r="D120" s="21">
        <f>IFERROR(__xludf.DUMMYFUNCTION("""COMPUTED_VALUE"""),-0.5636703931160272)</f>
        <v>-0.5636703931</v>
      </c>
      <c r="E120" s="21">
        <f>IFERROR(__xludf.DUMMYFUNCTION("""COMPUTED_VALUE"""),-0.04061982390764529)</f>
        <v>-0.04061982391</v>
      </c>
      <c r="F120" s="21">
        <f>IFERROR(__xludf.DUMMYFUNCTION("""COMPUTED_VALUE"""),-0.6042902170236725)</f>
        <v>-0.604290217</v>
      </c>
      <c r="G120" s="23">
        <f>IFERROR(__xludf.DUMMYFUNCTION("""COMPUTED_VALUE"""),0.02846497638567183)</f>
        <v>0.02846497639</v>
      </c>
      <c r="H120" s="4"/>
      <c r="I120" s="5" t="s">
        <v>804</v>
      </c>
      <c r="J120" s="5" t="s">
        <v>686</v>
      </c>
      <c r="K120" s="5">
        <v>28.0</v>
      </c>
      <c r="L120" s="5">
        <v>-0.10437</v>
      </c>
      <c r="M120" s="5">
        <v>-0.40414</v>
      </c>
      <c r="N120" s="5">
        <v>-0.50851</v>
      </c>
      <c r="O120" s="5">
        <v>0.01279</v>
      </c>
    </row>
    <row r="121">
      <c r="A121" s="12" t="str">
        <f>IFERROR(__xludf.DUMMYFUNCTION("""COMPUTED_VALUE"""),"Keith Wright")</f>
        <v>Keith Wright</v>
      </c>
      <c r="B121" s="13" t="str">
        <f>IFERROR(__xludf.DUMMYFUNCTION("""COMPUTED_VALUE"""),"KOL")</f>
        <v>KOL</v>
      </c>
      <c r="C121" s="14">
        <f>IFERROR(__xludf.DUMMYFUNCTION("""COMPUTED_VALUE"""),567.2)</f>
        <v>567.2</v>
      </c>
      <c r="D121" s="15">
        <f>IFERROR(__xludf.DUMMYFUNCTION("""COMPUTED_VALUE"""),0.8608609810380448)</f>
        <v>0.860860981</v>
      </c>
      <c r="E121" s="15">
        <f>IFERROR(__xludf.DUMMYFUNCTION("""COMPUTED_VALUE"""),-1.5386863543051938)</f>
        <v>-1.538686354</v>
      </c>
      <c r="F121" s="15">
        <f>IFERROR(__xludf.DUMMYFUNCTION("""COMPUTED_VALUE"""),-0.677825373267149)</f>
        <v>-0.6778253733</v>
      </c>
      <c r="G121" s="17">
        <f>IFERROR(__xludf.DUMMYFUNCTION("""COMPUTED_VALUE"""),0.2319257712884247)</f>
        <v>0.2319257713</v>
      </c>
      <c r="H121" s="4"/>
      <c r="I121" s="5" t="s">
        <v>806</v>
      </c>
      <c r="J121" s="5" t="s">
        <v>648</v>
      </c>
      <c r="K121" s="5">
        <v>129.0</v>
      </c>
      <c r="L121" s="5">
        <v>-0.58158</v>
      </c>
      <c r="M121" s="5">
        <v>0.06134</v>
      </c>
      <c r="N121" s="5">
        <v>-0.52024</v>
      </c>
      <c r="O121" s="5">
        <v>0.06048</v>
      </c>
    </row>
    <row r="122">
      <c r="A122" s="18" t="str">
        <f>IFERROR(__xludf.DUMMYFUNCTION("""COMPUTED_VALUE"""),"Travis Daniels")</f>
        <v>Travis Daniels</v>
      </c>
      <c r="B122" s="19" t="str">
        <f>IFERROR(__xludf.DUMMYFUNCTION("""COMPUTED_VALUE"""),"RETH")</f>
        <v>RETH</v>
      </c>
      <c r="C122" s="20">
        <f>IFERROR(__xludf.DUMMYFUNCTION("""COMPUTED_VALUE"""),691.4)</f>
        <v>691.4</v>
      </c>
      <c r="D122" s="21">
        <f>IFERROR(__xludf.DUMMYFUNCTION("""COMPUTED_VALUE"""),1.035766501262983)</f>
        <v>1.035766501</v>
      </c>
      <c r="E122" s="21">
        <f>IFERROR(__xludf.DUMMYFUNCTION("""COMPUTED_VALUE"""),-1.7444740353432677)</f>
        <v>-1.744474035</v>
      </c>
      <c r="F122" s="21">
        <f>IFERROR(__xludf.DUMMYFUNCTION("""COMPUTED_VALUE"""),-0.7087075340802845)</f>
        <v>-0.7087075341</v>
      </c>
      <c r="G122" s="23">
        <f>IFERROR(__xludf.DUMMYFUNCTION("""COMPUTED_VALUE"""),0.26878352019350066)</f>
        <v>0.2687835202</v>
      </c>
      <c r="H122" s="4"/>
      <c r="I122" s="5" t="s">
        <v>808</v>
      </c>
      <c r="J122" s="5" t="s">
        <v>648</v>
      </c>
      <c r="K122" s="5">
        <v>8.0</v>
      </c>
      <c r="L122" s="5">
        <v>-0.53952</v>
      </c>
      <c r="M122" s="5">
        <v>-0.00763</v>
      </c>
      <c r="N122" s="5">
        <v>-0.54716</v>
      </c>
      <c r="O122" s="5">
        <v>0.00379</v>
      </c>
    </row>
    <row r="123">
      <c r="A123" s="12" t="str">
        <f>IFERROR(__xludf.DUMMYFUNCTION("""COMPUTED_VALUE"""),"Aris Sotiriou")</f>
        <v>Aris Sotiriou</v>
      </c>
      <c r="B123" s="13" t="str">
        <f>IFERROR(__xludf.DUMMYFUNCTION("""COMPUTED_VALUE"""),"PROM")</f>
        <v>PROM</v>
      </c>
      <c r="C123" s="14">
        <f>IFERROR(__xludf.DUMMYFUNCTION("""COMPUTED_VALUE"""),18.8)</f>
        <v>18.8</v>
      </c>
      <c r="D123" s="15">
        <f>IFERROR(__xludf.DUMMYFUNCTION("""COMPUTED_VALUE"""),-0.5570529469251713)</f>
        <v>-0.5570529469</v>
      </c>
      <c r="E123" s="15">
        <f>IFERROR(__xludf.DUMMYFUNCTION("""COMPUTED_VALUE"""),-0.1690157829956226)</f>
        <v>-0.169015783</v>
      </c>
      <c r="F123" s="15">
        <f>IFERROR(__xludf.DUMMYFUNCTION("""COMPUTED_VALUE"""),-0.7260687299207939)</f>
        <v>-0.7260687299</v>
      </c>
      <c r="G123" s="17">
        <f>IFERROR(__xludf.DUMMYFUNCTION("""COMPUTED_VALUE"""),0.007314386229055414)</f>
        <v>0.007314386229</v>
      </c>
      <c r="H123" s="4"/>
      <c r="I123" s="5" t="s">
        <v>809</v>
      </c>
      <c r="J123" s="5" t="s">
        <v>646</v>
      </c>
      <c r="K123" s="5">
        <v>363.0</v>
      </c>
      <c r="L123" s="5">
        <v>1.8666</v>
      </c>
      <c r="M123" s="5">
        <v>-2.43869</v>
      </c>
      <c r="N123" s="5">
        <v>-0.57209</v>
      </c>
      <c r="O123" s="5">
        <v>0.16012</v>
      </c>
    </row>
    <row r="124">
      <c r="A124" s="18" t="str">
        <f>IFERROR(__xludf.DUMMYFUNCTION("""COMPUTED_VALUE"""),"Ioannis Chatzinikolas")</f>
        <v>Ioannis Chatzinikolas</v>
      </c>
      <c r="B124" s="19" t="str">
        <f>IFERROR(__xludf.DUMMYFUNCTION("""COMPUTED_VALUE"""),"ARI")</f>
        <v>ARI</v>
      </c>
      <c r="C124" s="20">
        <f>IFERROR(__xludf.DUMMYFUNCTION("""COMPUTED_VALUE"""),46.9)</f>
        <v>46.9</v>
      </c>
      <c r="D124" s="21">
        <f>IFERROR(__xludf.DUMMYFUNCTION("""COMPUTED_VALUE"""),-0.43286358010668685)</f>
        <v>-0.4328635801</v>
      </c>
      <c r="E124" s="21">
        <f>IFERROR(__xludf.DUMMYFUNCTION("""COMPUTED_VALUE"""),-0.2958363776476269)</f>
        <v>-0.2958363776</v>
      </c>
      <c r="F124" s="21">
        <f>IFERROR(__xludf.DUMMYFUNCTION("""COMPUTED_VALUE"""),-0.7286999577543137)</f>
        <v>-0.7286999578</v>
      </c>
      <c r="G124" s="23">
        <f>IFERROR(__xludf.DUMMYFUNCTION("""COMPUTED_VALUE"""),0.03743855880652414)</f>
        <v>0.03743855881</v>
      </c>
      <c r="H124" s="4"/>
      <c r="I124" s="5" t="s">
        <v>810</v>
      </c>
      <c r="J124" s="5" t="s">
        <v>631</v>
      </c>
      <c r="K124" s="5">
        <v>68.0</v>
      </c>
      <c r="L124" s="5">
        <v>-0.3217</v>
      </c>
      <c r="M124" s="5">
        <v>-0.28387</v>
      </c>
      <c r="N124" s="5">
        <v>-0.60557</v>
      </c>
      <c r="O124" s="5">
        <v>0.02844</v>
      </c>
    </row>
    <row r="125">
      <c r="A125" s="12" t="str">
        <f>IFERROR(__xludf.DUMMYFUNCTION("""COMPUTED_VALUE"""),"Doron Lamb")</f>
        <v>Doron Lamb</v>
      </c>
      <c r="B125" s="13" t="str">
        <f>IFERROR(__xludf.DUMMYFUNCTION("""COMPUTED_VALUE"""),"LAV")</f>
        <v>LAV</v>
      </c>
      <c r="C125" s="14">
        <f>IFERROR(__xludf.DUMMYFUNCTION("""COMPUTED_VALUE"""),376.4)</f>
        <v>376.4</v>
      </c>
      <c r="D125" s="15">
        <f>IFERROR(__xludf.DUMMYFUNCTION("""COMPUTED_VALUE"""),1.2248651892549622)</f>
        <v>1.224865189</v>
      </c>
      <c r="E125" s="15">
        <f>IFERROR(__xludf.DUMMYFUNCTION("""COMPUTED_VALUE"""),-1.9847750522945335)</f>
        <v>-1.984775052</v>
      </c>
      <c r="F125" s="15">
        <f>IFERROR(__xludf.DUMMYFUNCTION("""COMPUTED_VALUE"""),-0.7599098630395714)</f>
        <v>-0.759909863</v>
      </c>
      <c r="G125" s="17">
        <f>IFERROR(__xludf.DUMMYFUNCTION("""COMPUTED_VALUE"""),0.1410310698766584)</f>
        <v>0.1410310699</v>
      </c>
      <c r="H125" s="4"/>
      <c r="I125" s="5" t="s">
        <v>812</v>
      </c>
      <c r="J125" s="5" t="s">
        <v>646</v>
      </c>
      <c r="K125" s="5">
        <v>133.0</v>
      </c>
      <c r="L125" s="5">
        <v>-0.02476</v>
      </c>
      <c r="M125" s="5">
        <v>-0.61261</v>
      </c>
      <c r="N125" s="5">
        <v>-0.63738</v>
      </c>
      <c r="O125" s="5">
        <v>0.05609</v>
      </c>
    </row>
    <row r="126">
      <c r="A126" s="18" t="str">
        <f>IFERROR(__xludf.DUMMYFUNCTION("""COMPUTED_VALUE"""),"Sotiris Billis")</f>
        <v>Sotiris Billis</v>
      </c>
      <c r="B126" s="19" t="str">
        <f>IFERROR(__xludf.DUMMYFUNCTION("""COMPUTED_VALUE"""),"KOL")</f>
        <v>KOL</v>
      </c>
      <c r="C126" s="20">
        <f>IFERROR(__xludf.DUMMYFUNCTION("""COMPUTED_VALUE"""),133.1)</f>
        <v>133.1</v>
      </c>
      <c r="D126" s="21">
        <f>IFERROR(__xludf.DUMMYFUNCTION("""COMPUTED_VALUE"""),0.20005769941600576)</f>
        <v>0.2000576994</v>
      </c>
      <c r="E126" s="21">
        <f>IFERROR(__xludf.DUMMYFUNCTION("""COMPUTED_VALUE"""),-0.9750531948955832)</f>
        <v>-0.9750531949</v>
      </c>
      <c r="F126" s="21">
        <f>IFERROR(__xludf.DUMMYFUNCTION("""COMPUTED_VALUE"""),-0.7749954954795774)</f>
        <v>-0.7749954955</v>
      </c>
      <c r="G126" s="23">
        <f>IFERROR(__xludf.DUMMYFUNCTION("""COMPUTED_VALUE"""),0.05042428049461645)</f>
        <v>0.05042428049</v>
      </c>
      <c r="H126" s="4"/>
      <c r="I126" s="5" t="s">
        <v>814</v>
      </c>
      <c r="J126" s="5" t="s">
        <v>660</v>
      </c>
      <c r="K126" s="5">
        <v>19.0</v>
      </c>
      <c r="L126" s="5">
        <v>-0.53364</v>
      </c>
      <c r="M126" s="5">
        <v>-0.15331</v>
      </c>
      <c r="N126" s="5">
        <v>-0.68695</v>
      </c>
      <c r="O126" s="5">
        <v>0.00754</v>
      </c>
    </row>
    <row r="127">
      <c r="A127" s="12" t="str">
        <f>IFERROR(__xludf.DUMMYFUNCTION("""COMPUTED_VALUE"""),"Sofoklis Schortsanitis")</f>
        <v>Sofoklis Schortsanitis</v>
      </c>
      <c r="B127" s="13" t="str">
        <f>IFERROR(__xludf.DUMMYFUNCTION("""COMPUTED_VALUE"""),"ARI")</f>
        <v>ARI</v>
      </c>
      <c r="C127" s="14">
        <f>IFERROR(__xludf.DUMMYFUNCTION("""COMPUTED_VALUE"""),9.3)</f>
        <v>9.3</v>
      </c>
      <c r="D127" s="15">
        <f>IFERROR(__xludf.DUMMYFUNCTION("""COMPUTED_VALUE"""),-0.3780028611355521)</f>
        <v>-0.3780028611</v>
      </c>
      <c r="E127" s="15">
        <f>IFERROR(__xludf.DUMMYFUNCTION("""COMPUTED_VALUE"""),-0.418411493640829)</f>
        <v>-0.4184114936</v>
      </c>
      <c r="F127" s="15">
        <f>IFERROR(__xludf.DUMMYFUNCTION("""COMPUTED_VALUE"""),-0.7964143547763811)</f>
        <v>-0.7964143548</v>
      </c>
      <c r="G127" s="17">
        <f>IFERROR(__xludf.DUMMYFUNCTION("""COMPUTED_VALUE"""),0.007028427447521021)</f>
        <v>0.007028427448</v>
      </c>
      <c r="H127" s="4"/>
      <c r="I127" s="5" t="s">
        <v>815</v>
      </c>
      <c r="J127" s="5" t="s">
        <v>671</v>
      </c>
      <c r="K127" s="5">
        <v>691.0</v>
      </c>
      <c r="L127" s="5">
        <v>1.25028</v>
      </c>
      <c r="M127" s="5">
        <v>-1.96083</v>
      </c>
      <c r="N127" s="5">
        <v>-0.71055</v>
      </c>
      <c r="O127" s="5">
        <v>0.2684</v>
      </c>
    </row>
    <row r="128">
      <c r="A128" s="18" t="str">
        <f>IFERROR(__xludf.DUMMYFUNCTION("""COMPUTED_VALUE"""),"Dustin Ware")</f>
        <v>Dustin Ware</v>
      </c>
      <c r="B128" s="19" t="str">
        <f>IFERROR(__xludf.DUMMYFUNCTION("""COMPUTED_VALUE"""),"KOL")</f>
        <v>KOL</v>
      </c>
      <c r="C128" s="20">
        <f>IFERROR(__xludf.DUMMYFUNCTION("""COMPUTED_VALUE"""),362.6)</f>
        <v>362.6</v>
      </c>
      <c r="D128" s="21">
        <f>IFERROR(__xludf.DUMMYFUNCTION("""COMPUTED_VALUE"""),2.3705885130761324)</f>
        <v>2.370588513</v>
      </c>
      <c r="E128" s="21">
        <f>IFERROR(__xludf.DUMMYFUNCTION("""COMPUTED_VALUE"""),-3.2551239011706636)</f>
        <v>-3.255123901</v>
      </c>
      <c r="F128" s="21">
        <f>IFERROR(__xludf.DUMMYFUNCTION("""COMPUTED_VALUE"""),-0.8845353880945311)</f>
        <v>-0.8845353881</v>
      </c>
      <c r="G128" s="23">
        <f>IFERROR(__xludf.DUMMYFUNCTION("""COMPUTED_VALUE"""),0.1250856718196828)</f>
        <v>0.1250856718</v>
      </c>
      <c r="H128" s="4"/>
      <c r="I128" s="5" t="s">
        <v>817</v>
      </c>
      <c r="J128" s="5" t="s">
        <v>677</v>
      </c>
      <c r="K128" s="5">
        <v>47.0</v>
      </c>
      <c r="L128" s="5">
        <v>-0.85019</v>
      </c>
      <c r="M128" s="5">
        <v>0.12211</v>
      </c>
      <c r="N128" s="5">
        <v>-0.72808</v>
      </c>
      <c r="O128" s="5">
        <v>0.03746</v>
      </c>
    </row>
    <row r="129">
      <c r="A129" s="12" t="str">
        <f>IFERROR(__xludf.DUMMYFUNCTION("""COMPUTED_VALUE"""),"Jordan Dickerson")</f>
        <v>Jordan Dickerson</v>
      </c>
      <c r="B129" s="13" t="str">
        <f>IFERROR(__xludf.DUMMYFUNCTION("""COMPUTED_VALUE"""),"AMA")</f>
        <v>AMA</v>
      </c>
      <c r="C129" s="14">
        <f>IFERROR(__xludf.DUMMYFUNCTION("""COMPUTED_VALUE"""),92.9)</f>
        <v>92.9</v>
      </c>
      <c r="D129" s="15">
        <f>IFERROR(__xludf.DUMMYFUNCTION("""COMPUTED_VALUE"""),-0.5685244867923209)</f>
        <v>-0.5685244868</v>
      </c>
      <c r="E129" s="15">
        <f>IFERROR(__xludf.DUMMYFUNCTION("""COMPUTED_VALUE"""),-0.31916481417430986)</f>
        <v>-0.3191648142</v>
      </c>
      <c r="F129" s="15">
        <f>IFERROR(__xludf.DUMMYFUNCTION("""COMPUTED_VALUE"""),-0.8876893009666308)</f>
        <v>-0.887689301</v>
      </c>
      <c r="G129" s="17">
        <f>IFERROR(__xludf.DUMMYFUNCTION("""COMPUTED_VALUE"""),0.03107273289029618)</f>
        <v>0.03107273289</v>
      </c>
      <c r="H129" s="4"/>
      <c r="I129" s="5" t="s">
        <v>819</v>
      </c>
      <c r="J129" s="5" t="s">
        <v>631</v>
      </c>
      <c r="K129" s="5">
        <v>376.0</v>
      </c>
      <c r="L129" s="5">
        <v>2.3084</v>
      </c>
      <c r="M129" s="5">
        <v>-3.06733</v>
      </c>
      <c r="N129" s="5">
        <v>-0.75893</v>
      </c>
      <c r="O129" s="5">
        <v>0.14114</v>
      </c>
    </row>
    <row r="130">
      <c r="A130" s="18" t="str">
        <f>IFERROR(__xludf.DUMMYFUNCTION("""COMPUTED_VALUE"""),"Gary McGhee")</f>
        <v>Gary McGhee</v>
      </c>
      <c r="B130" s="19" t="str">
        <f>IFERROR(__xludf.DUMMYFUNCTION("""COMPUTED_VALUE"""),"KYM")</f>
        <v>KYM</v>
      </c>
      <c r="C130" s="20">
        <f>IFERROR(__xludf.DUMMYFUNCTION("""COMPUTED_VALUE"""),577.1)</f>
        <v>577.1</v>
      </c>
      <c r="D130" s="21">
        <f>IFERROR(__xludf.DUMMYFUNCTION("""COMPUTED_VALUE"""),-1.7370511339062977)</f>
        <v>-1.737051134</v>
      </c>
      <c r="E130" s="21">
        <f>IFERROR(__xludf.DUMMYFUNCTION("""COMPUTED_VALUE"""),0.8061755469311234)</f>
        <v>0.8061755469</v>
      </c>
      <c r="F130" s="21">
        <f>IFERROR(__xludf.DUMMYFUNCTION("""COMPUTED_VALUE"""),-0.9308755869751744)</f>
        <v>-0.930875587</v>
      </c>
      <c r="G130" s="23">
        <f>IFERROR(__xludf.DUMMYFUNCTION("""COMPUTED_VALUE"""),0.18665399058965945)</f>
        <v>0.1866539906</v>
      </c>
      <c r="H130" s="4"/>
      <c r="I130" s="5" t="s">
        <v>821</v>
      </c>
      <c r="J130" s="5" t="s">
        <v>677</v>
      </c>
      <c r="K130" s="5">
        <v>9.0</v>
      </c>
      <c r="L130" s="5">
        <v>-0.46035</v>
      </c>
      <c r="M130" s="5">
        <v>-0.33561</v>
      </c>
      <c r="N130" s="5">
        <v>-0.79596</v>
      </c>
      <c r="O130" s="5">
        <v>0.00703</v>
      </c>
    </row>
    <row r="131">
      <c r="A131" s="12" t="str">
        <f>IFERROR(__xludf.DUMMYFUNCTION("""COMPUTED_VALUE"""),"Anthony Chiki")</f>
        <v>Anthony Chiki</v>
      </c>
      <c r="B131" s="13" t="str">
        <f>IFERROR(__xludf.DUMMYFUNCTION("""COMPUTED_VALUE"""),"RETH")</f>
        <v>RETH</v>
      </c>
      <c r="C131" s="14">
        <f>IFERROR(__xludf.DUMMYFUNCTION("""COMPUTED_VALUE"""),79.7)</f>
        <v>79.7</v>
      </c>
      <c r="D131" s="15">
        <f>IFERROR(__xludf.DUMMYFUNCTION("""COMPUTED_VALUE"""),-1.2039921374026072)</f>
        <v>-1.203992137</v>
      </c>
      <c r="E131" s="15">
        <f>IFERROR(__xludf.DUMMYFUNCTION("""COMPUTED_VALUE"""),0.2720422759803065)</f>
        <v>0.272042276</v>
      </c>
      <c r="F131" s="15">
        <f>IFERROR(__xludf.DUMMYFUNCTION("""COMPUTED_VALUE"""),-0.9319498614223007)</f>
        <v>-0.9319498614</v>
      </c>
      <c r="G131" s="17">
        <f>IFERROR(__xludf.DUMMYFUNCTION("""COMPUTED_VALUE"""),0.02562704947014799)</f>
        <v>0.02562704947</v>
      </c>
      <c r="H131" s="4"/>
      <c r="I131" s="5" t="s">
        <v>822</v>
      </c>
      <c r="J131" s="5" t="s">
        <v>650</v>
      </c>
      <c r="K131" s="5">
        <v>23.0</v>
      </c>
      <c r="L131" s="5">
        <v>-0.39878</v>
      </c>
      <c r="M131" s="5">
        <v>-0.42864</v>
      </c>
      <c r="N131" s="5">
        <v>-0.82741</v>
      </c>
      <c r="O131" s="5">
        <v>0.00812</v>
      </c>
    </row>
    <row r="132">
      <c r="A132" s="18" t="str">
        <f>IFERROR(__xludf.DUMMYFUNCTION("""COMPUTED_VALUE"""),"TrayVonn Wright")</f>
        <v>TrayVonn Wright</v>
      </c>
      <c r="B132" s="19" t="str">
        <f>IFERROR(__xludf.DUMMYFUNCTION("""COMPUTED_VALUE"""),"RETH")</f>
        <v>RETH</v>
      </c>
      <c r="C132" s="20">
        <f>IFERROR(__xludf.DUMMYFUNCTION("""COMPUTED_VALUE"""),28.2)</f>
        <v>28.2</v>
      </c>
      <c r="D132" s="21">
        <f>IFERROR(__xludf.DUMMYFUNCTION("""COMPUTED_VALUE"""),-0.5711209175222217)</f>
        <v>-0.5711209175</v>
      </c>
      <c r="E132" s="21">
        <f>IFERROR(__xludf.DUMMYFUNCTION("""COMPUTED_VALUE"""),-0.3828345229273922)</f>
        <v>-0.3828345229</v>
      </c>
      <c r="F132" s="21">
        <f>IFERROR(__xludf.DUMMYFUNCTION("""COMPUTED_VALUE"""),-0.9539554404496139)</f>
        <v>-0.9539554404</v>
      </c>
      <c r="G132" s="23">
        <f>IFERROR(__xludf.DUMMYFUNCTION("""COMPUTED_VALUE"""),0.008880715115169835)</f>
        <v>0.008880715115</v>
      </c>
      <c r="H132" s="4"/>
      <c r="I132" s="5" t="s">
        <v>825</v>
      </c>
      <c r="J132" s="5" t="s">
        <v>660</v>
      </c>
      <c r="K132" s="5">
        <v>735.0</v>
      </c>
      <c r="L132" s="5">
        <v>0.08087</v>
      </c>
      <c r="M132" s="5">
        <v>-0.95112</v>
      </c>
      <c r="N132" s="5">
        <v>-0.87025</v>
      </c>
      <c r="O132" s="5">
        <v>0.25374</v>
      </c>
    </row>
    <row r="133">
      <c r="A133" s="12" t="str">
        <f>IFERROR(__xludf.DUMMYFUNCTION("""COMPUTED_VALUE"""),"Aaron Rountree")</f>
        <v>Aaron Rountree</v>
      </c>
      <c r="B133" s="13" t="str">
        <f>IFERROR(__xludf.DUMMYFUNCTION("""COMPUTED_VALUE"""),"AMA")</f>
        <v>AMA</v>
      </c>
      <c r="C133" s="14">
        <f>IFERROR(__xludf.DUMMYFUNCTION("""COMPUTED_VALUE"""),269.5)</f>
        <v>269.5</v>
      </c>
      <c r="D133" s="15">
        <f>IFERROR(__xludf.DUMMYFUNCTION("""COMPUTED_VALUE"""),-1.8363126023162284)</f>
        <v>-1.836312602</v>
      </c>
      <c r="E133" s="15">
        <f>IFERROR(__xludf.DUMMYFUNCTION("""COMPUTED_VALUE"""),0.8541455654979615)</f>
        <v>0.8541455655</v>
      </c>
      <c r="F133" s="15">
        <f>IFERROR(__xludf.DUMMYFUNCTION("""COMPUTED_VALUE"""),-0.9821670368182669)</f>
        <v>-0.9821670368</v>
      </c>
      <c r="G133" s="17">
        <f>IFERROR(__xludf.DUMMYFUNCTION("""COMPUTED_VALUE"""),0.08248460601228168)</f>
        <v>0.08248460601</v>
      </c>
      <c r="H133" s="4"/>
      <c r="I133" s="5" t="s">
        <v>827</v>
      </c>
      <c r="J133" s="5" t="s">
        <v>704</v>
      </c>
      <c r="K133" s="5">
        <v>93.0</v>
      </c>
      <c r="L133" s="5">
        <v>-1.3351</v>
      </c>
      <c r="M133" s="5">
        <v>0.44673</v>
      </c>
      <c r="N133" s="5">
        <v>-0.88838</v>
      </c>
      <c r="O133" s="5">
        <v>0.03105</v>
      </c>
    </row>
    <row r="134">
      <c r="A134" s="18" t="str">
        <f>IFERROR(__xludf.DUMMYFUNCTION("""COMPUTED_VALUE"""),"Spyridon Mourtos")</f>
        <v>Spyridon Mourtos</v>
      </c>
      <c r="B134" s="19" t="str">
        <f>IFERROR(__xludf.DUMMYFUNCTION("""COMPUTED_VALUE"""),"ARI")</f>
        <v>ARI</v>
      </c>
      <c r="C134" s="20">
        <f>IFERROR(__xludf.DUMMYFUNCTION("""COMPUTED_VALUE"""),491.1)</f>
        <v>491.1</v>
      </c>
      <c r="D134" s="21">
        <f>IFERROR(__xludf.DUMMYFUNCTION("""COMPUTED_VALUE"""),-0.6564044012389503)</f>
        <v>-0.6564044012</v>
      </c>
      <c r="E134" s="21">
        <f>IFERROR(__xludf.DUMMYFUNCTION("""COMPUTED_VALUE"""),-0.34987999504288636)</f>
        <v>-0.349879995</v>
      </c>
      <c r="F134" s="21">
        <f>IFERROR(__xludf.DUMMYFUNCTION("""COMPUTED_VALUE"""),-1.0062843962818366)</f>
        <v>-1.006284396</v>
      </c>
      <c r="G134" s="23">
        <f>IFERROR(__xludf.DUMMYFUNCTION("""COMPUTED_VALUE"""),0.3064292806006053)</f>
        <v>0.3064292806</v>
      </c>
      <c r="H134" s="4"/>
      <c r="I134" s="5" t="s">
        <v>404</v>
      </c>
      <c r="J134" s="5" t="s">
        <v>30</v>
      </c>
      <c r="K134" s="5">
        <v>445.0</v>
      </c>
      <c r="L134" s="5">
        <v>0.77775</v>
      </c>
      <c r="M134" s="5">
        <v>-1.67616</v>
      </c>
      <c r="N134" s="5">
        <v>-0.89841</v>
      </c>
      <c r="O134" s="5">
        <v>0.14964</v>
      </c>
    </row>
    <row r="135">
      <c r="A135" s="12" t="str">
        <f>IFERROR(__xludf.DUMMYFUNCTION("""COMPUTED_VALUE"""),"Andreas Bekris")</f>
        <v>Andreas Bekris</v>
      </c>
      <c r="B135" s="13" t="str">
        <f>IFERROR(__xludf.DUMMYFUNCTION("""COMPUTED_VALUE"""),"AMA")</f>
        <v>AMA</v>
      </c>
      <c r="C135" s="14">
        <f>IFERROR(__xludf.DUMMYFUNCTION("""COMPUTED_VALUE"""),23.2)</f>
        <v>23.2</v>
      </c>
      <c r="D135" s="15">
        <f>IFERROR(__xludf.DUMMYFUNCTION("""COMPUTED_VALUE"""),-0.44056146262989976)</f>
        <v>-0.4405614626</v>
      </c>
      <c r="E135" s="15">
        <f>IFERROR(__xludf.DUMMYFUNCTION("""COMPUTED_VALUE"""),-0.5717553216009699)</f>
        <v>-0.5717553216</v>
      </c>
      <c r="F135" s="15">
        <f>IFERROR(__xludf.DUMMYFUNCTION("""COMPUTED_VALUE"""),-1.0123167842308696)</f>
        <v>-1.012316784</v>
      </c>
      <c r="G135" s="17">
        <f>IFERROR(__xludf.DUMMYFUNCTION("""COMPUTED_VALUE"""),0.006890381714024361)</f>
        <v>0.006890381714</v>
      </c>
      <c r="H135" s="4"/>
      <c r="I135" s="5" t="s">
        <v>829</v>
      </c>
      <c r="J135" s="5" t="s">
        <v>646</v>
      </c>
      <c r="K135" s="5">
        <v>525.0</v>
      </c>
      <c r="L135" s="5">
        <v>-0.03346</v>
      </c>
      <c r="M135" s="5">
        <v>-0.88896</v>
      </c>
      <c r="N135" s="5">
        <v>-0.92242</v>
      </c>
      <c r="O135" s="5">
        <v>0.17502</v>
      </c>
    </row>
    <row r="136">
      <c r="A136" s="18" t="str">
        <f>IFERROR(__xludf.DUMMYFUNCTION("""COMPUTED_VALUE"""),"Lefteris Mantzoukas")</f>
        <v>Lefteris Mantzoukas</v>
      </c>
      <c r="B136" s="19" t="str">
        <f>IFERROR(__xludf.DUMMYFUNCTION("""COMPUTED_VALUE"""),"PROM")</f>
        <v>PROM</v>
      </c>
      <c r="C136" s="20">
        <f>IFERROR(__xludf.DUMMYFUNCTION("""COMPUTED_VALUE"""),81.3)</f>
        <v>81.3</v>
      </c>
      <c r="D136" s="21">
        <f>IFERROR(__xludf.DUMMYFUNCTION("""COMPUTED_VALUE"""),-0.5650316977965253)</f>
        <v>-0.5650316978</v>
      </c>
      <c r="E136" s="21">
        <f>IFERROR(__xludf.DUMMYFUNCTION("""COMPUTED_VALUE"""),-0.4728296986229463)</f>
        <v>-0.4728296986</v>
      </c>
      <c r="F136" s="21">
        <f>IFERROR(__xludf.DUMMYFUNCTION("""COMPUTED_VALUE"""),-1.0378613964194716)</f>
        <v>-1.037861396</v>
      </c>
      <c r="G136" s="23">
        <f>IFERROR(__xludf.DUMMYFUNCTION("""COMPUTED_VALUE"""),0.02388923416668939)</f>
        <v>0.02388923417</v>
      </c>
      <c r="H136" s="4"/>
      <c r="I136" s="5" t="s">
        <v>832</v>
      </c>
      <c r="J136" s="5" t="s">
        <v>646</v>
      </c>
      <c r="K136" s="5">
        <v>114.0</v>
      </c>
      <c r="L136" s="5">
        <v>-0.13564</v>
      </c>
      <c r="M136" s="5">
        <v>-0.79336</v>
      </c>
      <c r="N136" s="5">
        <v>-0.929</v>
      </c>
      <c r="O136" s="5">
        <v>0.03769</v>
      </c>
    </row>
    <row r="137">
      <c r="A137" s="12" t="str">
        <f>IFERROR(__xludf.DUMMYFUNCTION("""COMPUTED_VALUE"""),"Alex Aggelakos")</f>
        <v>Alex Aggelakos</v>
      </c>
      <c r="B137" s="13" t="str">
        <f>IFERROR(__xludf.DUMMYFUNCTION("""COMPUTED_VALUE"""),"KOL")</f>
        <v>KOL</v>
      </c>
      <c r="C137" s="14">
        <f>IFERROR(__xludf.DUMMYFUNCTION("""COMPUTED_VALUE"""),113.8)</f>
        <v>113.8</v>
      </c>
      <c r="D137" s="15">
        <f>IFERROR(__xludf.DUMMYFUNCTION("""COMPUTED_VALUE"""),0.05678525531339202)</f>
        <v>0.05678525531</v>
      </c>
      <c r="E137" s="15">
        <f>IFERROR(__xludf.DUMMYFUNCTION("""COMPUTED_VALUE"""),-1.103280088891164)</f>
        <v>-1.103280089</v>
      </c>
      <c r="F137" s="15">
        <f>IFERROR(__xludf.DUMMYFUNCTION("""COMPUTED_VALUE"""),-1.046494833577772)</f>
        <v>-1.046494834</v>
      </c>
      <c r="G137" s="17">
        <f>IFERROR(__xludf.DUMMYFUNCTION("""COMPUTED_VALUE"""),0.033557475472773594)</f>
        <v>0.03355747547</v>
      </c>
      <c r="H137" s="4"/>
      <c r="I137" s="5" t="s">
        <v>834</v>
      </c>
      <c r="J137" s="5" t="s">
        <v>642</v>
      </c>
      <c r="K137" s="5">
        <v>577.0</v>
      </c>
      <c r="L137" s="5">
        <v>-1.8215</v>
      </c>
      <c r="M137" s="5">
        <v>0.89154</v>
      </c>
      <c r="N137" s="5">
        <v>-0.92995</v>
      </c>
      <c r="O137" s="5">
        <v>0.18682</v>
      </c>
    </row>
    <row r="138">
      <c r="A138" s="18" t="str">
        <f>IFERROR(__xludf.DUMMYFUNCTION("""COMPUTED_VALUE"""),"Anthony Lee")</f>
        <v>Anthony Lee</v>
      </c>
      <c r="B138" s="19" t="str">
        <f>IFERROR(__xludf.DUMMYFUNCTION("""COMPUTED_VALUE"""),"RETH")</f>
        <v>RETH</v>
      </c>
      <c r="C138" s="20">
        <f>IFERROR(__xludf.DUMMYFUNCTION("""COMPUTED_VALUE"""),368.9)</f>
        <v>368.9</v>
      </c>
      <c r="D138" s="21">
        <f>IFERROR(__xludf.DUMMYFUNCTION("""COMPUTED_VALUE"""),-1.71242132643631)</f>
        <v>-1.712421326</v>
      </c>
      <c r="E138" s="21">
        <f>IFERROR(__xludf.DUMMYFUNCTION("""COMPUTED_VALUE"""),0.6024422023968019)</f>
        <v>0.6024422024</v>
      </c>
      <c r="F138" s="21">
        <f>IFERROR(__xludf.DUMMYFUNCTION("""COMPUTED_VALUE"""),-1.109979124039508)</f>
        <v>-1.109979124</v>
      </c>
      <c r="G138" s="23">
        <f>IFERROR(__xludf.DUMMYFUNCTION("""COMPUTED_VALUE"""),0.098845634554939)</f>
        <v>0.09884563455</v>
      </c>
      <c r="H138" s="4"/>
      <c r="I138" s="5" t="s">
        <v>835</v>
      </c>
      <c r="J138" s="5" t="s">
        <v>671</v>
      </c>
      <c r="K138" s="5">
        <v>80.0</v>
      </c>
      <c r="L138" s="5">
        <v>-1.14704</v>
      </c>
      <c r="M138" s="5">
        <v>0.21457</v>
      </c>
      <c r="N138" s="5">
        <v>-0.93247</v>
      </c>
      <c r="O138" s="5">
        <v>0.02561</v>
      </c>
    </row>
    <row r="139">
      <c r="A139" s="12" t="str">
        <f>IFERROR(__xludf.DUMMYFUNCTION("""COMPUTED_VALUE"""),"Sotirios Manolopoulos")</f>
        <v>Sotirios Manolopoulos</v>
      </c>
      <c r="B139" s="13" t="str">
        <f>IFERROR(__xludf.DUMMYFUNCTION("""COMPUTED_VALUE"""),"KYM")</f>
        <v>KYM</v>
      </c>
      <c r="C139" s="14">
        <f>IFERROR(__xludf.DUMMYFUNCTION("""COMPUTED_VALUE"""),546.7)</f>
        <v>546.7</v>
      </c>
      <c r="D139" s="15">
        <f>IFERROR(__xludf.DUMMYFUNCTION("""COMPUTED_VALUE"""),0.7024776839422634)</f>
        <v>0.7024776839</v>
      </c>
      <c r="E139" s="15">
        <f>IFERROR(__xludf.DUMMYFUNCTION("""COMPUTED_VALUE"""),-1.8202380008329633)</f>
        <v>-1.820238001</v>
      </c>
      <c r="F139" s="15">
        <f>IFERROR(__xludf.DUMMYFUNCTION("""COMPUTED_VALUE"""),-1.1177603168906998)</f>
        <v>-1.117760317</v>
      </c>
      <c r="G139" s="17">
        <f>IFERROR(__xludf.DUMMYFUNCTION("""COMPUTED_VALUE"""),0.1459128770638954)</f>
        <v>0.1459128771</v>
      </c>
      <c r="H139" s="4"/>
      <c r="I139" s="5" t="s">
        <v>837</v>
      </c>
      <c r="J139" s="5" t="s">
        <v>671</v>
      </c>
      <c r="K139" s="5">
        <v>28.0</v>
      </c>
      <c r="L139" s="5">
        <v>-0.55102</v>
      </c>
      <c r="M139" s="5">
        <v>-0.40316</v>
      </c>
      <c r="N139" s="5">
        <v>-0.95418</v>
      </c>
      <c r="O139" s="5">
        <v>0.00888</v>
      </c>
    </row>
    <row r="140">
      <c r="A140" s="18" t="str">
        <f>IFERROR(__xludf.DUMMYFUNCTION("""COMPUTED_VALUE"""),"Panagiotis Kalaitzakis")</f>
        <v>Panagiotis Kalaitzakis</v>
      </c>
      <c r="B140" s="19" t="str">
        <f>IFERROR(__xludf.DUMMYFUNCTION("""COMPUTED_VALUE"""),"ARI")</f>
        <v>ARI</v>
      </c>
      <c r="C140" s="20">
        <f>IFERROR(__xludf.DUMMYFUNCTION("""COMPUTED_VALUE"""),16.5)</f>
        <v>16.5</v>
      </c>
      <c r="D140" s="21">
        <f>IFERROR(__xludf.DUMMYFUNCTION("""COMPUTED_VALUE"""),-0.6841283717548466)</f>
        <v>-0.6841283718</v>
      </c>
      <c r="E140" s="21">
        <f>IFERROR(__xludf.DUMMYFUNCTION("""COMPUTED_VALUE"""),-0.44055485906558556)</f>
        <v>-0.4405548591</v>
      </c>
      <c r="F140" s="21">
        <f>IFERROR(__xludf.DUMMYFUNCTION("""COMPUTED_VALUE"""),-1.1246832308204322)</f>
        <v>-1.124683231</v>
      </c>
      <c r="G140" s="23">
        <f>IFERROR(__xludf.DUMMYFUNCTION("""COMPUTED_VALUE"""),0.009068749608534439)</f>
        <v>0.009068749609</v>
      </c>
      <c r="H140" s="4"/>
      <c r="I140" s="5" t="s">
        <v>838</v>
      </c>
      <c r="J140" s="5" t="s">
        <v>704</v>
      </c>
      <c r="K140" s="5">
        <v>270.0</v>
      </c>
      <c r="L140" s="5">
        <v>-4.06028</v>
      </c>
      <c r="M140" s="5">
        <v>3.076</v>
      </c>
      <c r="N140" s="5">
        <v>-0.98428</v>
      </c>
      <c r="O140" s="5">
        <v>0.08231</v>
      </c>
    </row>
    <row r="141">
      <c r="A141" s="12" t="str">
        <f>IFERROR(__xludf.DUMMYFUNCTION("""COMPUTED_VALUE"""),"Vassilis Spanoulis")</f>
        <v>Vassilis Spanoulis</v>
      </c>
      <c r="B141" s="13" t="str">
        <f>IFERROR(__xludf.DUMMYFUNCTION("""COMPUTED_VALUE"""),"OLY")</f>
        <v>OLY</v>
      </c>
      <c r="C141" s="14">
        <f>IFERROR(__xludf.DUMMYFUNCTION("""COMPUTED_VALUE"""),643.2)</f>
        <v>643.2</v>
      </c>
      <c r="D141" s="15">
        <f>IFERROR(__xludf.DUMMYFUNCTION("""COMPUTED_VALUE"""),-2.801974928156402)</f>
        <v>-2.801974928</v>
      </c>
      <c r="E141" s="15">
        <f>IFERROR(__xludf.DUMMYFUNCTION("""COMPUTED_VALUE"""),1.6266033556100616)</f>
        <v>1.626603356</v>
      </c>
      <c r="F141" s="15">
        <f>IFERROR(__xludf.DUMMYFUNCTION("""COMPUTED_VALUE"""),-1.1753715725463403)</f>
        <v>-1.175371573</v>
      </c>
      <c r="G141" s="17">
        <f>IFERROR(__xludf.DUMMYFUNCTION("""COMPUTED_VALUE"""),0.16183349383001636)</f>
        <v>0.1618334938</v>
      </c>
      <c r="H141" s="4"/>
      <c r="I141" s="5" t="s">
        <v>840</v>
      </c>
      <c r="J141" s="5" t="s">
        <v>677</v>
      </c>
      <c r="K141" s="5">
        <v>491.0</v>
      </c>
      <c r="L141" s="5">
        <v>-3.32402</v>
      </c>
      <c r="M141" s="5">
        <v>2.32322</v>
      </c>
      <c r="N141" s="5">
        <v>-1.00081</v>
      </c>
      <c r="O141" s="5">
        <v>0.30812</v>
      </c>
    </row>
    <row r="142">
      <c r="A142" s="18" t="str">
        <f>IFERROR(__xludf.DUMMYFUNCTION("""COMPUTED_VALUE"""),"Toni Prostran")</f>
        <v>Toni Prostran</v>
      </c>
      <c r="B142" s="19" t="str">
        <f>IFERROR(__xludf.DUMMYFUNCTION("""COMPUTED_VALUE"""),"KOL")</f>
        <v>KOL</v>
      </c>
      <c r="C142" s="20">
        <f>IFERROR(__xludf.DUMMYFUNCTION("""COMPUTED_VALUE"""),116.0)</f>
        <v>116</v>
      </c>
      <c r="D142" s="21">
        <f>IFERROR(__xludf.DUMMYFUNCTION("""COMPUTED_VALUE"""),-0.5350205592886188)</f>
        <v>-0.5350205593</v>
      </c>
      <c r="E142" s="21">
        <f>IFERROR(__xludf.DUMMYFUNCTION("""COMPUTED_VALUE"""),-0.6489195500807301)</f>
        <v>-0.6489195501</v>
      </c>
      <c r="F142" s="21">
        <f>IFERROR(__xludf.DUMMYFUNCTION("""COMPUTED_VALUE"""),-1.183940109369349)</f>
        <v>-1.183940109</v>
      </c>
      <c r="G142" s="23">
        <f>IFERROR(__xludf.DUMMYFUNCTION("""COMPUTED_VALUE"""),0.029275477732587988)</f>
        <v>0.02927547773</v>
      </c>
      <c r="H142" s="4"/>
      <c r="I142" s="5" t="s">
        <v>841</v>
      </c>
      <c r="J142" s="5" t="s">
        <v>704</v>
      </c>
      <c r="K142" s="5">
        <v>23.0</v>
      </c>
      <c r="L142" s="5">
        <v>-0.6321</v>
      </c>
      <c r="M142" s="5">
        <v>-0.38047</v>
      </c>
      <c r="N142" s="5">
        <v>-1.01257</v>
      </c>
      <c r="O142" s="5">
        <v>0.00689</v>
      </c>
    </row>
    <row r="143">
      <c r="A143" s="12" t="str">
        <f>IFERROR(__xludf.DUMMYFUNCTION("""COMPUTED_VALUE"""),"Teddy Okereafor")</f>
        <v>Teddy Okereafor</v>
      </c>
      <c r="B143" s="13" t="str">
        <f>IFERROR(__xludf.DUMMYFUNCTION("""COMPUTED_VALUE"""),"KYM")</f>
        <v>KYM</v>
      </c>
      <c r="C143" s="14">
        <f>IFERROR(__xludf.DUMMYFUNCTION("""COMPUTED_VALUE"""),477.2)</f>
        <v>477.2</v>
      </c>
      <c r="D143" s="15">
        <f>IFERROR(__xludf.DUMMYFUNCTION("""COMPUTED_VALUE"""),-1.390605056439275)</f>
        <v>-1.390605056</v>
      </c>
      <c r="E143" s="15">
        <f>IFERROR(__xludf.DUMMYFUNCTION("""COMPUTED_VALUE"""),0.1878305736950978)</f>
        <v>0.1878305737</v>
      </c>
      <c r="F143" s="15">
        <f>IFERROR(__xludf.DUMMYFUNCTION("""COMPUTED_VALUE"""),-1.202774482744177)</f>
        <v>-1.202774483</v>
      </c>
      <c r="G143" s="17">
        <f>IFERROR(__xludf.DUMMYFUNCTION("""COMPUTED_VALUE"""),0.11509052852621968)</f>
        <v>0.1150905285</v>
      </c>
      <c r="H143" s="4"/>
      <c r="I143" s="5" t="s">
        <v>842</v>
      </c>
      <c r="J143" s="5" t="s">
        <v>646</v>
      </c>
      <c r="K143" s="5">
        <v>116.0</v>
      </c>
      <c r="L143" s="5">
        <v>-0.73017</v>
      </c>
      <c r="M143" s="5">
        <v>-0.33318</v>
      </c>
      <c r="N143" s="5">
        <v>-1.06336</v>
      </c>
      <c r="O143" s="5">
        <v>0.0336</v>
      </c>
    </row>
    <row r="144">
      <c r="A144" s="18" t="str">
        <f>IFERROR(__xludf.DUMMYFUNCTION("""COMPUTED_VALUE"""),"Mario Edwards")</f>
        <v>Mario Edwards</v>
      </c>
      <c r="B144" s="19" t="str">
        <f>IFERROR(__xludf.DUMMYFUNCTION("""COMPUTED_VALUE"""),"KYM")</f>
        <v>KYM</v>
      </c>
      <c r="C144" s="20">
        <f>IFERROR(__xludf.DUMMYFUNCTION("""COMPUTED_VALUE"""),43.5)</f>
        <v>43.5</v>
      </c>
      <c r="D144" s="21">
        <f>IFERROR(__xludf.DUMMYFUNCTION("""COMPUTED_VALUE"""),-0.86947134877207)</f>
        <v>-0.8694713488</v>
      </c>
      <c r="E144" s="21">
        <f>IFERROR(__xludf.DUMMYFUNCTION("""COMPUTED_VALUE"""),-0.34361425548143076)</f>
        <v>-0.3436142555</v>
      </c>
      <c r="F144" s="21">
        <f>IFERROR(__xludf.DUMMYFUNCTION("""COMPUTED_VALUE"""),-1.2130856042535008)</f>
        <v>-1.213085604</v>
      </c>
      <c r="G144" s="23">
        <f>IFERROR(__xludf.DUMMYFUNCTION("""COMPUTED_VALUE"""),0.010355586621962844)</f>
        <v>0.01035558662</v>
      </c>
      <c r="H144" s="4"/>
      <c r="I144" s="5" t="s">
        <v>844</v>
      </c>
      <c r="J144" s="5" t="s">
        <v>671</v>
      </c>
      <c r="K144" s="5">
        <v>369.0</v>
      </c>
      <c r="L144" s="5">
        <v>-1.49647</v>
      </c>
      <c r="M144" s="5">
        <v>0.38583</v>
      </c>
      <c r="N144" s="5">
        <v>-1.11064</v>
      </c>
      <c r="O144" s="5">
        <v>0.09877</v>
      </c>
    </row>
    <row r="145">
      <c r="A145" s="12" t="str">
        <f>IFERROR(__xludf.DUMMYFUNCTION("""COMPUTED_VALUE"""),"Alexios Katzos")</f>
        <v>Alexios Katzos</v>
      </c>
      <c r="B145" s="13" t="str">
        <f>IFERROR(__xludf.DUMMYFUNCTION("""COMPUTED_VALUE"""),"AMA")</f>
        <v>AMA</v>
      </c>
      <c r="C145" s="14">
        <f>IFERROR(__xludf.DUMMYFUNCTION("""COMPUTED_VALUE"""),9.3)</f>
        <v>9.3</v>
      </c>
      <c r="D145" s="15">
        <f>IFERROR(__xludf.DUMMYFUNCTION("""COMPUTED_VALUE"""),-0.8772840777569499)</f>
        <v>-0.8772840778</v>
      </c>
      <c r="E145" s="15">
        <f>IFERROR(__xludf.DUMMYFUNCTION("""COMPUTED_VALUE"""),-0.33940424541497527)</f>
        <v>-0.3394042454</v>
      </c>
      <c r="F145" s="15">
        <f>IFERROR(__xludf.DUMMYFUNCTION("""COMPUTED_VALUE"""),-1.2166883231719252)</f>
        <v>-1.216688323</v>
      </c>
      <c r="G145" s="17">
        <f>IFERROR(__xludf.DUMMYFUNCTION("""COMPUTED_VALUE"""),0.002190560096828978)</f>
        <v>0.002190560097</v>
      </c>
      <c r="H145" s="4"/>
      <c r="I145" s="5" t="s">
        <v>846</v>
      </c>
      <c r="J145" s="5" t="s">
        <v>642</v>
      </c>
      <c r="K145" s="5">
        <v>547.0</v>
      </c>
      <c r="L145" s="5">
        <v>0.61699</v>
      </c>
      <c r="M145" s="5">
        <v>-1.73468</v>
      </c>
      <c r="N145" s="5">
        <v>-1.1177</v>
      </c>
      <c r="O145" s="5">
        <v>0.14592</v>
      </c>
    </row>
    <row r="146">
      <c r="A146" s="18" t="str">
        <f>IFERROR(__xludf.DUMMYFUNCTION("""COMPUTED_VALUE"""),"Bandja Sy")</f>
        <v>Bandja Sy</v>
      </c>
      <c r="B146" s="19" t="str">
        <f>IFERROR(__xludf.DUMMYFUNCTION("""COMPUTED_VALUE"""),"ATH")</f>
        <v>ATH</v>
      </c>
      <c r="C146" s="20">
        <f>IFERROR(__xludf.DUMMYFUNCTION("""COMPUTED_VALUE"""),77.6)</f>
        <v>77.6</v>
      </c>
      <c r="D146" s="21">
        <f>IFERROR(__xludf.DUMMYFUNCTION("""COMPUTED_VALUE"""),-0.468686068060056)</f>
        <v>-0.4686860681</v>
      </c>
      <c r="E146" s="21">
        <f>IFERROR(__xludf.DUMMYFUNCTION("""COMPUTED_VALUE"""),-0.7554238317692135)</f>
        <v>-0.7554238318</v>
      </c>
      <c r="F146" s="21">
        <f>IFERROR(__xludf.DUMMYFUNCTION("""COMPUTED_VALUE"""),-1.2241098998292694)</f>
        <v>-1.2241099</v>
      </c>
      <c r="G146" s="23">
        <f>IFERROR(__xludf.DUMMYFUNCTION("""COMPUTED_VALUE"""),0.019149058566787662)</f>
        <v>0.01914905857</v>
      </c>
      <c r="H146" s="4"/>
      <c r="I146" s="5" t="s">
        <v>847</v>
      </c>
      <c r="J146" s="5" t="s">
        <v>677</v>
      </c>
      <c r="K146" s="5">
        <v>17.0</v>
      </c>
      <c r="L146" s="5">
        <v>-0.83072</v>
      </c>
      <c r="M146" s="5">
        <v>-0.29356</v>
      </c>
      <c r="N146" s="5">
        <v>-1.12428</v>
      </c>
      <c r="O146" s="5">
        <v>0.00907</v>
      </c>
    </row>
    <row r="147">
      <c r="A147" s="12" t="str">
        <f>IFERROR(__xludf.DUMMYFUNCTION("""COMPUTED_VALUE"""),"Stavros Schizas")</f>
        <v>Stavros Schizas</v>
      </c>
      <c r="B147" s="13" t="str">
        <f>IFERROR(__xludf.DUMMYFUNCTION("""COMPUTED_VALUE"""),"KOL")</f>
        <v>KOL</v>
      </c>
      <c r="C147" s="14">
        <f>IFERROR(__xludf.DUMMYFUNCTION("""COMPUTED_VALUE"""),525.2)</f>
        <v>525.2</v>
      </c>
      <c r="D147" s="15">
        <f>IFERROR(__xludf.DUMMYFUNCTION("""COMPUTED_VALUE"""),0.4721782314409987)</f>
        <v>0.4721782314</v>
      </c>
      <c r="E147" s="15">
        <f>IFERROR(__xludf.DUMMYFUNCTION("""COMPUTED_VALUE"""),-1.7056889893553668)</f>
        <v>-1.705688989</v>
      </c>
      <c r="F147" s="15">
        <f>IFERROR(__xludf.DUMMYFUNCTION("""COMPUTED_VALUE"""),-1.233510757914368)</f>
        <v>-1.233510758</v>
      </c>
      <c r="G147" s="17">
        <f>IFERROR(__xludf.DUMMYFUNCTION("""COMPUTED_VALUE"""),0.12449581425674368)</f>
        <v>0.1244958143</v>
      </c>
      <c r="H147" s="4"/>
      <c r="I147" s="5" t="s">
        <v>849</v>
      </c>
      <c r="J147" s="5" t="s">
        <v>642</v>
      </c>
      <c r="K147" s="5">
        <v>477.0</v>
      </c>
      <c r="L147" s="5">
        <v>-1.47785</v>
      </c>
      <c r="M147" s="5">
        <v>0.2737</v>
      </c>
      <c r="N147" s="5">
        <v>-1.20415</v>
      </c>
      <c r="O147" s="5">
        <v>0.11489</v>
      </c>
    </row>
    <row r="148">
      <c r="A148" s="18" t="str">
        <f>IFERROR(__xludf.DUMMYFUNCTION("""COMPUTED_VALUE"""),"Dominique Morrison")</f>
        <v>Dominique Morrison</v>
      </c>
      <c r="B148" s="19" t="str">
        <f>IFERROR(__xludf.DUMMYFUNCTION("""COMPUTED_VALUE"""),"RETH")</f>
        <v>RETH</v>
      </c>
      <c r="C148" s="20">
        <f>IFERROR(__xludf.DUMMYFUNCTION("""COMPUTED_VALUE"""),108.0)</f>
        <v>108</v>
      </c>
      <c r="D148" s="21">
        <f>IFERROR(__xludf.DUMMYFUNCTION("""COMPUTED_VALUE"""),-0.6026585893290666)</f>
        <v>-0.6026585893</v>
      </c>
      <c r="E148" s="21">
        <f>IFERROR(__xludf.DUMMYFUNCTION("""COMPUTED_VALUE"""),-0.6362002335058774)</f>
        <v>-0.6362002335</v>
      </c>
      <c r="F148" s="21">
        <f>IFERROR(__xludf.DUMMYFUNCTION("""COMPUTED_VALUE"""),-1.238858822834944)</f>
        <v>-1.238858823</v>
      </c>
      <c r="G148" s="23">
        <f>IFERROR(__xludf.DUMMYFUNCTION("""COMPUTED_VALUE"""),0.02474785815910023)</f>
        <v>0.02474785816</v>
      </c>
      <c r="H148" s="4"/>
      <c r="I148" s="5" t="s">
        <v>795</v>
      </c>
      <c r="J148" s="5" t="s">
        <v>660</v>
      </c>
      <c r="K148" s="5">
        <v>38.0</v>
      </c>
      <c r="L148" s="5">
        <v>-0.65668</v>
      </c>
      <c r="M148" s="5">
        <v>-0.54815</v>
      </c>
      <c r="N148" s="5">
        <v>-1.20483</v>
      </c>
      <c r="O148" s="5">
        <v>0.00923</v>
      </c>
    </row>
    <row r="149">
      <c r="A149" s="12" t="str">
        <f>IFERROR(__xludf.DUMMYFUNCTION("""COMPUTED_VALUE"""),"Gary Forbes")</f>
        <v>Gary Forbes</v>
      </c>
      <c r="B149" s="13" t="str">
        <f>IFERROR(__xludf.DUMMYFUNCTION("""COMPUTED_VALUE"""),"LAR")</f>
        <v>LAR</v>
      </c>
      <c r="C149" s="14">
        <f>IFERROR(__xludf.DUMMYFUNCTION("""COMPUTED_VALUE"""),61.9)</f>
        <v>61.9</v>
      </c>
      <c r="D149" s="15">
        <f>IFERROR(__xludf.DUMMYFUNCTION("""COMPUTED_VALUE"""),-0.17273436770412712)</f>
        <v>-0.1727343677</v>
      </c>
      <c r="E149" s="15">
        <f>IFERROR(__xludf.DUMMYFUNCTION("""COMPUTED_VALUE"""),-1.095187999421968)</f>
        <v>-1.095187999</v>
      </c>
      <c r="F149" s="15">
        <f>IFERROR(__xludf.DUMMYFUNCTION("""COMPUTED_VALUE"""),-1.267922367126095)</f>
        <v>-1.267922367</v>
      </c>
      <c r="G149" s="17">
        <f>IFERROR(__xludf.DUMMYFUNCTION("""COMPUTED_VALUE"""),0.01383329101508836)</f>
        <v>0.01383329102</v>
      </c>
      <c r="H149" s="4"/>
      <c r="I149" s="5" t="s">
        <v>851</v>
      </c>
      <c r="J149" s="5" t="s">
        <v>642</v>
      </c>
      <c r="K149" s="5">
        <v>44.0</v>
      </c>
      <c r="L149" s="5">
        <v>-0.88249</v>
      </c>
      <c r="M149" s="5">
        <v>-0.3311</v>
      </c>
      <c r="N149" s="5">
        <v>-1.21359</v>
      </c>
      <c r="O149" s="5">
        <v>0.01035</v>
      </c>
    </row>
    <row r="150">
      <c r="A150" s="18" t="str">
        <f>IFERROR(__xludf.DUMMYFUNCTION("""COMPUTED_VALUE"""),"Theodoros Karras")</f>
        <v>Theodoros Karras</v>
      </c>
      <c r="B150" s="19" t="str">
        <f>IFERROR(__xludf.DUMMYFUNCTION("""COMPUTED_VALUE"""),"PAOK")</f>
        <v>PAOK</v>
      </c>
      <c r="C150" s="20">
        <f>IFERROR(__xludf.DUMMYFUNCTION("""COMPUTED_VALUE"""),34.4)</f>
        <v>34.4</v>
      </c>
      <c r="D150" s="21">
        <f>IFERROR(__xludf.DUMMYFUNCTION("""COMPUTED_VALUE"""),-0.9067076412904963)</f>
        <v>-0.9067076413</v>
      </c>
      <c r="E150" s="21">
        <f>IFERROR(__xludf.DUMMYFUNCTION("""COMPUTED_VALUE"""),-0.36970190918430934)</f>
        <v>-0.3697019092</v>
      </c>
      <c r="F150" s="21">
        <f>IFERROR(__xludf.DUMMYFUNCTION("""COMPUTED_VALUE"""),-1.2764095504748056)</f>
        <v>-1.27640955</v>
      </c>
      <c r="G150" s="23">
        <f>IFERROR(__xludf.DUMMYFUNCTION("""COMPUTED_VALUE"""),0.007563072024040176)</f>
        <v>0.007563072024</v>
      </c>
      <c r="H150" s="4"/>
      <c r="I150" s="5" t="s">
        <v>852</v>
      </c>
      <c r="J150" s="5" t="s">
        <v>704</v>
      </c>
      <c r="K150" s="5">
        <v>9.0</v>
      </c>
      <c r="L150" s="5">
        <v>-0.95395</v>
      </c>
      <c r="M150" s="5">
        <v>-0.26275</v>
      </c>
      <c r="N150" s="5">
        <v>-1.2167</v>
      </c>
      <c r="O150" s="5">
        <v>0.00219</v>
      </c>
    </row>
    <row r="151">
      <c r="A151" s="12" t="str">
        <f>IFERROR(__xludf.DUMMYFUNCTION("""COMPUTED_VALUE"""),"Malcolm Armstead")</f>
        <v>Malcolm Armstead</v>
      </c>
      <c r="B151" s="13" t="str">
        <f>IFERROR(__xludf.DUMMYFUNCTION("""COMPUTED_VALUE"""),"RETH")</f>
        <v>RETH</v>
      </c>
      <c r="C151" s="14">
        <f>IFERROR(__xludf.DUMMYFUNCTION("""COMPUTED_VALUE"""),501.4)</f>
        <v>501.4</v>
      </c>
      <c r="D151" s="15">
        <f>IFERROR(__xludf.DUMMYFUNCTION("""COMPUTED_VALUE"""),0.21039158310740752)</f>
        <v>0.2103915831</v>
      </c>
      <c r="E151" s="15">
        <f>IFERROR(__xludf.DUMMYFUNCTION("""COMPUTED_VALUE"""),-1.4905238932641425)</f>
        <v>-1.490523893</v>
      </c>
      <c r="F151" s="15">
        <f>IFERROR(__xludf.DUMMYFUNCTION("""COMPUTED_VALUE"""),-1.280132310156735)</f>
        <v>-1.28013231</v>
      </c>
      <c r="G151" s="17">
        <f>IFERROR(__xludf.DUMMYFUNCTION("""COMPUTED_VALUE"""),0.10866399210620295)</f>
        <v>0.1086639921</v>
      </c>
      <c r="H151" s="4"/>
      <c r="I151" s="5" t="s">
        <v>853</v>
      </c>
      <c r="J151" s="5" t="s">
        <v>648</v>
      </c>
      <c r="K151" s="5">
        <v>78.0</v>
      </c>
      <c r="L151" s="5">
        <v>-0.29545</v>
      </c>
      <c r="M151" s="5">
        <v>-0.92872</v>
      </c>
      <c r="N151" s="5">
        <v>-1.22417</v>
      </c>
      <c r="O151" s="5">
        <v>0.01915</v>
      </c>
    </row>
    <row r="152">
      <c r="A152" s="18" t="str">
        <f>IFERROR(__xludf.DUMMYFUNCTION("""COMPUTED_VALUE"""),"Toure' Murry")</f>
        <v>Toure' Murry</v>
      </c>
      <c r="B152" s="19" t="str">
        <f>IFERROR(__xludf.DUMMYFUNCTION("""COMPUTED_VALUE"""),"PROM")</f>
        <v>PROM</v>
      </c>
      <c r="C152" s="20">
        <f>IFERROR(__xludf.DUMMYFUNCTION("""COMPUTED_VALUE"""),38.0)</f>
        <v>38</v>
      </c>
      <c r="D152" s="21">
        <f>IFERROR(__xludf.DUMMYFUNCTION("""COMPUTED_VALUE"""),-0.7051877371426563)</f>
        <v>-0.7051877371</v>
      </c>
      <c r="E152" s="21">
        <f>IFERROR(__xludf.DUMMYFUNCTION("""COMPUTED_VALUE"""),-0.5799204807536824)</f>
        <v>-0.5799204808</v>
      </c>
      <c r="F152" s="21">
        <f>IFERROR(__xludf.DUMMYFUNCTION("""COMPUTED_VALUE"""),-1.2851082178963387)</f>
        <v>-1.285108218</v>
      </c>
      <c r="G152" s="23">
        <f>IFERROR(__xludf.DUMMYFUNCTION("""COMPUTED_VALUE"""),0.008296557801191025)</f>
        <v>0.008296557801</v>
      </c>
      <c r="H152" s="4"/>
      <c r="I152" s="5" t="s">
        <v>855</v>
      </c>
      <c r="J152" s="5" t="s">
        <v>671</v>
      </c>
      <c r="K152" s="5">
        <v>108.0</v>
      </c>
      <c r="L152" s="5">
        <v>-0.52498</v>
      </c>
      <c r="M152" s="5">
        <v>-0.71417</v>
      </c>
      <c r="N152" s="5">
        <v>-1.23915</v>
      </c>
      <c r="O152" s="5">
        <v>0.02474</v>
      </c>
    </row>
    <row r="153">
      <c r="A153" s="12" t="str">
        <f>IFERROR(__xludf.DUMMYFUNCTION("""COMPUTED_VALUE"""),"Hordur Vilhjalmsson")</f>
        <v>Hordur Vilhjalmsson</v>
      </c>
      <c r="B153" s="13" t="str">
        <f>IFERROR(__xludf.DUMMYFUNCTION("""COMPUTED_VALUE"""),"KYM")</f>
        <v>KYM</v>
      </c>
      <c r="C153" s="14">
        <f>IFERROR(__xludf.DUMMYFUNCTION("""COMPUTED_VALUE"""),116.6)</f>
        <v>116.6</v>
      </c>
      <c r="D153" s="15">
        <f>IFERROR(__xludf.DUMMYFUNCTION("""COMPUTED_VALUE"""),-1.663536090991728)</f>
        <v>-1.663536091</v>
      </c>
      <c r="E153" s="15">
        <f>IFERROR(__xludf.DUMMYFUNCTION("""COMPUTED_VALUE"""),0.34831729216882423)</f>
        <v>0.3483172922</v>
      </c>
      <c r="F153" s="15">
        <f>IFERROR(__xludf.DUMMYFUNCTION("""COMPUTED_VALUE"""),-1.3152187988229038)</f>
        <v>-1.315218799</v>
      </c>
      <c r="G153" s="17">
        <f>IFERROR(__xludf.DUMMYFUNCTION("""COMPUTED_VALUE"""),0.024155072112798867)</f>
        <v>0.02415507211</v>
      </c>
      <c r="H153" s="4"/>
      <c r="I153" s="5" t="s">
        <v>857</v>
      </c>
      <c r="J153" s="5" t="s">
        <v>646</v>
      </c>
      <c r="K153" s="5">
        <v>310.0</v>
      </c>
      <c r="L153" s="5">
        <v>-0.58967</v>
      </c>
      <c r="M153" s="5">
        <v>-0.65909</v>
      </c>
      <c r="N153" s="5">
        <v>-1.24876</v>
      </c>
      <c r="O153" s="5">
        <v>0.07204</v>
      </c>
    </row>
    <row r="154">
      <c r="A154" s="18" t="str">
        <f>IFERROR(__xludf.DUMMYFUNCTION("""COMPUTED_VALUE"""),"Ivan Maras")</f>
        <v>Ivan Maras</v>
      </c>
      <c r="B154" s="19" t="str">
        <f>IFERROR(__xludf.DUMMYFUNCTION("""COMPUTED_VALUE"""),"ARI")</f>
        <v>ARI</v>
      </c>
      <c r="C154" s="20">
        <f>IFERROR(__xludf.DUMMYFUNCTION("""COMPUTED_VALUE"""),435.2)</f>
        <v>435.2</v>
      </c>
      <c r="D154" s="21">
        <f>IFERROR(__xludf.DUMMYFUNCTION("""COMPUTED_VALUE"""),0.2092497810641999)</f>
        <v>0.2092497811</v>
      </c>
      <c r="E154" s="21">
        <f>IFERROR(__xludf.DUMMYFUNCTION("""COMPUTED_VALUE"""),-1.5245939528585097)</f>
        <v>-1.524593953</v>
      </c>
      <c r="F154" s="21">
        <f>IFERROR(__xludf.DUMMYFUNCTION("""COMPUTED_VALUE"""),-1.31534417179431)</f>
        <v>-1.315344172</v>
      </c>
      <c r="G154" s="23">
        <f>IFERROR(__xludf.DUMMYFUNCTION("""COMPUTED_VALUE"""),0.18709380793387573)</f>
        <v>0.1870938079</v>
      </c>
      <c r="H154" s="4"/>
      <c r="I154" s="5" t="s">
        <v>858</v>
      </c>
      <c r="J154" s="5" t="s">
        <v>686</v>
      </c>
      <c r="K154" s="5">
        <v>62.0</v>
      </c>
      <c r="L154" s="5">
        <v>-0.46513</v>
      </c>
      <c r="M154" s="5">
        <v>-0.80249</v>
      </c>
      <c r="N154" s="5">
        <v>-1.26761</v>
      </c>
      <c r="O154" s="5">
        <v>0.01384</v>
      </c>
    </row>
    <row r="155">
      <c r="A155" s="12" t="str">
        <f>IFERROR(__xludf.DUMMYFUNCTION("""COMPUTED_VALUE"""),"Nikos Barlos")</f>
        <v>Nikos Barlos</v>
      </c>
      <c r="B155" s="13" t="str">
        <f>IFERROR(__xludf.DUMMYFUNCTION("""COMPUTED_VALUE"""),"KYM")</f>
        <v>KYM</v>
      </c>
      <c r="C155" s="14">
        <f>IFERROR(__xludf.DUMMYFUNCTION("""COMPUTED_VALUE"""),351.6)</f>
        <v>351.6</v>
      </c>
      <c r="D155" s="15">
        <f>IFERROR(__xludf.DUMMYFUNCTION("""COMPUTED_VALUE"""),-1.6476521433300064)</f>
        <v>-1.647652143</v>
      </c>
      <c r="E155" s="15">
        <f>IFERROR(__xludf.DUMMYFUNCTION("""COMPUTED_VALUE"""),0.3265420806349566)</f>
        <v>0.3265420806</v>
      </c>
      <c r="F155" s="15">
        <f>IFERROR(__xludf.DUMMYFUNCTION("""COMPUTED_VALUE"""),-1.3211100626950498)</f>
        <v>-1.321110063</v>
      </c>
      <c r="G155" s="17">
        <f>IFERROR(__xludf.DUMMYFUNCTION("""COMPUTED_VALUE"""),0.07221147173378968)</f>
        <v>0.07221147173</v>
      </c>
      <c r="H155" s="4"/>
      <c r="I155" s="5" t="s">
        <v>860</v>
      </c>
      <c r="J155" s="5" t="s">
        <v>671</v>
      </c>
      <c r="K155" s="5">
        <v>501.0</v>
      </c>
      <c r="L155" s="5">
        <v>0.42894</v>
      </c>
      <c r="M155" s="5">
        <v>-1.7076</v>
      </c>
      <c r="N155" s="5">
        <v>-1.27866</v>
      </c>
      <c r="O155" s="5">
        <v>0.10889</v>
      </c>
    </row>
    <row r="156">
      <c r="A156" s="18" t="str">
        <f>IFERROR(__xludf.DUMMYFUNCTION("""COMPUTED_VALUE"""),"Stylianos Poulianitis")</f>
        <v>Stylianos Poulianitis</v>
      </c>
      <c r="B156" s="19" t="str">
        <f>IFERROR(__xludf.DUMMYFUNCTION("""COMPUTED_VALUE"""),"ARI")</f>
        <v>ARI</v>
      </c>
      <c r="C156" s="20">
        <f>IFERROR(__xludf.DUMMYFUNCTION("""COMPUTED_VALUE"""),247.2)</f>
        <v>247.2</v>
      </c>
      <c r="D156" s="21">
        <f>IFERROR(__xludf.DUMMYFUNCTION("""COMPUTED_VALUE"""),1.2063534167209655)</f>
        <v>1.206353417</v>
      </c>
      <c r="E156" s="21">
        <f>IFERROR(__xludf.DUMMYFUNCTION("""COMPUTED_VALUE"""),-2.540103147914782)</f>
        <v>-2.540103148</v>
      </c>
      <c r="F156" s="21">
        <f>IFERROR(__xludf.DUMMYFUNCTION("""COMPUTED_VALUE"""),-1.3337497311938165)</f>
        <v>-1.333749731</v>
      </c>
      <c r="G156" s="23">
        <f>IFERROR(__xludf.DUMMYFUNCTION("""COMPUTED_VALUE"""),0.1034151298984282)</f>
        <v>0.1034151299</v>
      </c>
      <c r="H156" s="4"/>
      <c r="I156" s="5" t="s">
        <v>861</v>
      </c>
      <c r="J156" s="5" t="s">
        <v>660</v>
      </c>
      <c r="K156" s="5">
        <v>90.0</v>
      </c>
      <c r="L156" s="5">
        <v>-0.79663</v>
      </c>
      <c r="M156" s="5">
        <v>-0.48287</v>
      </c>
      <c r="N156" s="5">
        <v>-1.2795</v>
      </c>
      <c r="O156" s="5">
        <v>0.01981</v>
      </c>
    </row>
    <row r="157">
      <c r="A157" s="12" t="str">
        <f>IFERROR(__xludf.DUMMYFUNCTION("""COMPUTED_VALUE"""),"Charis Giannopoulos")</f>
        <v>Charis Giannopoulos</v>
      </c>
      <c r="B157" s="13" t="str">
        <f>IFERROR(__xludf.DUMMYFUNCTION("""COMPUTED_VALUE"""),"RETH")</f>
        <v>RETH</v>
      </c>
      <c r="C157" s="14">
        <f>IFERROR(__xludf.DUMMYFUNCTION("""COMPUTED_VALUE"""),674.2)</f>
        <v>674.2</v>
      </c>
      <c r="D157" s="15">
        <f>IFERROR(__xludf.DUMMYFUNCTION("""COMPUTED_VALUE"""),1.3455167294015993)</f>
        <v>1.345516729</v>
      </c>
      <c r="E157" s="15">
        <f>IFERROR(__xludf.DUMMYFUNCTION("""COMPUTED_VALUE"""),-2.68517696607379)</f>
        <v>-2.685176966</v>
      </c>
      <c r="F157" s="15">
        <f>IFERROR(__xludf.DUMMYFUNCTION("""COMPUTED_VALUE"""),-1.3396602366721908)</f>
        <v>-1.339660237</v>
      </c>
      <c r="G157" s="17">
        <f>IFERROR(__xludf.DUMMYFUNCTION("""COMPUTED_VALUE"""),0.13403087199204555)</f>
        <v>0.134030872</v>
      </c>
      <c r="H157" s="4"/>
      <c r="I157" s="5" t="s">
        <v>863</v>
      </c>
      <c r="J157" s="5" t="s">
        <v>677</v>
      </c>
      <c r="K157" s="5">
        <v>435.0</v>
      </c>
      <c r="L157" s="5">
        <v>-2.45556</v>
      </c>
      <c r="M157" s="5">
        <v>1.148</v>
      </c>
      <c r="N157" s="5">
        <v>-1.30756</v>
      </c>
      <c r="O157" s="5">
        <v>0.18922</v>
      </c>
    </row>
    <row r="158">
      <c r="A158" s="18" t="str">
        <f>IFERROR(__xludf.DUMMYFUNCTION("""COMPUTED_VALUE"""),"Avry Holmes")</f>
        <v>Avry Holmes</v>
      </c>
      <c r="B158" s="19" t="str">
        <f>IFERROR(__xludf.DUMMYFUNCTION("""COMPUTED_VALUE"""),"PAI")</f>
        <v>PAI</v>
      </c>
      <c r="C158" s="20">
        <f>IFERROR(__xludf.DUMMYFUNCTION("""COMPUTED_VALUE"""),33.4)</f>
        <v>33.4</v>
      </c>
      <c r="D158" s="21">
        <f>IFERROR(__xludf.DUMMYFUNCTION("""COMPUTED_VALUE"""),-0.6194201457079901)</f>
        <v>-0.6194201457</v>
      </c>
      <c r="E158" s="21">
        <f>IFERROR(__xludf.DUMMYFUNCTION("""COMPUTED_VALUE"""),-0.7545158839648157)</f>
        <v>-0.754515884</v>
      </c>
      <c r="F158" s="21">
        <f>IFERROR(__xludf.DUMMYFUNCTION("""COMPUTED_VALUE"""),-1.3739360296728058)</f>
        <v>-1.37393603</v>
      </c>
      <c r="G158" s="23">
        <f>IFERROR(__xludf.DUMMYFUNCTION("""COMPUTED_VALUE"""),0.0063548768779418926)</f>
        <v>0.006354876878</v>
      </c>
      <c r="H158" s="4"/>
      <c r="I158" s="5" t="s">
        <v>864</v>
      </c>
      <c r="J158" s="5" t="s">
        <v>642</v>
      </c>
      <c r="K158" s="5">
        <v>117.0</v>
      </c>
      <c r="L158" s="5">
        <v>-1.69836</v>
      </c>
      <c r="M158" s="5">
        <v>0.38185</v>
      </c>
      <c r="N158" s="5">
        <v>-1.31651</v>
      </c>
      <c r="O158" s="5">
        <v>0.02411</v>
      </c>
    </row>
    <row r="159">
      <c r="A159" s="12" t="str">
        <f>IFERROR(__xludf.DUMMYFUNCTION("""COMPUTED_VALUE"""),"Avery Woodson")</f>
        <v>Avery Woodson</v>
      </c>
      <c r="B159" s="13" t="str">
        <f>IFERROR(__xludf.DUMMYFUNCTION("""COMPUTED_VALUE"""),"PAI")</f>
        <v>PAI</v>
      </c>
      <c r="C159" s="14">
        <f>IFERROR(__xludf.DUMMYFUNCTION("""COMPUTED_VALUE"""),249.7)</f>
        <v>249.7</v>
      </c>
      <c r="D159" s="15">
        <f>IFERROR(__xludf.DUMMYFUNCTION("""COMPUTED_VALUE"""),1.4944202792559413)</f>
        <v>1.494420279</v>
      </c>
      <c r="E159" s="15">
        <f>IFERROR(__xludf.DUMMYFUNCTION("""COMPUTED_VALUE"""),-2.8915461475888726)</f>
        <v>-2.891546148</v>
      </c>
      <c r="F159" s="15">
        <f>IFERROR(__xludf.DUMMYFUNCTION("""COMPUTED_VALUE"""),-1.3971258683329313)</f>
        <v>-1.397125868</v>
      </c>
      <c r="G159" s="17">
        <f>IFERROR(__xludf.DUMMYFUNCTION("""COMPUTED_VALUE"""),0.045749584553355274)</f>
        <v>0.04574958455</v>
      </c>
      <c r="H159" s="4"/>
      <c r="I159" s="5" t="s">
        <v>865</v>
      </c>
      <c r="J159" s="5" t="s">
        <v>642</v>
      </c>
      <c r="K159" s="5">
        <v>352.0</v>
      </c>
      <c r="L159" s="5">
        <v>-1.73518</v>
      </c>
      <c r="M159" s="5">
        <v>0.41246</v>
      </c>
      <c r="N159" s="5">
        <v>-1.32272</v>
      </c>
      <c r="O159" s="5">
        <v>0.07204</v>
      </c>
    </row>
    <row r="160">
      <c r="A160" s="18" t="str">
        <f>IFERROR(__xludf.DUMMYFUNCTION("""COMPUTED_VALUE"""),"Tony Woods")</f>
        <v>Tony Woods</v>
      </c>
      <c r="B160" s="19" t="str">
        <f>IFERROR(__xludf.DUMMYFUNCTION("""COMPUTED_VALUE"""),"PAI")</f>
        <v>PAI</v>
      </c>
      <c r="C160" s="20">
        <f>IFERROR(__xludf.DUMMYFUNCTION("""COMPUTED_VALUE"""),28.9)</f>
        <v>28.9</v>
      </c>
      <c r="D160" s="21">
        <f>IFERROR(__xludf.DUMMYFUNCTION("""COMPUTED_VALUE"""),-0.7377441842644027)</f>
        <v>-0.7377441843</v>
      </c>
      <c r="E160" s="21">
        <f>IFERROR(__xludf.DUMMYFUNCTION("""COMPUTED_VALUE"""),-0.6786498972864267)</f>
        <v>-0.6786498973</v>
      </c>
      <c r="F160" s="21">
        <f>IFERROR(__xludf.DUMMYFUNCTION("""COMPUTED_VALUE"""),-1.4163940815508294)</f>
        <v>-1.416394082</v>
      </c>
      <c r="G160" s="23">
        <f>IFERROR(__xludf.DUMMYFUNCTION("""COMPUTED_VALUE"""),0.005125774463914759)</f>
        <v>0.005125774464</v>
      </c>
      <c r="H160" s="4"/>
      <c r="I160" s="5" t="s">
        <v>867</v>
      </c>
      <c r="J160" s="5" t="s">
        <v>677</v>
      </c>
      <c r="K160" s="5">
        <v>247.0</v>
      </c>
      <c r="L160" s="5">
        <v>-0.99164</v>
      </c>
      <c r="M160" s="5">
        <v>-0.3375</v>
      </c>
      <c r="N160" s="5">
        <v>-1.32913</v>
      </c>
      <c r="O160" s="5">
        <v>0.10413</v>
      </c>
    </row>
    <row r="161">
      <c r="A161" s="12" t="str">
        <f>IFERROR(__xludf.DUMMYFUNCTION("""COMPUTED_VALUE"""),"Trevor Releford")</f>
        <v>Trevor Releford</v>
      </c>
      <c r="B161" s="13" t="str">
        <f>IFERROR(__xludf.DUMMYFUNCTION("""COMPUTED_VALUE"""),"PROM")</f>
        <v>PROM</v>
      </c>
      <c r="C161" s="14">
        <f>IFERROR(__xludf.DUMMYFUNCTION("""COMPUTED_VALUE"""),90.0)</f>
        <v>90</v>
      </c>
      <c r="D161" s="15">
        <f>IFERROR(__xludf.DUMMYFUNCTION("""COMPUTED_VALUE"""),-0.8624605622189855)</f>
        <v>-0.8624605622</v>
      </c>
      <c r="E161" s="15">
        <f>IFERROR(__xludf.DUMMYFUNCTION("""COMPUTED_VALUE"""),-0.556911840373754)</f>
        <v>-0.5569118404</v>
      </c>
      <c r="F161" s="15">
        <f>IFERROR(__xludf.DUMMYFUNCTION("""COMPUTED_VALUE"""),-1.4193724025927394)</f>
        <v>-1.419372403</v>
      </c>
      <c r="G161" s="17">
        <f>IFERROR(__xludf.DUMMYFUNCTION("""COMPUTED_VALUE"""),0.015959314215188553)</f>
        <v>0.01595931422</v>
      </c>
      <c r="H161" s="4"/>
      <c r="I161" s="5" t="s">
        <v>869</v>
      </c>
      <c r="J161" s="5" t="s">
        <v>671</v>
      </c>
      <c r="K161" s="5">
        <v>674.0</v>
      </c>
      <c r="L161" s="5">
        <v>1.56295</v>
      </c>
      <c r="M161" s="5">
        <v>-2.90205</v>
      </c>
      <c r="N161" s="5">
        <v>-1.3391</v>
      </c>
      <c r="O161" s="5">
        <v>0.13414</v>
      </c>
    </row>
    <row r="162">
      <c r="A162" s="18" t="str">
        <f>IFERROR(__xludf.DUMMYFUNCTION("""COMPUTED_VALUE"""),"Travis Cohn")</f>
        <v>Travis Cohn</v>
      </c>
      <c r="B162" s="19" t="str">
        <f>IFERROR(__xludf.DUMMYFUNCTION("""COMPUTED_VALUE"""),"AMA")</f>
        <v>AMA</v>
      </c>
      <c r="C162" s="20">
        <f>IFERROR(__xludf.DUMMYFUNCTION("""COMPUTED_VALUE"""),190.3)</f>
        <v>190.3</v>
      </c>
      <c r="D162" s="21">
        <f>IFERROR(__xludf.DUMMYFUNCTION("""COMPUTED_VALUE"""),0.24113121220643138)</f>
        <v>0.2411312122</v>
      </c>
      <c r="E162" s="21">
        <f>IFERROR(__xludf.DUMMYFUNCTION("""COMPUTED_VALUE"""),-1.6695504770164915)</f>
        <v>-1.669550477</v>
      </c>
      <c r="F162" s="21">
        <f>IFERROR(__xludf.DUMMYFUNCTION("""COMPUTED_VALUE"""),-1.4284192648100602)</f>
        <v>-1.428419265</v>
      </c>
      <c r="G162" s="23">
        <f>IFERROR(__xludf.DUMMYFUNCTION("""COMPUTED_VALUE"""),0.03270800038088399)</f>
        <v>0.03270800038</v>
      </c>
      <c r="H162" s="4"/>
      <c r="I162" s="5" t="s">
        <v>871</v>
      </c>
      <c r="J162" s="5" t="s">
        <v>639</v>
      </c>
      <c r="K162" s="5">
        <v>33.0</v>
      </c>
      <c r="L162" s="5">
        <v>-0.75605</v>
      </c>
      <c r="M162" s="5">
        <v>-0.61789</v>
      </c>
      <c r="N162" s="5">
        <v>-1.37394</v>
      </c>
      <c r="O162" s="5">
        <v>0.00635</v>
      </c>
    </row>
    <row r="163">
      <c r="A163" s="12" t="str">
        <f>IFERROR(__xludf.DUMMYFUNCTION("""COMPUTED_VALUE"""),"Grigoris Ralatos")</f>
        <v>Grigoris Ralatos</v>
      </c>
      <c r="B163" s="13" t="str">
        <f>IFERROR(__xludf.DUMMYFUNCTION("""COMPUTED_VALUE"""),"PAI")</f>
        <v>PAI</v>
      </c>
      <c r="C163" s="14">
        <f>IFERROR(__xludf.DUMMYFUNCTION("""COMPUTED_VALUE"""),56.2)</f>
        <v>56.2</v>
      </c>
      <c r="D163" s="15">
        <f>IFERROR(__xludf.DUMMYFUNCTION("""COMPUTED_VALUE"""),-0.41579064640425034)</f>
        <v>-0.4157906464</v>
      </c>
      <c r="E163" s="15">
        <f>IFERROR(__xludf.DUMMYFUNCTION("""COMPUTED_VALUE"""),-1.0292315872986117)</f>
        <v>-1.029231587</v>
      </c>
      <c r="F163" s="15">
        <f>IFERROR(__xludf.DUMMYFUNCTION("""COMPUTED_VALUE"""),-1.445022233702862)</f>
        <v>-1.445022234</v>
      </c>
      <c r="G163" s="17">
        <f>IFERROR(__xludf.DUMMYFUNCTION("""COMPUTED_VALUE"""),0.009478810982779388)</f>
        <v>0.009478810983</v>
      </c>
      <c r="H163" s="4"/>
      <c r="I163" s="5" t="s">
        <v>872</v>
      </c>
      <c r="J163" s="5" t="s">
        <v>639</v>
      </c>
      <c r="K163" s="5">
        <v>250.0</v>
      </c>
      <c r="L163" s="5">
        <v>0.4732</v>
      </c>
      <c r="M163" s="5">
        <v>-1.87017</v>
      </c>
      <c r="N163" s="5">
        <v>-1.39697</v>
      </c>
      <c r="O163" s="5">
        <v>0.04576</v>
      </c>
    </row>
    <row r="164">
      <c r="A164" s="18" t="str">
        <f>IFERROR(__xludf.DUMMYFUNCTION("""COMPUTED_VALUE"""),"Casey Prather")</f>
        <v>Casey Prather</v>
      </c>
      <c r="B164" s="19" t="str">
        <f>IFERROR(__xludf.DUMMYFUNCTION("""COMPUTED_VALUE"""),"PROM")</f>
        <v>PROM</v>
      </c>
      <c r="C164" s="20">
        <f>IFERROR(__xludf.DUMMYFUNCTION("""COMPUTED_VALUE"""),248.6)</f>
        <v>248.6</v>
      </c>
      <c r="D164" s="21">
        <f>IFERROR(__xludf.DUMMYFUNCTION("""COMPUTED_VALUE"""),0.08715053824251204)</f>
        <v>0.08715053824</v>
      </c>
      <c r="E164" s="21">
        <f>IFERROR(__xludf.DUMMYFUNCTION("""COMPUTED_VALUE"""),-1.6268963672003658)</f>
        <v>-1.626896367</v>
      </c>
      <c r="F164" s="21">
        <f>IFERROR(__xludf.DUMMYFUNCTION("""COMPUTED_VALUE"""),-1.5397458289578538)</f>
        <v>-1.539745829</v>
      </c>
      <c r="G164" s="23">
        <f>IFERROR(__xludf.DUMMYFUNCTION("""COMPUTED_VALUE"""),0.03494402272594414)</f>
        <v>0.03494402273</v>
      </c>
      <c r="H164" s="4"/>
      <c r="I164" s="5" t="s">
        <v>874</v>
      </c>
      <c r="J164" s="5" t="s">
        <v>639</v>
      </c>
      <c r="K164" s="5">
        <v>29.0</v>
      </c>
      <c r="L164" s="5">
        <v>-0.85612</v>
      </c>
      <c r="M164" s="5">
        <v>-0.5604</v>
      </c>
      <c r="N164" s="5">
        <v>-1.41653</v>
      </c>
      <c r="O164" s="5">
        <v>0.00512</v>
      </c>
    </row>
    <row r="165">
      <c r="A165" s="12" t="str">
        <f>IFERROR(__xludf.DUMMYFUNCTION("""COMPUTED_VALUE"""),"Cameron Jones")</f>
        <v>Cameron Jones</v>
      </c>
      <c r="B165" s="13" t="str">
        <f>IFERROR(__xludf.DUMMYFUNCTION("""COMPUTED_VALUE"""),"KYM")</f>
        <v>KYM</v>
      </c>
      <c r="C165" s="14">
        <f>IFERROR(__xludf.DUMMYFUNCTION("""COMPUTED_VALUE"""),651.3)</f>
        <v>651.3</v>
      </c>
      <c r="D165" s="15">
        <f>IFERROR(__xludf.DUMMYFUNCTION("""COMPUTED_VALUE"""),-1.2218191440407415)</f>
        <v>-1.221819144</v>
      </c>
      <c r="E165" s="15">
        <f>IFERROR(__xludf.DUMMYFUNCTION("""COMPUTED_VALUE"""),-0.32782790483805946)</f>
        <v>-0.3278279048</v>
      </c>
      <c r="F165" s="15">
        <f>IFERROR(__xludf.DUMMYFUNCTION("""COMPUTED_VALUE"""),-1.549647048878801)</f>
        <v>-1.549647049</v>
      </c>
      <c r="G165" s="17">
        <f>IFERROR(__xludf.DUMMYFUNCTION("""COMPUTED_VALUE"""),0.08873440666036808)</f>
        <v>0.08873440666</v>
      </c>
      <c r="H165" s="4"/>
      <c r="I165" s="5" t="s">
        <v>876</v>
      </c>
      <c r="J165" s="5" t="s">
        <v>704</v>
      </c>
      <c r="K165" s="5">
        <v>190.0</v>
      </c>
      <c r="L165" s="5">
        <v>-1.32752</v>
      </c>
      <c r="M165" s="5">
        <v>-0.10096</v>
      </c>
      <c r="N165" s="5">
        <v>-1.42848</v>
      </c>
      <c r="O165" s="5">
        <v>0.0327</v>
      </c>
    </row>
    <row r="166">
      <c r="A166" s="18" t="str">
        <f>IFERROR(__xludf.DUMMYFUNCTION("""COMPUTED_VALUE"""),"Brandon Young")</f>
        <v>Brandon Young</v>
      </c>
      <c r="B166" s="19" t="str">
        <f>IFERROR(__xludf.DUMMYFUNCTION("""COMPUTED_VALUE"""),"KOL")</f>
        <v>KOL</v>
      </c>
      <c r="C166" s="20">
        <f>IFERROR(__xludf.DUMMYFUNCTION("""COMPUTED_VALUE"""),310.1)</f>
        <v>310.1</v>
      </c>
      <c r="D166" s="21">
        <f>IFERROR(__xludf.DUMMYFUNCTION("""COMPUTED_VALUE"""),-0.08579658488885455)</f>
        <v>-0.08579658489</v>
      </c>
      <c r="E166" s="21">
        <f>IFERROR(__xludf.DUMMYFUNCTION("""COMPUTED_VALUE"""),-1.4755045052169584)</f>
        <v>-1.475504505</v>
      </c>
      <c r="F166" s="21">
        <f>IFERROR(__xludf.DUMMYFUNCTION("""COMPUTED_VALUE"""),-1.5613010901058129)</f>
        <v>-1.56130109</v>
      </c>
      <c r="G166" s="23">
        <f>IFERROR(__xludf.DUMMYFUNCTION("""COMPUTED_VALUE"""),0.042071915961968596)</f>
        <v>0.04207191596</v>
      </c>
      <c r="H166" s="4"/>
      <c r="I166" s="5" t="s">
        <v>878</v>
      </c>
      <c r="J166" s="5" t="s">
        <v>639</v>
      </c>
      <c r="K166" s="5">
        <v>56.0</v>
      </c>
      <c r="L166" s="5">
        <v>-0.64617</v>
      </c>
      <c r="M166" s="5">
        <v>-0.79925</v>
      </c>
      <c r="N166" s="5">
        <v>-1.44543</v>
      </c>
      <c r="O166" s="5">
        <v>0.00947</v>
      </c>
    </row>
    <row r="167">
      <c r="A167" s="12" t="str">
        <f>IFERROR(__xludf.DUMMYFUNCTION("""COMPUTED_VALUE"""),"Quenton DeCosey")</f>
        <v>Quenton DeCosey</v>
      </c>
      <c r="B167" s="13" t="str">
        <f>IFERROR(__xludf.DUMMYFUNCTION("""COMPUTED_VALUE"""),"AMA")</f>
        <v>AMA</v>
      </c>
      <c r="C167" s="14">
        <f>IFERROR(__xludf.DUMMYFUNCTION("""COMPUTED_VALUE"""),741.4)</f>
        <v>741.4</v>
      </c>
      <c r="D167" s="15">
        <f>IFERROR(__xludf.DUMMYFUNCTION("""COMPUTED_VALUE"""),0.7896422619668427)</f>
        <v>0.789642262</v>
      </c>
      <c r="E167" s="15">
        <f>IFERROR(__xludf.DUMMYFUNCTION("""COMPUTED_VALUE"""),-2.394932222283633)</f>
        <v>-2.394932222</v>
      </c>
      <c r="F167" s="15">
        <f>IFERROR(__xludf.DUMMYFUNCTION("""COMPUTED_VALUE"""),-1.6052899603167903)</f>
        <v>-1.60528996</v>
      </c>
      <c r="G167" s="17">
        <f>IFERROR(__xludf.DUMMYFUNCTION("""COMPUTED_VALUE"""),0.0879971036406034)</f>
        <v>0.08799710364</v>
      </c>
      <c r="H167" s="4"/>
      <c r="I167" s="5" t="s">
        <v>880</v>
      </c>
      <c r="J167" s="5" t="s">
        <v>642</v>
      </c>
      <c r="K167" s="5">
        <v>651.0</v>
      </c>
      <c r="L167" s="5">
        <v>-1.30593</v>
      </c>
      <c r="M167" s="5">
        <v>-0.24252</v>
      </c>
      <c r="N167" s="5">
        <v>-1.54845</v>
      </c>
      <c r="O167" s="5">
        <v>0.08897</v>
      </c>
    </row>
    <row r="168">
      <c r="A168" s="18" t="str">
        <f>IFERROR(__xludf.DUMMYFUNCTION("""COMPUTED_VALUE"""),"Stefanos Skouloudis")</f>
        <v>Stefanos Skouloudis</v>
      </c>
      <c r="B168" s="19" t="str">
        <f>IFERROR(__xludf.DUMMYFUNCTION("""COMPUTED_VALUE"""),"ARI")</f>
        <v>ARI</v>
      </c>
      <c r="C168" s="20">
        <f>IFERROR(__xludf.DUMMYFUNCTION("""COMPUTED_VALUE"""),73.1)</f>
        <v>73.1</v>
      </c>
      <c r="D168" s="21">
        <f>IFERROR(__xludf.DUMMYFUNCTION("""COMPUTED_VALUE"""),-0.8712794671074895)</f>
        <v>-0.8712794671</v>
      </c>
      <c r="E168" s="21">
        <f>IFERROR(__xludf.DUMMYFUNCTION("""COMPUTED_VALUE"""),-0.7480382746613541)</f>
        <v>-0.7480382747</v>
      </c>
      <c r="F168" s="21">
        <f>IFERROR(__xludf.DUMMYFUNCTION("""COMPUTED_VALUE"""),-1.6193177417688436)</f>
        <v>-1.619317742</v>
      </c>
      <c r="G168" s="23">
        <f>IFERROR(__xludf.DUMMYFUNCTION("""COMPUTED_VALUE"""),0.017473432715431763)</f>
        <v>0.01747343272</v>
      </c>
      <c r="H168" s="4"/>
      <c r="I168" s="5" t="s">
        <v>882</v>
      </c>
      <c r="J168" s="5" t="s">
        <v>650</v>
      </c>
      <c r="K168" s="5">
        <v>227.0</v>
      </c>
      <c r="L168" s="5">
        <v>0.00131</v>
      </c>
      <c r="M168" s="5">
        <v>-1.568</v>
      </c>
      <c r="N168" s="5">
        <v>-1.56669</v>
      </c>
      <c r="O168" s="5">
        <v>0.02989</v>
      </c>
    </row>
    <row r="169">
      <c r="A169" s="12" t="str">
        <f>IFERROR(__xludf.DUMMYFUNCTION("""COMPUTED_VALUE"""),"Jake O'Brien")</f>
        <v>Jake O'Brien</v>
      </c>
      <c r="B169" s="13" t="str">
        <f>IFERROR(__xludf.DUMMYFUNCTION("""COMPUTED_VALUE"""),"KYM")</f>
        <v>KYM</v>
      </c>
      <c r="C169" s="14">
        <f>IFERROR(__xludf.DUMMYFUNCTION("""COMPUTED_VALUE"""),35.0)</f>
        <v>35</v>
      </c>
      <c r="D169" s="15">
        <f>IFERROR(__xludf.DUMMYFUNCTION("""COMPUTED_VALUE"""),-1.425268866097978)</f>
        <v>-1.425268866</v>
      </c>
      <c r="E169" s="15">
        <f>IFERROR(__xludf.DUMMYFUNCTION("""COMPUTED_VALUE"""),-0.20615081995816675)</f>
        <v>-0.20615082</v>
      </c>
      <c r="F169" s="15">
        <f>IFERROR(__xludf.DUMMYFUNCTION("""COMPUTED_VALUE"""),-1.6314196860561447)</f>
        <v>-1.631419686</v>
      </c>
      <c r="G169" s="17">
        <f>IFERROR(__xludf.DUMMYFUNCTION("""COMPUTED_VALUE"""),0.003902636827394577)</f>
        <v>0.003902636827</v>
      </c>
      <c r="H169" s="4"/>
      <c r="I169" s="5" t="s">
        <v>884</v>
      </c>
      <c r="J169" s="5" t="s">
        <v>704</v>
      </c>
      <c r="K169" s="5">
        <v>741.0</v>
      </c>
      <c r="L169" s="5">
        <v>-1.68034</v>
      </c>
      <c r="M169" s="5">
        <v>0.07736</v>
      </c>
      <c r="N169" s="5">
        <v>-1.60298</v>
      </c>
      <c r="O169" s="5">
        <v>0.08851</v>
      </c>
    </row>
    <row r="170">
      <c r="A170" s="18" t="str">
        <f>IFERROR(__xludf.DUMMYFUNCTION("""COMPUTED_VALUE"""),"Tosin Mehinti")</f>
        <v>Tosin Mehinti</v>
      </c>
      <c r="B170" s="19" t="str">
        <f>IFERROR(__xludf.DUMMYFUNCTION("""COMPUTED_VALUE"""),"LAV")</f>
        <v>LAV</v>
      </c>
      <c r="C170" s="20">
        <f>IFERROR(__xludf.DUMMYFUNCTION("""COMPUTED_VALUE"""),46.1)</f>
        <v>46.1</v>
      </c>
      <c r="D170" s="21">
        <f>IFERROR(__xludf.DUMMYFUNCTION("""COMPUTED_VALUE"""),-1.243708069866445)</f>
        <v>-1.24370807</v>
      </c>
      <c r="E170" s="21">
        <f>IFERROR(__xludf.DUMMYFUNCTION("""COMPUTED_VALUE"""),-0.3897834094859689)</f>
        <v>-0.3897834095</v>
      </c>
      <c r="F170" s="21">
        <f>IFERROR(__xludf.DUMMYFUNCTION("""COMPUTED_VALUE"""),-1.633491479352414)</f>
        <v>-1.633491479</v>
      </c>
      <c r="G170" s="23">
        <f>IFERROR(__xludf.DUMMYFUNCTION("""COMPUTED_VALUE"""),0.0051050139530727685)</f>
        <v>0.005105013953</v>
      </c>
      <c r="H170" s="4"/>
      <c r="I170" s="5" t="s">
        <v>886</v>
      </c>
      <c r="J170" s="5" t="s">
        <v>677</v>
      </c>
      <c r="K170" s="5">
        <v>73.0</v>
      </c>
      <c r="L170" s="5">
        <v>-1.5215</v>
      </c>
      <c r="M170" s="5">
        <v>-0.09666</v>
      </c>
      <c r="N170" s="5">
        <v>-1.61816</v>
      </c>
      <c r="O170" s="5">
        <v>0.01753</v>
      </c>
    </row>
    <row r="171">
      <c r="A171" s="12" t="str">
        <f>IFERROR(__xludf.DUMMYFUNCTION("""COMPUTED_VALUE"""),"Marios Sakellariou")</f>
        <v>Marios Sakellariou</v>
      </c>
      <c r="B171" s="13" t="str">
        <f>IFERROR(__xludf.DUMMYFUNCTION("""COMPUTED_VALUE"""),"KYM")</f>
        <v>KYM</v>
      </c>
      <c r="C171" s="14">
        <f>IFERROR(__xludf.DUMMYFUNCTION("""COMPUTED_VALUE"""),68.8)</f>
        <v>68.8</v>
      </c>
      <c r="D171" s="15">
        <f>IFERROR(__xludf.DUMMYFUNCTION("""COMPUTED_VALUE"""),-0.9527781934755869)</f>
        <v>-0.9527781935</v>
      </c>
      <c r="E171" s="15">
        <f>IFERROR(__xludf.DUMMYFUNCTION("""COMPUTED_VALUE"""),-0.7076421362755302)</f>
        <v>-0.7076421363</v>
      </c>
      <c r="F171" s="15">
        <f>IFERROR(__xludf.DUMMYFUNCTION("""COMPUTED_VALUE"""),-1.660420329751117)</f>
        <v>-1.66042033</v>
      </c>
      <c r="G171" s="17">
        <f>IFERROR(__xludf.DUMMYFUNCTION("""COMPUTED_VALUE"""),0.007067862287860802)</f>
        <v>0.007067862288</v>
      </c>
      <c r="H171" s="4"/>
      <c r="I171" s="5" t="s">
        <v>888</v>
      </c>
      <c r="J171" s="5" t="s">
        <v>642</v>
      </c>
      <c r="K171" s="5">
        <v>35.0</v>
      </c>
      <c r="L171" s="5">
        <v>-1.4352</v>
      </c>
      <c r="M171" s="5">
        <v>-0.19618</v>
      </c>
      <c r="N171" s="5">
        <v>-1.63137</v>
      </c>
      <c r="O171" s="5">
        <v>0.0039</v>
      </c>
    </row>
    <row r="172">
      <c r="A172" s="18" t="str">
        <f>IFERROR(__xludf.DUMMYFUNCTION("""COMPUTED_VALUE"""),"Apollona Tsochlas")</f>
        <v>Apollona Tsochlas</v>
      </c>
      <c r="B172" s="19" t="str">
        <f>IFERROR(__xludf.DUMMYFUNCTION("""COMPUTED_VALUE"""),"PAOK")</f>
        <v>PAOK</v>
      </c>
      <c r="C172" s="20">
        <f>IFERROR(__xludf.DUMMYFUNCTION("""COMPUTED_VALUE"""),227.2)</f>
        <v>227.2</v>
      </c>
      <c r="D172" s="21">
        <f>IFERROR(__xludf.DUMMYFUNCTION("""COMPUTED_VALUE"""),-0.6719168402287866)</f>
        <v>-0.6719168402</v>
      </c>
      <c r="E172" s="21">
        <f>IFERROR(__xludf.DUMMYFUNCTION("""COMPUTED_VALUE"""),-1.094234416081811)</f>
        <v>-1.094234416</v>
      </c>
      <c r="F172" s="21">
        <f>IFERROR(__xludf.DUMMYFUNCTION("""COMPUTED_VALUE"""),-1.7661512563105974)</f>
        <v>-1.766151256</v>
      </c>
      <c r="G172" s="23">
        <f>IFERROR(__xludf.DUMMYFUNCTION("""COMPUTED_VALUE"""),0.016143226331575136)</f>
        <v>0.01614322633</v>
      </c>
      <c r="H172" s="4"/>
      <c r="I172" s="5" t="s">
        <v>890</v>
      </c>
      <c r="J172" s="5" t="s">
        <v>631</v>
      </c>
      <c r="K172" s="5">
        <v>46.0</v>
      </c>
      <c r="L172" s="5">
        <v>-1.07738</v>
      </c>
      <c r="M172" s="5">
        <v>-0.5561</v>
      </c>
      <c r="N172" s="5">
        <v>-1.63348</v>
      </c>
      <c r="O172" s="5">
        <v>0.00511</v>
      </c>
    </row>
    <row r="173">
      <c r="A173" s="12" t="str">
        <f>IFERROR(__xludf.DUMMYFUNCTION("""COMPUTED_VALUE"""),"Kentan Facey")</f>
        <v>Kentan Facey</v>
      </c>
      <c r="B173" s="13" t="str">
        <f>IFERROR(__xludf.DUMMYFUNCTION("""COMPUTED_VALUE"""),"ARI")</f>
        <v>ARI</v>
      </c>
      <c r="C173" s="14">
        <f>IFERROR(__xludf.DUMMYFUNCTION("""COMPUTED_VALUE"""),247.1)</f>
        <v>247.1</v>
      </c>
      <c r="D173" s="15">
        <f>IFERROR(__xludf.DUMMYFUNCTION("""COMPUTED_VALUE"""),-0.9068166117026873)</f>
        <v>-0.9068166117</v>
      </c>
      <c r="E173" s="15">
        <f>IFERROR(__xludf.DUMMYFUNCTION("""COMPUTED_VALUE"""),-0.8742329160305361)</f>
        <v>-0.874232916</v>
      </c>
      <c r="F173" s="15">
        <f>IFERROR(__xludf.DUMMYFUNCTION("""COMPUTED_VALUE"""),-1.7810495277332234)</f>
        <v>-1.781049528</v>
      </c>
      <c r="G173" s="17">
        <f>IFERROR(__xludf.DUMMYFUNCTION("""COMPUTED_VALUE"""),0.03397166633198516)</f>
        <v>0.03397166633</v>
      </c>
      <c r="H173" s="4"/>
      <c r="I173" s="5" t="s">
        <v>891</v>
      </c>
      <c r="J173" s="5" t="s">
        <v>642</v>
      </c>
      <c r="K173" s="5">
        <v>69.0</v>
      </c>
      <c r="L173" s="5">
        <v>-0.97321</v>
      </c>
      <c r="M173" s="5">
        <v>-0.68787</v>
      </c>
      <c r="N173" s="5">
        <v>-1.66109</v>
      </c>
      <c r="O173" s="5">
        <v>0.00705</v>
      </c>
    </row>
    <row r="174">
      <c r="A174" s="18" t="str">
        <f>IFERROR(__xludf.DUMMYFUNCTION("""COMPUTED_VALUE"""),"Darington Hobson")</f>
        <v>Darington Hobson</v>
      </c>
      <c r="B174" s="19" t="str">
        <f>IFERROR(__xludf.DUMMYFUNCTION("""COMPUTED_VALUE"""),"RETH")</f>
        <v>RETH</v>
      </c>
      <c r="C174" s="20">
        <f>IFERROR(__xludf.DUMMYFUNCTION("""COMPUTED_VALUE"""),117.1)</f>
        <v>117.1</v>
      </c>
      <c r="D174" s="21">
        <f>IFERROR(__xludf.DUMMYFUNCTION("""COMPUTED_VALUE"""),-1.8541128355645542)</f>
        <v>-1.854112836</v>
      </c>
      <c r="E174" s="21">
        <f>IFERROR(__xludf.DUMMYFUNCTION("""COMPUTED_VALUE"""),0.05881357502777984)</f>
        <v>0.05881357503</v>
      </c>
      <c r="F174" s="21">
        <f>IFERROR(__xludf.DUMMYFUNCTION("""COMPUTED_VALUE"""),-1.7952992605367744)</f>
        <v>-1.795299261</v>
      </c>
      <c r="G174" s="23">
        <f>IFERROR(__xludf.DUMMYFUNCTION("""COMPUTED_VALUE"""),0.007216472346411597)</f>
        <v>0.007216472346</v>
      </c>
      <c r="H174" s="4"/>
      <c r="I174" s="5" t="s">
        <v>893</v>
      </c>
      <c r="J174" s="5" t="s">
        <v>650</v>
      </c>
      <c r="K174" s="5">
        <v>384.0</v>
      </c>
      <c r="L174" s="5">
        <v>0.59755</v>
      </c>
      <c r="M174" s="5">
        <v>-2.36811</v>
      </c>
      <c r="N174" s="5">
        <v>-1.77056</v>
      </c>
      <c r="O174" s="5">
        <v>0.02674</v>
      </c>
    </row>
    <row r="175">
      <c r="A175" s="12" t="str">
        <f>IFERROR(__xludf.DUMMYFUNCTION("""COMPUTED_VALUE"""),"Demetris Morant")</f>
        <v>Demetris Morant</v>
      </c>
      <c r="B175" s="13" t="str">
        <f>IFERROR(__xludf.DUMMYFUNCTION("""COMPUTED_VALUE"""),"ARI")</f>
        <v>ARI</v>
      </c>
      <c r="C175" s="14">
        <f>IFERROR(__xludf.DUMMYFUNCTION("""COMPUTED_VALUE"""),37.1)</f>
        <v>37.1</v>
      </c>
      <c r="D175" s="15">
        <f>IFERROR(__xludf.DUMMYFUNCTION("""COMPUTED_VALUE"""),-0.3713715671828948)</f>
        <v>-0.3713715672</v>
      </c>
      <c r="E175" s="15">
        <f>IFERROR(__xludf.DUMMYFUNCTION("""COMPUTED_VALUE"""),-1.4244125782400927)</f>
        <v>-1.424412578</v>
      </c>
      <c r="F175" s="15">
        <f>IFERROR(__xludf.DUMMYFUNCTION("""COMPUTED_VALUE"""),-1.7957841454229875)</f>
        <v>-1.795784145</v>
      </c>
      <c r="G175" s="17">
        <f>IFERROR(__xludf.DUMMYFUNCTION("""COMPUTED_VALUE"""),0.004757311441893855)</f>
        <v>0.004757311442</v>
      </c>
      <c r="H175" s="4"/>
      <c r="I175" s="5" t="s">
        <v>895</v>
      </c>
      <c r="J175" s="5" t="s">
        <v>677</v>
      </c>
      <c r="K175" s="5">
        <v>247.0</v>
      </c>
      <c r="L175" s="5">
        <v>-3.10317</v>
      </c>
      <c r="M175" s="5">
        <v>1.32735</v>
      </c>
      <c r="N175" s="5">
        <v>-1.77582</v>
      </c>
      <c r="O175" s="5">
        <v>0.03478</v>
      </c>
    </row>
    <row r="176">
      <c r="A176" s="18" t="str">
        <f>IFERROR(__xludf.DUMMYFUNCTION("""COMPUTED_VALUE"""),"Anastasios Antonakis")</f>
        <v>Anastasios Antonakis</v>
      </c>
      <c r="B176" s="19" t="str">
        <f>IFERROR(__xludf.DUMMYFUNCTION("""COMPUTED_VALUE"""),"AMA")</f>
        <v>AMA</v>
      </c>
      <c r="C176" s="20">
        <f>IFERROR(__xludf.DUMMYFUNCTION("""COMPUTED_VALUE"""),104.6)</f>
        <v>104.6</v>
      </c>
      <c r="D176" s="21">
        <f>IFERROR(__xludf.DUMMYFUNCTION("""COMPUTED_VALUE"""),-0.6578950918012236)</f>
        <v>-0.6578950918</v>
      </c>
      <c r="E176" s="21">
        <f>IFERROR(__xludf.DUMMYFUNCTION("""COMPUTED_VALUE"""),-1.141558935020862)</f>
        <v>-1.141558935</v>
      </c>
      <c r="F176" s="21">
        <f>IFERROR(__xludf.DUMMYFUNCTION("""COMPUTED_VALUE"""),-1.7994540268220856)</f>
        <v>-1.799454027</v>
      </c>
      <c r="G176" s="23">
        <f>IFERROR(__xludf.DUMMYFUNCTION("""COMPUTED_VALUE"""),0.006307877544694352)</f>
        <v>0.006307877545</v>
      </c>
      <c r="H176" s="4"/>
      <c r="I176" s="5" t="s">
        <v>897</v>
      </c>
      <c r="J176" s="5" t="s">
        <v>677</v>
      </c>
      <c r="K176" s="5">
        <v>37.0</v>
      </c>
      <c r="L176" s="5">
        <v>-0.70081</v>
      </c>
      <c r="M176" s="5">
        <v>-1.09392</v>
      </c>
      <c r="N176" s="5">
        <v>-1.79473</v>
      </c>
      <c r="O176" s="5">
        <v>0.00478</v>
      </c>
    </row>
    <row r="177">
      <c r="A177" s="12" t="str">
        <f>IFERROR(__xludf.DUMMYFUNCTION("""COMPUTED_VALUE"""),"Shannon Hale")</f>
        <v>Shannon Hale</v>
      </c>
      <c r="B177" s="13" t="str">
        <f>IFERROR(__xludf.DUMMYFUNCTION("""COMPUTED_VALUE"""),"ARI")</f>
        <v>ARI</v>
      </c>
      <c r="C177" s="14">
        <f>IFERROR(__xludf.DUMMYFUNCTION("""COMPUTED_VALUE"""),183.6)</f>
        <v>183.6</v>
      </c>
      <c r="D177" s="15">
        <f>IFERROR(__xludf.DUMMYFUNCTION("""COMPUTED_VALUE"""),0.04243157425226079)</f>
        <v>0.04243157425</v>
      </c>
      <c r="E177" s="15">
        <f>IFERROR(__xludf.DUMMYFUNCTION("""COMPUTED_VALUE"""),-1.924615897210045)</f>
        <v>-1.924615897</v>
      </c>
      <c r="F177" s="15">
        <f>IFERROR(__xludf.DUMMYFUNCTION("""COMPUTED_VALUE"""),-1.8821843229577842)</f>
        <v>-1.882184323</v>
      </c>
      <c r="G177" s="17">
        <f>IFERROR(__xludf.DUMMYFUNCTION("""COMPUTED_VALUE"""),0.013582320627600166)</f>
        <v>0.01358232063</v>
      </c>
      <c r="H177" s="4"/>
      <c r="I177" s="5" t="s">
        <v>899</v>
      </c>
      <c r="J177" s="5" t="s">
        <v>671</v>
      </c>
      <c r="K177" s="5">
        <v>117.0</v>
      </c>
      <c r="L177" s="5">
        <v>-1.77059</v>
      </c>
      <c r="M177" s="5">
        <v>-0.0256</v>
      </c>
      <c r="N177" s="5">
        <v>-1.79619</v>
      </c>
      <c r="O177" s="5">
        <v>0.00719</v>
      </c>
    </row>
    <row r="178">
      <c r="A178" s="18" t="str">
        <f>IFERROR(__xludf.DUMMYFUNCTION("""COMPUTED_VALUE"""),"Adam Kemp")</f>
        <v>Adam Kemp</v>
      </c>
      <c r="B178" s="19" t="str">
        <f>IFERROR(__xludf.DUMMYFUNCTION("""COMPUTED_VALUE"""),"AMA")</f>
        <v>AMA</v>
      </c>
      <c r="C178" s="20">
        <f>IFERROR(__xludf.DUMMYFUNCTION("""COMPUTED_VALUE"""),74.9)</f>
        <v>74.9</v>
      </c>
      <c r="D178" s="21">
        <f>IFERROR(__xludf.DUMMYFUNCTION("""COMPUTED_VALUE"""),-1.0169997117113172)</f>
        <v>-1.016999712</v>
      </c>
      <c r="E178" s="21">
        <f>IFERROR(__xludf.DUMMYFUNCTION("""COMPUTED_VALUE"""),-0.9013543764236349)</f>
        <v>-0.9013543764</v>
      </c>
      <c r="F178" s="21">
        <f>IFERROR(__xludf.DUMMYFUNCTION("""COMPUTED_VALUE"""),-1.9183540881349521)</f>
        <v>-1.918354088</v>
      </c>
      <c r="G178" s="23">
        <f>IFERROR(__xludf.DUMMYFUNCTION("""COMPUTED_VALUE"""),0.00183888209723615)</f>
        <v>0.001838882097</v>
      </c>
      <c r="H178" s="4"/>
      <c r="I178" s="5" t="s">
        <v>901</v>
      </c>
      <c r="J178" s="5" t="s">
        <v>704</v>
      </c>
      <c r="K178" s="5">
        <v>105.0</v>
      </c>
      <c r="L178" s="5">
        <v>-1.52161</v>
      </c>
      <c r="M178" s="5">
        <v>-0.27911</v>
      </c>
      <c r="N178" s="5">
        <v>-1.80071</v>
      </c>
      <c r="O178" s="5">
        <v>0.00627</v>
      </c>
    </row>
    <row r="179">
      <c r="A179" s="12" t="str">
        <f>IFERROR(__xludf.DUMMYFUNCTION("""COMPUTED_VALUE"""),"Nikolao Stylianou")</f>
        <v>Nikolao Stylianou</v>
      </c>
      <c r="B179" s="13" t="str">
        <f>IFERROR(__xludf.DUMMYFUNCTION("""COMPUTED_VALUE"""),"LAR")</f>
        <v>LAR</v>
      </c>
      <c r="C179" s="14">
        <f>IFERROR(__xludf.DUMMYFUNCTION("""COMPUTED_VALUE"""),83.0)</f>
        <v>83</v>
      </c>
      <c r="D179" s="15">
        <f>IFERROR(__xludf.DUMMYFUNCTION("""COMPUTED_VALUE"""),-0.7926820289782607)</f>
        <v>-0.792682029</v>
      </c>
      <c r="E179" s="15">
        <f>IFERROR(__xludf.DUMMYFUNCTION("""COMPUTED_VALUE"""),-1.131304278491481)</f>
        <v>-1.131304278</v>
      </c>
      <c r="F179" s="15">
        <f>IFERROR(__xludf.DUMMYFUNCTION("""COMPUTED_VALUE"""),-1.9239863074697416)</f>
        <v>-1.923986307</v>
      </c>
      <c r="G179" s="17">
        <f>IFERROR(__xludf.DUMMYFUNCTION("""COMPUTED_VALUE"""),0.001925961709377586)</f>
        <v>0.001925961709</v>
      </c>
      <c r="H179" s="4"/>
      <c r="I179" s="5" t="s">
        <v>903</v>
      </c>
      <c r="J179" s="5" t="s">
        <v>677</v>
      </c>
      <c r="K179" s="5">
        <v>184.0</v>
      </c>
      <c r="L179" s="5">
        <v>-1.58905</v>
      </c>
      <c r="M179" s="5">
        <v>-0.28888</v>
      </c>
      <c r="N179" s="5">
        <v>-1.87793</v>
      </c>
      <c r="O179" s="5">
        <v>0.01407</v>
      </c>
    </row>
    <row r="180">
      <c r="A180" s="18" t="str">
        <f>IFERROR(__xludf.DUMMYFUNCTION("""COMPUTED_VALUE"""),"Georgios Kamperidis")</f>
        <v>Georgios Kamperidis</v>
      </c>
      <c r="B180" s="19" t="str">
        <f>IFERROR(__xludf.DUMMYFUNCTION("""COMPUTED_VALUE"""),"PAI")</f>
        <v>PAI</v>
      </c>
      <c r="C180" s="20">
        <f>IFERROR(__xludf.DUMMYFUNCTION("""COMPUTED_VALUE"""),97.2)</f>
        <v>97.2</v>
      </c>
      <c r="D180" s="21">
        <f>IFERROR(__xludf.DUMMYFUNCTION("""COMPUTED_VALUE"""),-0.3830384865002995)</f>
        <v>-0.3830384865</v>
      </c>
      <c r="E180" s="21">
        <f>IFERROR(__xludf.DUMMYFUNCTION("""COMPUTED_VALUE"""),-1.5451698942660084)</f>
        <v>-1.545169894</v>
      </c>
      <c r="F180" s="21">
        <f>IFERROR(__xludf.DUMMYFUNCTION("""COMPUTED_VALUE"""),-1.9282083807663077)</f>
        <v>-1.928208381</v>
      </c>
      <c r="G180" s="23">
        <f>IFERROR(__xludf.DUMMYFUNCTION("""COMPUTED_VALUE"""),0.0021207133808230747)</f>
        <v>0.002120713381</v>
      </c>
      <c r="H180" s="4"/>
      <c r="I180" s="5" t="s">
        <v>905</v>
      </c>
      <c r="J180" s="5" t="s">
        <v>704</v>
      </c>
      <c r="K180" s="5">
        <v>75.0</v>
      </c>
      <c r="L180" s="5">
        <v>-1.63484</v>
      </c>
      <c r="M180" s="5">
        <v>-0.2839</v>
      </c>
      <c r="N180" s="5">
        <v>-1.91874</v>
      </c>
      <c r="O180" s="5">
        <v>0.00183</v>
      </c>
    </row>
    <row r="181">
      <c r="A181" s="12" t="str">
        <f>IFERROR(__xludf.DUMMYFUNCTION("""COMPUTED_VALUE"""),"Michalis Perakis")</f>
        <v>Michalis Perakis</v>
      </c>
      <c r="B181" s="13" t="str">
        <f>IFERROR(__xludf.DUMMYFUNCTION("""COMPUTED_VALUE"""),"LAV")</f>
        <v>LAV</v>
      </c>
      <c r="C181" s="14">
        <f>IFERROR(__xludf.DUMMYFUNCTION("""COMPUTED_VALUE"""),147.9)</f>
        <v>147.9</v>
      </c>
      <c r="D181" s="15">
        <f>IFERROR(__xludf.DUMMYFUNCTION("""COMPUTED_VALUE"""),-1.5564327975457772)</f>
        <v>-1.556432798</v>
      </c>
      <c r="E181" s="15">
        <f>IFERROR(__xludf.DUMMYFUNCTION("""COMPUTED_VALUE"""),-0.4030345746034958)</f>
        <v>-0.4030345746</v>
      </c>
      <c r="F181" s="15">
        <f>IFERROR(__xludf.DUMMYFUNCTION("""COMPUTED_VALUE"""),-1.959467372149273)</f>
        <v>-1.959467372</v>
      </c>
      <c r="G181" s="17">
        <f>IFERROR(__xludf.DUMMYFUNCTION("""COMPUTED_VALUE"""),0.0018112769803118561)</f>
        <v>0.00181127698</v>
      </c>
      <c r="H181" s="4"/>
      <c r="I181" s="5" t="s">
        <v>906</v>
      </c>
      <c r="J181" s="5" t="s">
        <v>686</v>
      </c>
      <c r="K181" s="5">
        <v>83.0</v>
      </c>
      <c r="L181" s="5">
        <v>-1.18613</v>
      </c>
      <c r="M181" s="5">
        <v>-0.73858</v>
      </c>
      <c r="N181" s="5">
        <v>-1.92471</v>
      </c>
      <c r="O181" s="5">
        <v>0.00191</v>
      </c>
    </row>
    <row r="182">
      <c r="A182" s="18" t="str">
        <f>IFERROR(__xludf.DUMMYFUNCTION("""COMPUTED_VALUE"""),"Manny Harris")</f>
        <v>Manny Harris</v>
      </c>
      <c r="B182" s="19" t="str">
        <f>IFERROR(__xludf.DUMMYFUNCTION("""COMPUTED_VALUE"""),"ATH")</f>
        <v>ATH</v>
      </c>
      <c r="C182" s="20">
        <f>IFERROR(__xludf.DUMMYFUNCTION("""COMPUTED_VALUE"""),643.1)</f>
        <v>643.1</v>
      </c>
      <c r="D182" s="21">
        <f>IFERROR(__xludf.DUMMYFUNCTION("""COMPUTED_VALUE"""),-2.528212883101205)</f>
        <v>-2.528212883</v>
      </c>
      <c r="E182" s="21">
        <f>IFERROR(__xludf.DUMMYFUNCTION("""COMPUTED_VALUE"""),0.49345033389012194)</f>
        <v>0.4934503339</v>
      </c>
      <c r="F182" s="21">
        <f>IFERROR(__xludf.DUMMYFUNCTION("""COMPUTED_VALUE"""),-2.034762549211083)</f>
        <v>-2.034762549</v>
      </c>
      <c r="G182" s="23">
        <f>IFERROR(__xludf.DUMMYFUNCTION("""COMPUTED_VALUE"""),-0.007110098574329428)</f>
        <v>-0.007110098574</v>
      </c>
      <c r="H182" s="4"/>
      <c r="I182" s="5" t="s">
        <v>908</v>
      </c>
      <c r="J182" s="5" t="s">
        <v>639</v>
      </c>
      <c r="K182" s="5">
        <v>97.0</v>
      </c>
      <c r="L182" s="5">
        <v>-0.78194</v>
      </c>
      <c r="M182" s="5">
        <v>-1.14734</v>
      </c>
      <c r="N182" s="5">
        <v>-1.92928</v>
      </c>
      <c r="O182" s="5">
        <v>0.00209</v>
      </c>
    </row>
    <row r="183">
      <c r="A183" s="12" t="str">
        <f>IFERROR(__xludf.DUMMYFUNCTION("""COMPUTED_VALUE"""),"Kevin Galloway")</f>
        <v>Kevin Galloway</v>
      </c>
      <c r="B183" s="13" t="str">
        <f>IFERROR(__xludf.DUMMYFUNCTION("""COMPUTED_VALUE"""),"LAR")</f>
        <v>LAR</v>
      </c>
      <c r="C183" s="14">
        <f>IFERROR(__xludf.DUMMYFUNCTION("""COMPUTED_VALUE"""),102.9)</f>
        <v>102.9</v>
      </c>
      <c r="D183" s="15">
        <f>IFERROR(__xludf.DUMMYFUNCTION("""COMPUTED_VALUE"""),-1.130288954775924)</f>
        <v>-1.130288955</v>
      </c>
      <c r="E183" s="15">
        <f>IFERROR(__xludf.DUMMYFUNCTION("""COMPUTED_VALUE"""),-0.9555018617318576)</f>
        <v>-0.9555018617</v>
      </c>
      <c r="F183" s="15">
        <f>IFERROR(__xludf.DUMMYFUNCTION("""COMPUTED_VALUE"""),-2.0857908165077816)</f>
        <v>-2.085790817</v>
      </c>
      <c r="G183" s="17">
        <f>IFERROR(__xludf.DUMMYFUNCTION("""COMPUTED_VALUE"""),-0.0026948456916343977)</f>
        <v>-0.002694845692</v>
      </c>
      <c r="H183" s="4"/>
      <c r="I183" s="5" t="s">
        <v>910</v>
      </c>
      <c r="J183" s="5" t="s">
        <v>631</v>
      </c>
      <c r="K183" s="5">
        <v>148.0</v>
      </c>
      <c r="L183" s="5">
        <v>-1.02418</v>
      </c>
      <c r="M183" s="5">
        <v>-0.93639</v>
      </c>
      <c r="N183" s="5">
        <v>-1.96057</v>
      </c>
      <c r="O183" s="5">
        <v>0.00176</v>
      </c>
    </row>
    <row r="184">
      <c r="A184" s="18" t="str">
        <f>IFERROR(__xludf.DUMMYFUNCTION("""COMPUTED_VALUE"""),"Clint Steindl")</f>
        <v>Clint Steindl</v>
      </c>
      <c r="B184" s="19" t="str">
        <f>IFERROR(__xludf.DUMMYFUNCTION("""COMPUTED_VALUE"""),"PAI")</f>
        <v>PAI</v>
      </c>
      <c r="C184" s="20">
        <f>IFERROR(__xludf.DUMMYFUNCTION("""COMPUTED_VALUE"""),71.1)</f>
        <v>71.1</v>
      </c>
      <c r="D184" s="21">
        <f>IFERROR(__xludf.DUMMYFUNCTION("""COMPUTED_VALUE"""),-0.9705706744178981)</f>
        <v>-0.9705706744</v>
      </c>
      <c r="E184" s="21">
        <f>IFERROR(__xludf.DUMMYFUNCTION("""COMPUTED_VALUE"""),-1.1649489377660716)</f>
        <v>-1.164948938</v>
      </c>
      <c r="F184" s="21">
        <f>IFERROR(__xludf.DUMMYFUNCTION("""COMPUTED_VALUE"""),-2.1355196121839697)</f>
        <v>-2.135519612</v>
      </c>
      <c r="G184" s="23">
        <f>IFERROR(__xludf.DUMMYFUNCTION("""COMPUTED_VALUE"""),-0.002928287501102091)</f>
        <v>-0.002928287501</v>
      </c>
      <c r="H184" s="4"/>
      <c r="I184" s="5" t="s">
        <v>912</v>
      </c>
      <c r="J184" s="5" t="s">
        <v>648</v>
      </c>
      <c r="K184" s="5">
        <v>643.0</v>
      </c>
      <c r="L184" s="5">
        <v>-1.85586</v>
      </c>
      <c r="M184" s="5">
        <v>-0.17697</v>
      </c>
      <c r="N184" s="5">
        <v>-2.03283</v>
      </c>
      <c r="O184" s="5">
        <v>-0.00672</v>
      </c>
    </row>
    <row r="185">
      <c r="A185" s="12" t="str">
        <f>IFERROR(__xludf.DUMMYFUNCTION("""COMPUTED_VALUE"""),"Dimitrios Flionis")</f>
        <v>Dimitrios Flionis</v>
      </c>
      <c r="B185" s="13" t="str">
        <f>IFERROR(__xludf.DUMMYFUNCTION("""COMPUTED_VALUE"""),"ARI")</f>
        <v>ARI</v>
      </c>
      <c r="C185" s="14">
        <f>IFERROR(__xludf.DUMMYFUNCTION("""COMPUTED_VALUE"""),419.2)</f>
        <v>419.2</v>
      </c>
      <c r="D185" s="15">
        <f>IFERROR(__xludf.DUMMYFUNCTION("""COMPUTED_VALUE"""),0.9598204170148215)</f>
        <v>0.959820417</v>
      </c>
      <c r="E185" s="15">
        <f>IFERROR(__xludf.DUMMYFUNCTION("""COMPUTED_VALUE"""),-3.125654429655097)</f>
        <v>-3.12565443</v>
      </c>
      <c r="F185" s="15">
        <f>IFERROR(__xludf.DUMMYFUNCTION("""COMPUTED_VALUE"""),-2.1658340126402758)</f>
        <v>-2.165834013</v>
      </c>
      <c r="G185" s="17">
        <f>IFERROR(__xludf.DUMMYFUNCTION("""COMPUTED_VALUE"""),-0.04365088984841243)</f>
        <v>-0.04365088985</v>
      </c>
      <c r="H185" s="4"/>
      <c r="I185" s="5" t="s">
        <v>916</v>
      </c>
      <c r="J185" s="5" t="s">
        <v>660</v>
      </c>
      <c r="K185" s="5">
        <v>193.0</v>
      </c>
      <c r="L185" s="5">
        <v>-2.79898</v>
      </c>
      <c r="M185" s="5">
        <v>0.72058</v>
      </c>
      <c r="N185" s="5">
        <v>-2.0784</v>
      </c>
      <c r="O185" s="5">
        <v>-0.00461</v>
      </c>
    </row>
    <row r="186">
      <c r="A186" s="18" t="str">
        <f>IFERROR(__xludf.DUMMYFUNCTION("""COMPUTED_VALUE"""),"Dionysis Skoulidas")</f>
        <v>Dionysis Skoulidas</v>
      </c>
      <c r="B186" s="19" t="str">
        <f>IFERROR(__xludf.DUMMYFUNCTION("""COMPUTED_VALUE"""),"AMA")</f>
        <v>AMA</v>
      </c>
      <c r="C186" s="20">
        <f>IFERROR(__xludf.DUMMYFUNCTION("""COMPUTED_VALUE"""),473.3)</f>
        <v>473.3</v>
      </c>
      <c r="D186" s="21">
        <f>IFERROR(__xludf.DUMMYFUNCTION("""COMPUTED_VALUE"""),0.7359254385073543)</f>
        <v>0.7359254385</v>
      </c>
      <c r="E186" s="21">
        <f>IFERROR(__xludf.DUMMYFUNCTION("""COMPUTED_VALUE"""),-2.9053862829100217)</f>
        <v>-2.905386283</v>
      </c>
      <c r="F186" s="21">
        <f>IFERROR(__xludf.DUMMYFUNCTION("""COMPUTED_VALUE"""),-2.1694608444026673)</f>
        <v>-2.169460844</v>
      </c>
      <c r="G186" s="23">
        <f>IFERROR(__xludf.DUMMYFUNCTION("""COMPUTED_VALUE"""),-0.024118122335313612)</f>
        <v>-0.02411812234</v>
      </c>
      <c r="H186" s="4"/>
      <c r="I186" s="5" t="s">
        <v>918</v>
      </c>
      <c r="J186" s="5" t="s">
        <v>686</v>
      </c>
      <c r="K186" s="5">
        <v>103.0</v>
      </c>
      <c r="L186" s="5">
        <v>-1.61749</v>
      </c>
      <c r="M186" s="5">
        <v>-0.46873</v>
      </c>
      <c r="N186" s="5">
        <v>-2.08622</v>
      </c>
      <c r="O186" s="5">
        <v>-0.00271</v>
      </c>
    </row>
    <row r="187">
      <c r="A187" s="12" t="str">
        <f>IFERROR(__xludf.DUMMYFUNCTION("""COMPUTED_VALUE"""),"Angelo Tsagarakis")</f>
        <v>Angelo Tsagarakis</v>
      </c>
      <c r="B187" s="13" t="str">
        <f>IFERROR(__xludf.DUMMYFUNCTION("""COMPUTED_VALUE"""),"KYM")</f>
        <v>KYM</v>
      </c>
      <c r="C187" s="14">
        <f>IFERROR(__xludf.DUMMYFUNCTION("""COMPUTED_VALUE"""),543.1)</f>
        <v>543.1</v>
      </c>
      <c r="D187" s="15">
        <f>IFERROR(__xludf.DUMMYFUNCTION("""COMPUTED_VALUE"""),0.07419162796746137)</f>
        <v>0.07419162797</v>
      </c>
      <c r="E187" s="15">
        <f>IFERROR(__xludf.DUMMYFUNCTION("""COMPUTED_VALUE"""),-2.2455221546669693)</f>
        <v>-2.245522155</v>
      </c>
      <c r="F187" s="15">
        <f>IFERROR(__xludf.DUMMYFUNCTION("""COMPUTED_VALUE"""),-2.1713305266995078)</f>
        <v>-2.171330527</v>
      </c>
      <c r="G187" s="17">
        <f>IFERROR(__xludf.DUMMYFUNCTION("""COMPUTED_VALUE"""),-0.02814961836129156)</f>
        <v>-0.02814961836</v>
      </c>
      <c r="H187" s="4"/>
      <c r="I187" s="5" t="s">
        <v>379</v>
      </c>
      <c r="J187" s="5" t="s">
        <v>639</v>
      </c>
      <c r="K187" s="5">
        <v>71.0</v>
      </c>
      <c r="L187" s="5">
        <v>-1.26175</v>
      </c>
      <c r="M187" s="5">
        <v>-0.87405</v>
      </c>
      <c r="N187" s="5">
        <v>-2.1358</v>
      </c>
      <c r="O187" s="5">
        <v>-0.00293</v>
      </c>
    </row>
    <row r="188">
      <c r="A188" s="18" t="str">
        <f>IFERROR(__xludf.DUMMYFUNCTION("""COMPUTED_VALUE"""),"John Fields")</f>
        <v>John Fields</v>
      </c>
      <c r="B188" s="19" t="str">
        <f>IFERROR(__xludf.DUMMYFUNCTION("""COMPUTED_VALUE"""),"ARI")</f>
        <v>ARI</v>
      </c>
      <c r="C188" s="20">
        <f>IFERROR(__xludf.DUMMYFUNCTION("""COMPUTED_VALUE"""),219.9)</f>
        <v>219.9</v>
      </c>
      <c r="D188" s="21">
        <f>IFERROR(__xludf.DUMMYFUNCTION("""COMPUTED_VALUE"""),0.11621515319068033)</f>
        <v>0.1162151532</v>
      </c>
      <c r="E188" s="21">
        <f>IFERROR(__xludf.DUMMYFUNCTION("""COMPUTED_VALUE"""),-2.380263012493399)</f>
        <v>-2.380263012</v>
      </c>
      <c r="F188" s="21">
        <f>IFERROR(__xludf.DUMMYFUNCTION("""COMPUTED_VALUE"""),-2.2640478593027185)</f>
        <v>-2.264047859</v>
      </c>
      <c r="G188" s="23">
        <f>IFERROR(__xludf.DUMMYFUNCTION("""COMPUTED_VALUE"""),-0.03645911297830501)</f>
        <v>-0.03645911298</v>
      </c>
      <c r="H188" s="4"/>
      <c r="I188" s="5" t="s">
        <v>922</v>
      </c>
      <c r="J188" s="5" t="s">
        <v>660</v>
      </c>
      <c r="K188" s="5">
        <v>379.0</v>
      </c>
      <c r="L188" s="5">
        <v>-1.76994</v>
      </c>
      <c r="M188" s="5">
        <v>-0.37474</v>
      </c>
      <c r="N188" s="5">
        <v>-2.14468</v>
      </c>
      <c r="O188" s="5">
        <v>-0.01674</v>
      </c>
    </row>
    <row r="189">
      <c r="A189" s="12" t="str">
        <f>IFERROR(__xludf.DUMMYFUNCTION("""COMPUTED_VALUE"""),"Halil Kanacevic")</f>
        <v>Halil Kanacevic</v>
      </c>
      <c r="B189" s="13" t="str">
        <f>IFERROR(__xludf.DUMMYFUNCTION("""COMPUTED_VALUE"""),"ARI")</f>
        <v>ARI</v>
      </c>
      <c r="C189" s="14">
        <f>IFERROR(__xludf.DUMMYFUNCTION("""COMPUTED_VALUE"""),132.2)</f>
        <v>132.2</v>
      </c>
      <c r="D189" s="15">
        <f>IFERROR(__xludf.DUMMYFUNCTION("""COMPUTED_VALUE"""),-0.8761820189603223)</f>
        <v>-0.876182019</v>
      </c>
      <c r="E189" s="15">
        <f>IFERROR(__xludf.DUMMYFUNCTION("""COMPUTED_VALUE"""),-1.397575162059701)</f>
        <v>-1.397575162</v>
      </c>
      <c r="F189" s="15">
        <f>IFERROR(__xludf.DUMMYFUNCTION("""COMPUTED_VALUE"""),-2.273757181020023)</f>
        <v>-2.273757181</v>
      </c>
      <c r="G189" s="17">
        <f>IFERROR(__xludf.DUMMYFUNCTION("""COMPUTED_VALUE"""),-0.022724544845344846)</f>
        <v>-0.02272454485</v>
      </c>
      <c r="H189" s="4"/>
      <c r="I189" s="5" t="s">
        <v>925</v>
      </c>
      <c r="J189" s="5" t="s">
        <v>677</v>
      </c>
      <c r="K189" s="5">
        <v>419.0</v>
      </c>
      <c r="L189" s="5">
        <v>-1.70574</v>
      </c>
      <c r="M189" s="5">
        <v>-0.45293</v>
      </c>
      <c r="N189" s="5">
        <v>-2.15866</v>
      </c>
      <c r="O189" s="5">
        <v>-0.04176</v>
      </c>
    </row>
    <row r="190">
      <c r="A190" s="18" t="str">
        <f>IFERROR(__xludf.DUMMYFUNCTION("""COMPUTED_VALUE"""),"Ronald Ross")</f>
        <v>Ronald Ross</v>
      </c>
      <c r="B190" s="19" t="str">
        <f>IFERROR(__xludf.DUMMYFUNCTION("""COMPUTED_VALUE"""),"ARI")</f>
        <v>ARI</v>
      </c>
      <c r="C190" s="20">
        <f>IFERROR(__xludf.DUMMYFUNCTION("""COMPUTED_VALUE"""),155.4)</f>
        <v>155.4</v>
      </c>
      <c r="D190" s="21">
        <f>IFERROR(__xludf.DUMMYFUNCTION("""COMPUTED_VALUE"""),-0.34116729242657373)</f>
        <v>-0.3411672924</v>
      </c>
      <c r="E190" s="21">
        <f>IFERROR(__xludf.DUMMYFUNCTION("""COMPUTED_VALUE"""),-1.934914194720633)</f>
        <v>-1.934914195</v>
      </c>
      <c r="F190" s="21">
        <f>IFERROR(__xludf.DUMMYFUNCTION("""COMPUTED_VALUE"""),-2.2760814871472066)</f>
        <v>-2.276081487</v>
      </c>
      <c r="G190" s="23">
        <f>IFERROR(__xludf.DUMMYFUNCTION("""COMPUTED_VALUE"""),-0.026939313124806612)</f>
        <v>-0.02693931312</v>
      </c>
      <c r="H190" s="4"/>
      <c r="I190" s="5" t="s">
        <v>929</v>
      </c>
      <c r="J190" s="5" t="s">
        <v>646</v>
      </c>
      <c r="K190" s="5">
        <v>163.0</v>
      </c>
      <c r="L190" s="5">
        <v>-1.3296</v>
      </c>
      <c r="M190" s="5">
        <v>-0.83642</v>
      </c>
      <c r="N190" s="5">
        <v>-2.16602</v>
      </c>
      <c r="O190" s="5">
        <v>-0.00836</v>
      </c>
    </row>
    <row r="191">
      <c r="A191" s="12" t="str">
        <f>IFERROR(__xludf.DUMMYFUNCTION("""COMPUTED_VALUE"""),"D.J. Johnson")</f>
        <v>D.J. Johnson</v>
      </c>
      <c r="B191" s="13" t="str">
        <f>IFERROR(__xludf.DUMMYFUNCTION("""COMPUTED_VALUE"""),"LAV")</f>
        <v>LAV</v>
      </c>
      <c r="C191" s="14">
        <f>IFERROR(__xludf.DUMMYFUNCTION("""COMPUTED_VALUE"""),224.4)</f>
        <v>224.4</v>
      </c>
      <c r="D191" s="15">
        <f>IFERROR(__xludf.DUMMYFUNCTION("""COMPUTED_VALUE"""),-1.149675969862005)</f>
        <v>-1.14967597</v>
      </c>
      <c r="E191" s="15">
        <f>IFERROR(__xludf.DUMMYFUNCTION("""COMPUTED_VALUE"""),-1.1487540686871747)</f>
        <v>-1.148754069</v>
      </c>
      <c r="F191" s="15">
        <f>IFERROR(__xludf.DUMMYFUNCTION("""COMPUTED_VALUE"""),-2.2984300385491796)</f>
        <v>-2.298430039</v>
      </c>
      <c r="G191" s="17">
        <f>IFERROR(__xludf.DUMMYFUNCTION("""COMPUTED_VALUE"""),-0.02023379380810801)</f>
        <v>-0.02023379381</v>
      </c>
      <c r="H191" s="4"/>
      <c r="I191" s="5" t="s">
        <v>931</v>
      </c>
      <c r="J191" s="5" t="s">
        <v>642</v>
      </c>
      <c r="K191" s="5">
        <v>543.0</v>
      </c>
      <c r="L191" s="5">
        <v>-0.01237</v>
      </c>
      <c r="M191" s="5">
        <v>-2.15978</v>
      </c>
      <c r="N191" s="5">
        <v>-2.17215</v>
      </c>
      <c r="O191" s="5">
        <v>-0.02828</v>
      </c>
    </row>
    <row r="192">
      <c r="A192" s="18" t="str">
        <f>IFERROR(__xludf.DUMMYFUNCTION("""COMPUTED_VALUE"""),"Marko Tejic")</f>
        <v>Marko Tejic</v>
      </c>
      <c r="B192" s="19" t="str">
        <f>IFERROR(__xludf.DUMMYFUNCTION("""COMPUTED_VALUE"""),"ARI")</f>
        <v>ARI</v>
      </c>
      <c r="C192" s="20">
        <f>IFERROR(__xludf.DUMMYFUNCTION("""COMPUTED_VALUE"""),430.6)</f>
        <v>430.6</v>
      </c>
      <c r="D192" s="21">
        <f>IFERROR(__xludf.DUMMYFUNCTION("""COMPUTED_VALUE"""),-1.4476211853428427)</f>
        <v>-1.447621185</v>
      </c>
      <c r="E192" s="21">
        <f>IFERROR(__xludf.DUMMYFUNCTION("""COMPUTED_VALUE"""),-0.8592319472769367)</f>
        <v>-0.8592319473</v>
      </c>
      <c r="F192" s="21">
        <f>IFERROR(__xludf.DUMMYFUNCTION("""COMPUTED_VALUE"""),-2.3068531326197794)</f>
        <v>-2.306853133</v>
      </c>
      <c r="G192" s="23">
        <f>IFERROR(__xludf.DUMMYFUNCTION("""COMPUTED_VALUE"""),-0.08296650677209463)</f>
        <v>-0.08296650677</v>
      </c>
      <c r="H192" s="4"/>
      <c r="I192" s="5" t="s">
        <v>933</v>
      </c>
      <c r="J192" s="5" t="s">
        <v>704</v>
      </c>
      <c r="K192" s="5">
        <v>473.0</v>
      </c>
      <c r="L192" s="5">
        <v>-1.74142</v>
      </c>
      <c r="M192" s="5">
        <v>-0.43178</v>
      </c>
      <c r="N192" s="5">
        <v>-2.1732</v>
      </c>
      <c r="O192" s="5">
        <v>-0.02465</v>
      </c>
    </row>
    <row r="193">
      <c r="A193" s="12" t="str">
        <f>IFERROR(__xludf.DUMMYFUNCTION("""COMPUTED_VALUE"""),"Kostas Papadakis")</f>
        <v>Kostas Papadakis</v>
      </c>
      <c r="B193" s="13" t="str">
        <f>IFERROR(__xludf.DUMMYFUNCTION("""COMPUTED_VALUE"""),"KOL")</f>
        <v>KOL</v>
      </c>
      <c r="C193" s="14">
        <f>IFERROR(__xludf.DUMMYFUNCTION("""COMPUTED_VALUE"""),162.9)</f>
        <v>162.9</v>
      </c>
      <c r="D193" s="15">
        <f>IFERROR(__xludf.DUMMYFUNCTION("""COMPUTED_VALUE"""),-1.0544556094798356)</f>
        <v>-1.054455609</v>
      </c>
      <c r="E193" s="15">
        <f>IFERROR(__xludf.DUMMYFUNCTION("""COMPUTED_VALUE"""),-1.2800100970539805)</f>
        <v>-1.280010097</v>
      </c>
      <c r="F193" s="15">
        <f>IFERROR(__xludf.DUMMYFUNCTION("""COMPUTED_VALUE"""),-2.334465706533816)</f>
        <v>-2.334465707</v>
      </c>
      <c r="G193" s="17">
        <f>IFERROR(__xludf.DUMMYFUNCTION("""COMPUTED_VALUE"""),-0.01684987364118314)</f>
        <v>-0.01684987364</v>
      </c>
      <c r="H193" s="4"/>
      <c r="I193" s="5" t="s">
        <v>935</v>
      </c>
      <c r="J193" s="5" t="s">
        <v>677</v>
      </c>
      <c r="K193" s="5">
        <v>220.0</v>
      </c>
      <c r="L193" s="5">
        <v>-1.83624</v>
      </c>
      <c r="M193" s="5">
        <v>-0.4214</v>
      </c>
      <c r="N193" s="5">
        <v>-2.25765</v>
      </c>
      <c r="O193" s="5">
        <v>-0.03558</v>
      </c>
    </row>
    <row r="194">
      <c r="A194" s="18" t="str">
        <f>IFERROR(__xludf.DUMMYFUNCTION("""COMPUTED_VALUE"""),"Mike Balogun")</f>
        <v>Mike Balogun</v>
      </c>
      <c r="B194" s="19" t="str">
        <f>IFERROR(__xludf.DUMMYFUNCTION("""COMPUTED_VALUE"""),"LAR")</f>
        <v>LAR</v>
      </c>
      <c r="C194" s="20">
        <f>IFERROR(__xludf.DUMMYFUNCTION("""COMPUTED_VALUE"""),85.1)</f>
        <v>85.1</v>
      </c>
      <c r="D194" s="21">
        <f>IFERROR(__xludf.DUMMYFUNCTION("""COMPUTED_VALUE"""),-0.9041806055479739)</f>
        <v>-0.9041806055</v>
      </c>
      <c r="E194" s="21">
        <f>IFERROR(__xludf.DUMMYFUNCTION("""COMPUTED_VALUE"""),-1.4885999594156316)</f>
        <v>-1.488599959</v>
      </c>
      <c r="F194" s="21">
        <f>IFERROR(__xludf.DUMMYFUNCTION("""COMPUTED_VALUE"""),-2.3927805649636054)</f>
        <v>-2.392780565</v>
      </c>
      <c r="G194" s="23">
        <f>IFERROR(__xludf.DUMMYFUNCTION("""COMPUTED_VALUE"""),-0.01020369049598685)</f>
        <v>-0.0102036905</v>
      </c>
      <c r="H194" s="4"/>
      <c r="I194" s="5" t="s">
        <v>937</v>
      </c>
      <c r="J194" s="5" t="s">
        <v>677</v>
      </c>
      <c r="K194" s="5">
        <v>132.0</v>
      </c>
      <c r="L194" s="5">
        <v>-2.05133</v>
      </c>
      <c r="M194" s="5">
        <v>-0.2197</v>
      </c>
      <c r="N194" s="5">
        <v>-2.27103</v>
      </c>
      <c r="O194" s="5">
        <v>-0.0225</v>
      </c>
    </row>
    <row r="195">
      <c r="A195" s="12" t="str">
        <f>IFERROR(__xludf.DUMMYFUNCTION("""COMPUTED_VALUE"""),"Elias Theodoridis")</f>
        <v>Elias Theodoridis</v>
      </c>
      <c r="B195" s="13" t="str">
        <f>IFERROR(__xludf.DUMMYFUNCTION("""COMPUTED_VALUE"""),"RETH")</f>
        <v>RETH</v>
      </c>
      <c r="C195" s="14">
        <f>IFERROR(__xludf.DUMMYFUNCTION("""COMPUTED_VALUE"""),46.8)</f>
        <v>46.8</v>
      </c>
      <c r="D195" s="15">
        <f>IFERROR(__xludf.DUMMYFUNCTION("""COMPUTED_VALUE"""),-2.0795197394250002)</f>
        <v>-2.079519739</v>
      </c>
      <c r="E195" s="15">
        <f>IFERROR(__xludf.DUMMYFUNCTION("""COMPUTED_VALUE"""),-0.37836543972691494)</f>
        <v>-0.3783654397</v>
      </c>
      <c r="F195" s="15">
        <f>IFERROR(__xludf.DUMMYFUNCTION("""COMPUTED_VALUE"""),-2.457885179151915)</f>
        <v>-2.457885179</v>
      </c>
      <c r="G195" s="17">
        <f>IFERROR(__xludf.DUMMYFUNCTION("""COMPUTED_VALUE"""),-0.006451357141441768)</f>
        <v>-0.006451357141</v>
      </c>
      <c r="H195" s="4"/>
      <c r="I195" s="5" t="s">
        <v>939</v>
      </c>
      <c r="J195" s="5" t="s">
        <v>677</v>
      </c>
      <c r="K195" s="5">
        <v>155.0</v>
      </c>
      <c r="L195" s="5">
        <v>-1.72237</v>
      </c>
      <c r="M195" s="5">
        <v>-0.55036</v>
      </c>
      <c r="N195" s="5">
        <v>-2.27273</v>
      </c>
      <c r="O195" s="5">
        <v>-0.02661</v>
      </c>
    </row>
    <row r="196">
      <c r="A196" s="18" t="str">
        <f>IFERROR(__xludf.DUMMYFUNCTION("""COMPUTED_VALUE"""),"Gianni Vavatsikos")</f>
        <v>Gianni Vavatsikos</v>
      </c>
      <c r="B196" s="19" t="str">
        <f>IFERROR(__xludf.DUMMYFUNCTION("""COMPUTED_VALUE"""),"LAR")</f>
        <v>LAR</v>
      </c>
      <c r="C196" s="20">
        <f>IFERROR(__xludf.DUMMYFUNCTION("""COMPUTED_VALUE"""),307.9)</f>
        <v>307.9</v>
      </c>
      <c r="D196" s="21">
        <f>IFERROR(__xludf.DUMMYFUNCTION("""COMPUTED_VALUE"""),0.2728249928550509)</f>
        <v>0.2728249929</v>
      </c>
      <c r="E196" s="21">
        <f>IFERROR(__xludf.DUMMYFUNCTION("""COMPUTED_VALUE"""),-2.7732580783467093)</f>
        <v>-2.773258078</v>
      </c>
      <c r="F196" s="21">
        <f>IFERROR(__xludf.DUMMYFUNCTION("""COMPUTED_VALUE"""),-2.5004330854916583)</f>
        <v>-2.500433085</v>
      </c>
      <c r="G196" s="23">
        <f>IFERROR(__xludf.DUMMYFUNCTION("""COMPUTED_VALUE"""),-0.047036330147397686)</f>
        <v>-0.04703633015</v>
      </c>
      <c r="H196" s="4"/>
      <c r="I196" s="5" t="s">
        <v>941</v>
      </c>
      <c r="J196" s="5" t="s">
        <v>677</v>
      </c>
      <c r="K196" s="5">
        <v>431.0</v>
      </c>
      <c r="L196" s="5">
        <v>-4.11033</v>
      </c>
      <c r="M196" s="5">
        <v>1.81299</v>
      </c>
      <c r="N196" s="5">
        <v>-2.29734</v>
      </c>
      <c r="O196" s="5">
        <v>-0.08039</v>
      </c>
    </row>
    <row r="197">
      <c r="A197" s="12" t="str">
        <f>IFERROR(__xludf.DUMMYFUNCTION("""COMPUTED_VALUE"""),"Carlos Medlock")</f>
        <v>Carlos Medlock</v>
      </c>
      <c r="B197" s="13" t="str">
        <f>IFERROR(__xludf.DUMMYFUNCTION("""COMPUTED_VALUE"""),"RETH")</f>
        <v>RETH</v>
      </c>
      <c r="C197" s="14">
        <f>IFERROR(__xludf.DUMMYFUNCTION("""COMPUTED_VALUE"""),101.7)</f>
        <v>101.7</v>
      </c>
      <c r="D197" s="15">
        <f>IFERROR(__xludf.DUMMYFUNCTION("""COMPUTED_VALUE"""),-1.2043089726336598)</f>
        <v>-1.204308973</v>
      </c>
      <c r="E197" s="15">
        <f>IFERROR(__xludf.DUMMYFUNCTION("""COMPUTED_VALUE"""),-1.2969269250735296)</f>
        <v>-1.296926925</v>
      </c>
      <c r="F197" s="15">
        <f>IFERROR(__xludf.DUMMYFUNCTION("""COMPUTED_VALUE"""),-2.5012358977071893)</f>
        <v>-2.501235898</v>
      </c>
      <c r="G197" s="17">
        <f>IFERROR(__xludf.DUMMYFUNCTION("""COMPUTED_VALUE"""),-0.015346585559425748)</f>
        <v>-0.01534658556</v>
      </c>
      <c r="H197" s="4"/>
      <c r="I197" s="5" t="s">
        <v>944</v>
      </c>
      <c r="J197" s="5" t="s">
        <v>631</v>
      </c>
      <c r="K197" s="5">
        <v>224.0</v>
      </c>
      <c r="L197" s="5">
        <v>-0.33971</v>
      </c>
      <c r="M197" s="5">
        <v>-1.95841</v>
      </c>
      <c r="N197" s="5">
        <v>-2.29812</v>
      </c>
      <c r="O197" s="5">
        <v>-0.02021</v>
      </c>
    </row>
    <row r="198">
      <c r="A198" s="18" t="str">
        <f>IFERROR(__xludf.DUMMYFUNCTION("""COMPUTED_VALUE"""),"Diamantis Slaftsakis")</f>
        <v>Diamantis Slaftsakis</v>
      </c>
      <c r="B198" s="19" t="str">
        <f>IFERROR(__xludf.DUMMYFUNCTION("""COMPUTED_VALUE"""),"ARI")</f>
        <v>ARI</v>
      </c>
      <c r="C198" s="20">
        <f>IFERROR(__xludf.DUMMYFUNCTION("""COMPUTED_VALUE"""),461.7)</f>
        <v>461.7</v>
      </c>
      <c r="D198" s="21">
        <f>IFERROR(__xludf.DUMMYFUNCTION("""COMPUTED_VALUE"""),-1.2540144320479651)</f>
        <v>-1.254014432</v>
      </c>
      <c r="E198" s="21">
        <f>IFERROR(__xludf.DUMMYFUNCTION("""COMPUTED_VALUE"""),-1.2776025219151568)</f>
        <v>-1.277602522</v>
      </c>
      <c r="F198" s="21">
        <f>IFERROR(__xludf.DUMMYFUNCTION("""COMPUTED_VALUE"""),-2.531616953963122)</f>
        <v>-2.531616954</v>
      </c>
      <c r="G198" s="23">
        <f>IFERROR(__xludf.DUMMYFUNCTION("""COMPUTED_VALUE"""),-0.15411926010723537)</f>
        <v>-0.1541192601</v>
      </c>
      <c r="H198" s="4"/>
      <c r="I198" s="5" t="s">
        <v>947</v>
      </c>
      <c r="J198" s="5" t="s">
        <v>686</v>
      </c>
      <c r="K198" s="5">
        <v>85.0</v>
      </c>
      <c r="L198" s="5">
        <v>-1.30684</v>
      </c>
      <c r="M198" s="5">
        <v>-1.08607</v>
      </c>
      <c r="N198" s="5">
        <v>-2.39292</v>
      </c>
      <c r="O198" s="5">
        <v>-0.01021</v>
      </c>
    </row>
    <row r="199">
      <c r="A199" s="12" t="str">
        <f>IFERROR(__xludf.DUMMYFUNCTION("""COMPUTED_VALUE"""),"Markeith Cummings")</f>
        <v>Markeith Cummings</v>
      </c>
      <c r="B199" s="13" t="str">
        <f>IFERROR(__xludf.DUMMYFUNCTION("""COMPUTED_VALUE"""),"PAI")</f>
        <v>PAI</v>
      </c>
      <c r="C199" s="14">
        <f>IFERROR(__xludf.DUMMYFUNCTION("""COMPUTED_VALUE"""),248.2)</f>
        <v>248.2</v>
      </c>
      <c r="D199" s="15">
        <f>IFERROR(__xludf.DUMMYFUNCTION("""COMPUTED_VALUE"""),1.5643405810170548)</f>
        <v>1.564340581</v>
      </c>
      <c r="E199" s="15">
        <f>IFERROR(__xludf.DUMMYFUNCTION("""COMPUTED_VALUE"""),-4.117234879695014)</f>
        <v>-4.11723488</v>
      </c>
      <c r="F199" s="15">
        <f>IFERROR(__xludf.DUMMYFUNCTION("""COMPUTED_VALUE"""),-2.552894298677959)</f>
        <v>-2.552894299</v>
      </c>
      <c r="G199" s="17">
        <f>IFERROR(__xludf.DUMMYFUNCTION("""COMPUTED_VALUE"""),-0.041704781642521636)</f>
        <v>-0.04170478164</v>
      </c>
      <c r="H199" s="4"/>
      <c r="I199" s="5" t="s">
        <v>948</v>
      </c>
      <c r="J199" s="5" t="s">
        <v>671</v>
      </c>
      <c r="K199" s="5">
        <v>47.0</v>
      </c>
      <c r="L199" s="5">
        <v>-2.04589</v>
      </c>
      <c r="M199" s="5">
        <v>-0.41215</v>
      </c>
      <c r="N199" s="5">
        <v>-2.45804</v>
      </c>
      <c r="O199" s="5">
        <v>-0.00645</v>
      </c>
    </row>
    <row r="200">
      <c r="A200" s="18" t="str">
        <f>IFERROR(__xludf.DUMMYFUNCTION("""COMPUTED_VALUE"""),"Nikolaos Gikias")</f>
        <v>Nikolaos Gikias</v>
      </c>
      <c r="B200" s="19" t="str">
        <f>IFERROR(__xludf.DUMMYFUNCTION("""COMPUTED_VALUE"""),"PROM")</f>
        <v>PROM</v>
      </c>
      <c r="C200" s="20">
        <f>IFERROR(__xludf.DUMMYFUNCTION("""COMPUTED_VALUE"""),880.5)</f>
        <v>880.5</v>
      </c>
      <c r="D200" s="21">
        <f>IFERROR(__xludf.DUMMYFUNCTION("""COMPUTED_VALUE"""),-1.5743686155592607)</f>
        <v>-1.574368616</v>
      </c>
      <c r="E200" s="21">
        <f>IFERROR(__xludf.DUMMYFUNCTION("""COMPUTED_VALUE"""),-1.0364764482116113)</f>
        <v>-1.036476448</v>
      </c>
      <c r="F200" s="21">
        <f>IFERROR(__xludf.DUMMYFUNCTION("""COMPUTED_VALUE"""),-2.610845063770872)</f>
        <v>-2.610845064</v>
      </c>
      <c r="G200" s="23">
        <f>IFERROR(__xludf.DUMMYFUNCTION("""COMPUTED_VALUE"""),-0.16426100318687314)</f>
        <v>-0.1642610032</v>
      </c>
      <c r="H200" s="4"/>
      <c r="I200" s="5" t="s">
        <v>950</v>
      </c>
      <c r="J200" s="5" t="s">
        <v>671</v>
      </c>
      <c r="K200" s="5">
        <v>102.0</v>
      </c>
      <c r="L200" s="5">
        <v>-1.13005</v>
      </c>
      <c r="M200" s="5">
        <v>-1.37054</v>
      </c>
      <c r="N200" s="5">
        <v>-2.5006</v>
      </c>
      <c r="O200" s="5">
        <v>-0.01533</v>
      </c>
    </row>
    <row r="201">
      <c r="A201" s="12" t="str">
        <f>IFERROR(__xludf.DUMMYFUNCTION("""COMPUTED_VALUE"""),"Xavier Thames")</f>
        <v>Xavier Thames</v>
      </c>
      <c r="B201" s="13" t="str">
        <f>IFERROR(__xludf.DUMMYFUNCTION("""COMPUTED_VALUE"""),"ARI")</f>
        <v>ARI</v>
      </c>
      <c r="C201" s="14">
        <f>IFERROR(__xludf.DUMMYFUNCTION("""COMPUTED_VALUE"""),271.3)</f>
        <v>271.3</v>
      </c>
      <c r="D201" s="15">
        <f>IFERROR(__xludf.DUMMYFUNCTION("""COMPUTED_VALUE"""),1.9510400872260703)</f>
        <v>1.951040087</v>
      </c>
      <c r="E201" s="15">
        <f>IFERROR(__xludf.DUMMYFUNCTION("""COMPUTED_VALUE"""),-4.577223067429902)</f>
        <v>-4.577223067</v>
      </c>
      <c r="F201" s="15">
        <f>IFERROR(__xludf.DUMMYFUNCTION("""COMPUTED_VALUE"""),-2.626182980203831)</f>
        <v>-2.62618298</v>
      </c>
      <c r="G201" s="17">
        <f>IFERROR(__xludf.DUMMYFUNCTION("""COMPUTED_VALUE"""),-0.10667171344069931)</f>
        <v>-0.1066717134</v>
      </c>
      <c r="H201" s="4"/>
      <c r="I201" s="5" t="s">
        <v>953</v>
      </c>
      <c r="J201" s="5" t="s">
        <v>686</v>
      </c>
      <c r="K201" s="5">
        <v>308.0</v>
      </c>
      <c r="L201" s="5">
        <v>-1.1484</v>
      </c>
      <c r="M201" s="5">
        <v>-1.35394</v>
      </c>
      <c r="N201" s="5">
        <v>-2.50234</v>
      </c>
      <c r="O201" s="5">
        <v>-0.04722</v>
      </c>
    </row>
    <row r="202">
      <c r="A202" s="18" t="str">
        <f>IFERROR(__xludf.DUMMYFUNCTION("""COMPUTED_VALUE"""),"Dimitris Geromichalos")</f>
        <v>Dimitris Geromichalos</v>
      </c>
      <c r="B202" s="19" t="str">
        <f>IFERROR(__xludf.DUMMYFUNCTION("""COMPUTED_VALUE"""),"KYM")</f>
        <v>KYM</v>
      </c>
      <c r="C202" s="20">
        <f>IFERROR(__xludf.DUMMYFUNCTION("""COMPUTED_VALUE"""),106.9)</f>
        <v>106.9</v>
      </c>
      <c r="D202" s="21">
        <f>IFERROR(__xludf.DUMMYFUNCTION("""COMPUTED_VALUE"""),-2.074782190144874)</f>
        <v>-2.07478219</v>
      </c>
      <c r="E202" s="21">
        <f>IFERROR(__xludf.DUMMYFUNCTION("""COMPUTED_VALUE"""),-0.5675655455366173)</f>
        <v>-0.5675655455</v>
      </c>
      <c r="F202" s="21">
        <f>IFERROR(__xludf.DUMMYFUNCTION("""COMPUTED_VALUE"""),-2.6423477356814913)</f>
        <v>-2.642347736</v>
      </c>
      <c r="G202" s="23">
        <f>IFERROR(__xludf.DUMMYFUNCTION("""COMPUTED_VALUE"""),-0.020773317611248825)</f>
        <v>-0.02077331761</v>
      </c>
      <c r="H202" s="4"/>
      <c r="I202" s="5" t="s">
        <v>954</v>
      </c>
      <c r="J202" s="5" t="s">
        <v>660</v>
      </c>
      <c r="K202" s="5">
        <v>54.0</v>
      </c>
      <c r="L202" s="5">
        <v>-2.12514</v>
      </c>
      <c r="M202" s="5">
        <v>-0.37856</v>
      </c>
      <c r="N202" s="5">
        <v>-2.5037</v>
      </c>
      <c r="O202" s="5">
        <v>-0.00831</v>
      </c>
    </row>
    <row r="203">
      <c r="A203" s="12" t="str">
        <f>IFERROR(__xludf.DUMMYFUNCTION("""COMPUTED_VALUE"""),"Kyle Weaver")</f>
        <v>Kyle Weaver</v>
      </c>
      <c r="B203" s="13" t="str">
        <f>IFERROR(__xludf.DUMMYFUNCTION("""COMPUTED_VALUE"""),"ARI")</f>
        <v>ARI</v>
      </c>
      <c r="C203" s="14">
        <f>IFERROR(__xludf.DUMMYFUNCTION("""COMPUTED_VALUE"""),193.8)</f>
        <v>193.8</v>
      </c>
      <c r="D203" s="15">
        <f>IFERROR(__xludf.DUMMYFUNCTION("""COMPUTED_VALUE"""),-1.4365309586520114)</f>
        <v>-1.436530959</v>
      </c>
      <c r="E203" s="15">
        <f>IFERROR(__xludf.DUMMYFUNCTION("""COMPUTED_VALUE"""),-1.2410414693196623)</f>
        <v>-1.241041469</v>
      </c>
      <c r="F203" s="15">
        <f>IFERROR(__xludf.DUMMYFUNCTION("""COMPUTED_VALUE"""),-2.6775724279716737)</f>
        <v>-2.677572428</v>
      </c>
      <c r="G203" s="17">
        <f>IFERROR(__xludf.DUMMYFUNCTION("""COMPUTED_VALUE"""),-0.0824532381274353)</f>
        <v>-0.08245323813</v>
      </c>
      <c r="H203" s="4"/>
      <c r="I203" s="5" t="s">
        <v>957</v>
      </c>
      <c r="J203" s="5" t="s">
        <v>677</v>
      </c>
      <c r="K203" s="5">
        <v>462.0</v>
      </c>
      <c r="L203" s="5">
        <v>-3.92077</v>
      </c>
      <c r="M203" s="5">
        <v>1.39534</v>
      </c>
      <c r="N203" s="5">
        <v>-2.52543</v>
      </c>
      <c r="O203" s="5">
        <v>-0.15233</v>
      </c>
    </row>
    <row r="204">
      <c r="A204" s="18" t="str">
        <f>IFERROR(__xludf.DUMMYFUNCTION("""COMPUTED_VALUE"""),"Omar Prewitt")</f>
        <v>Omar Prewitt</v>
      </c>
      <c r="B204" s="19" t="str">
        <f>IFERROR(__xludf.DUMMYFUNCTION("""COMPUTED_VALUE"""),"ARI")</f>
        <v>ARI</v>
      </c>
      <c r="C204" s="20">
        <f>IFERROR(__xludf.DUMMYFUNCTION("""COMPUTED_VALUE"""),190.6)</f>
        <v>190.6</v>
      </c>
      <c r="D204" s="21">
        <f>IFERROR(__xludf.DUMMYFUNCTION("""COMPUTED_VALUE"""),0.326317100144182)</f>
        <v>0.3263171001</v>
      </c>
      <c r="E204" s="21">
        <f>IFERROR(__xludf.DUMMYFUNCTION("""COMPUTED_VALUE"""),-3.038986036117449)</f>
        <v>-3.038986036</v>
      </c>
      <c r="F204" s="21">
        <f>IFERROR(__xludf.DUMMYFUNCTION("""COMPUTED_VALUE"""),-2.7126689359732667)</f>
        <v>-2.712668936</v>
      </c>
      <c r="G204" s="23">
        <f>IFERROR(__xludf.DUMMYFUNCTION("""COMPUTED_VALUE"""),-0.08529212672090825)</f>
        <v>-0.08529212672</v>
      </c>
      <c r="H204" s="4"/>
      <c r="I204" s="5" t="s">
        <v>960</v>
      </c>
      <c r="J204" s="5" t="s">
        <v>639</v>
      </c>
      <c r="K204" s="5">
        <v>248.0</v>
      </c>
      <c r="L204" s="5">
        <v>0.55192</v>
      </c>
      <c r="M204" s="5">
        <v>-3.10247</v>
      </c>
      <c r="N204" s="5">
        <v>-2.55055</v>
      </c>
      <c r="O204" s="5">
        <v>-0.04153</v>
      </c>
    </row>
    <row r="205">
      <c r="A205" s="12" t="str">
        <f>IFERROR(__xludf.DUMMYFUNCTION("""COMPUTED_VALUE"""),"Nikos Michalos")</f>
        <v>Nikos Michalos</v>
      </c>
      <c r="B205" s="13" t="str">
        <f>IFERROR(__xludf.DUMMYFUNCTION("""COMPUTED_VALUE"""),"PAI")</f>
        <v>PAI</v>
      </c>
      <c r="C205" s="14">
        <f>IFERROR(__xludf.DUMMYFUNCTION("""COMPUTED_VALUE"""),110.0)</f>
        <v>110</v>
      </c>
      <c r="D205" s="15">
        <f>IFERROR(__xludf.DUMMYFUNCTION("""COMPUTED_VALUE"""),-1.2866530897105006)</f>
        <v>-1.28665309</v>
      </c>
      <c r="E205" s="15">
        <f>IFERROR(__xludf.DUMMYFUNCTION("""COMPUTED_VALUE"""),-1.4513232399736342)</f>
        <v>-1.45132324</v>
      </c>
      <c r="F205" s="15">
        <f>IFERROR(__xludf.DUMMYFUNCTION("""COMPUTED_VALUE"""),-2.737976329684135)</f>
        <v>-2.73797633</v>
      </c>
      <c r="G205" s="17">
        <f>IFERROR(__xludf.DUMMYFUNCTION("""COMPUTED_VALUE"""),-0.024670450509497184)</f>
        <v>-0.02467045051</v>
      </c>
      <c r="H205" s="4"/>
      <c r="I205" s="5" t="s">
        <v>965</v>
      </c>
      <c r="J205" s="5" t="s">
        <v>660</v>
      </c>
      <c r="K205" s="5">
        <v>216.0</v>
      </c>
      <c r="L205" s="5">
        <v>-2.76502</v>
      </c>
      <c r="M205" s="5">
        <v>0.18775</v>
      </c>
      <c r="N205" s="5">
        <v>-2.57726</v>
      </c>
      <c r="O205" s="5">
        <v>-0.03803</v>
      </c>
    </row>
    <row r="206">
      <c r="A206" s="18" t="str">
        <f>IFERROR(__xludf.DUMMYFUNCTION("""COMPUTED_VALUE"""),"Thodoris Zaras")</f>
        <v>Thodoris Zaras</v>
      </c>
      <c r="B206" s="19" t="str">
        <f>IFERROR(__xludf.DUMMYFUNCTION("""COMPUTED_VALUE"""),"PAOK")</f>
        <v>PAOK</v>
      </c>
      <c r="C206" s="20">
        <f>IFERROR(__xludf.DUMMYFUNCTION("""COMPUTED_VALUE"""),497.9)</f>
        <v>497.9</v>
      </c>
      <c r="D206" s="21">
        <f>IFERROR(__xludf.DUMMYFUNCTION("""COMPUTED_VALUE"""),-0.809520273705699)</f>
        <v>-0.8095202737</v>
      </c>
      <c r="E206" s="21">
        <f>IFERROR(__xludf.DUMMYFUNCTION("""COMPUTED_VALUE"""),-1.9640410304098443)</f>
        <v>-1.96404103</v>
      </c>
      <c r="F206" s="21">
        <f>IFERROR(__xludf.DUMMYFUNCTION("""COMPUTED_VALUE"""),-2.7735613041155434)</f>
        <v>-2.773561304</v>
      </c>
      <c r="G206" s="23">
        <f>IFERROR(__xludf.DUMMYFUNCTION("""COMPUTED_VALUE"""),-0.11702639606952882)</f>
        <v>-0.1170263961</v>
      </c>
      <c r="H206" s="4"/>
      <c r="I206" s="5" t="s">
        <v>969</v>
      </c>
      <c r="J206" s="5" t="s">
        <v>677</v>
      </c>
      <c r="K206" s="5">
        <v>271.0</v>
      </c>
      <c r="L206" s="5">
        <v>-0.45639</v>
      </c>
      <c r="M206" s="5">
        <v>-2.16074</v>
      </c>
      <c r="N206" s="5">
        <v>-2.61713</v>
      </c>
      <c r="O206" s="5">
        <v>-0.10513</v>
      </c>
    </row>
    <row r="207">
      <c r="A207" s="12" t="str">
        <f>IFERROR(__xludf.DUMMYFUNCTION("""COMPUTED_VALUE"""),"Panagiotis Karagiorgos")</f>
        <v>Panagiotis Karagiorgos</v>
      </c>
      <c r="B207" s="13" t="str">
        <f>IFERROR(__xludf.DUMMYFUNCTION("""COMPUTED_VALUE"""),"ARI")</f>
        <v>ARI</v>
      </c>
      <c r="C207" s="14">
        <f>IFERROR(__xludf.DUMMYFUNCTION("""COMPUTED_VALUE"""),104.3)</f>
        <v>104.3</v>
      </c>
      <c r="D207" s="15">
        <f>IFERROR(__xludf.DUMMYFUNCTION("""COMPUTED_VALUE"""),-1.3399485100868391)</f>
        <v>-1.33994851</v>
      </c>
      <c r="E207" s="15">
        <f>IFERROR(__xludf.DUMMYFUNCTION("""COMPUTED_VALUE"""),-1.464280709256753)</f>
        <v>-1.464280709</v>
      </c>
      <c r="F207" s="15">
        <f>IFERROR(__xludf.DUMMYFUNCTION("""COMPUTED_VALUE"""),-2.804229219343592)</f>
        <v>-2.804229219</v>
      </c>
      <c r="G207" s="17">
        <f>IFERROR(__xludf.DUMMYFUNCTION("""COMPUTED_VALUE"""),-0.05266988552493141)</f>
        <v>-0.05266988552</v>
      </c>
      <c r="H207" s="4"/>
      <c r="I207" s="5" t="s">
        <v>973</v>
      </c>
      <c r="J207" s="5" t="s">
        <v>642</v>
      </c>
      <c r="K207" s="5">
        <v>107.0</v>
      </c>
      <c r="L207" s="5">
        <v>-2.10751</v>
      </c>
      <c r="M207" s="5">
        <v>-0.53668</v>
      </c>
      <c r="N207" s="5">
        <v>-2.64419</v>
      </c>
      <c r="O207" s="5">
        <v>-0.02083</v>
      </c>
    </row>
    <row r="208">
      <c r="A208" s="18" t="str">
        <f>IFERROR(__xludf.DUMMYFUNCTION("""COMPUTED_VALUE"""),"Cedric Kuakumensah")</f>
        <v>Cedric Kuakumensah</v>
      </c>
      <c r="B208" s="19" t="str">
        <f>IFERROR(__xludf.DUMMYFUNCTION("""COMPUTED_VALUE"""),"PAI")</f>
        <v>PAI</v>
      </c>
      <c r="C208" s="20">
        <f>IFERROR(__xludf.DUMMYFUNCTION("""COMPUTED_VALUE"""),154.4)</f>
        <v>154.4</v>
      </c>
      <c r="D208" s="21">
        <f>IFERROR(__xludf.DUMMYFUNCTION("""COMPUTED_VALUE"""),-2.1317258930219447)</f>
        <v>-2.131725893</v>
      </c>
      <c r="E208" s="21">
        <f>IFERROR(__xludf.DUMMYFUNCTION("""COMPUTED_VALUE"""),-0.6798164892629344)</f>
        <v>-0.6798164893</v>
      </c>
      <c r="F208" s="21">
        <f>IFERROR(__xludf.DUMMYFUNCTION("""COMPUTED_VALUE"""),-2.811542382284879)</f>
        <v>-2.811542382</v>
      </c>
      <c r="G208" s="23">
        <f>IFERROR(__xludf.DUMMYFUNCTION("""COMPUTED_VALUE"""),-0.03808030905379472)</f>
        <v>-0.03808030905</v>
      </c>
      <c r="H208" s="4"/>
      <c r="I208" s="5" t="s">
        <v>723</v>
      </c>
      <c r="J208" s="5" t="s">
        <v>677</v>
      </c>
      <c r="K208" s="5">
        <v>194.0</v>
      </c>
      <c r="L208" s="5">
        <v>-3.15913</v>
      </c>
      <c r="M208" s="5">
        <v>0.48566</v>
      </c>
      <c r="N208" s="5">
        <v>-2.67347</v>
      </c>
      <c r="O208" s="5">
        <v>-0.08195</v>
      </c>
    </row>
    <row r="209">
      <c r="A209" s="12" t="str">
        <f>IFERROR(__xludf.DUMMYFUNCTION("""COMPUTED_VALUE"""),"Petros Geromichalos")</f>
        <v>Petros Geromichalos</v>
      </c>
      <c r="B209" s="13" t="str">
        <f>IFERROR(__xludf.DUMMYFUNCTION("""COMPUTED_VALUE"""),"PROM")</f>
        <v>PROM</v>
      </c>
      <c r="C209" s="14">
        <f>IFERROR(__xludf.DUMMYFUNCTION("""COMPUTED_VALUE"""),286.4)</f>
        <v>286.4</v>
      </c>
      <c r="D209" s="15">
        <f>IFERROR(__xludf.DUMMYFUNCTION("""COMPUTED_VALUE"""),-2.9902790583681487)</f>
        <v>-2.990279058</v>
      </c>
      <c r="E209" s="15">
        <f>IFERROR(__xludf.DUMMYFUNCTION("""COMPUTED_VALUE"""),0.16715934298854274)</f>
        <v>0.167159343</v>
      </c>
      <c r="F209" s="15">
        <f>IFERROR(__xludf.DUMMYFUNCTION("""COMPUTED_VALUE"""),-2.823119715379606)</f>
        <v>-2.823119715</v>
      </c>
      <c r="G209" s="17">
        <f>IFERROR(__xludf.DUMMYFUNCTION("""COMPUTED_VALUE"""),-0.07199628036906086)</f>
        <v>-0.07199628037</v>
      </c>
      <c r="H209" s="4"/>
      <c r="I209" s="5" t="s">
        <v>978</v>
      </c>
      <c r="J209" s="5" t="s">
        <v>677</v>
      </c>
      <c r="K209" s="5">
        <v>191.0</v>
      </c>
      <c r="L209" s="5">
        <v>-1.36459</v>
      </c>
      <c r="M209" s="5">
        <v>-1.34138</v>
      </c>
      <c r="N209" s="5">
        <v>-2.70597</v>
      </c>
      <c r="O209" s="5">
        <v>-0.08449</v>
      </c>
    </row>
    <row r="210">
      <c r="A210" s="18" t="str">
        <f>IFERROR(__xludf.DUMMYFUNCTION("""COMPUTED_VALUE"""),"Andreas Christodoulou")</f>
        <v>Andreas Christodoulou</v>
      </c>
      <c r="B210" s="19" t="str">
        <f>IFERROR(__xludf.DUMMYFUNCTION("""COMPUTED_VALUE"""),"RETH")</f>
        <v>RETH</v>
      </c>
      <c r="C210" s="20">
        <f>IFERROR(__xludf.DUMMYFUNCTION("""COMPUTED_VALUE"""),480.6)</f>
        <v>480.6</v>
      </c>
      <c r="D210" s="21">
        <f>IFERROR(__xludf.DUMMYFUNCTION("""COMPUTED_VALUE"""),-1.785725325699473)</f>
        <v>-1.785725326</v>
      </c>
      <c r="E210" s="21">
        <f>IFERROR(__xludf.DUMMYFUNCTION("""COMPUTED_VALUE"""),-1.2003468065474063)</f>
        <v>-1.200346807</v>
      </c>
      <c r="F210" s="21">
        <f>IFERROR(__xludf.DUMMYFUNCTION("""COMPUTED_VALUE"""),-2.9860721322468793)</f>
        <v>-2.986072132</v>
      </c>
      <c r="G210" s="23">
        <f>IFERROR(__xludf.DUMMYFUNCTION("""COMPUTED_VALUE"""),-0.1426727712025616)</f>
        <v>-0.1426727712</v>
      </c>
      <c r="H210" s="4"/>
      <c r="I210" s="5" t="s">
        <v>982</v>
      </c>
      <c r="J210" s="5" t="s">
        <v>639</v>
      </c>
      <c r="K210" s="5">
        <v>110.0</v>
      </c>
      <c r="L210" s="5">
        <v>-1.73718</v>
      </c>
      <c r="M210" s="5">
        <v>-1.00126</v>
      </c>
      <c r="N210" s="5">
        <v>-2.73844</v>
      </c>
      <c r="O210" s="5">
        <v>-0.02469</v>
      </c>
    </row>
    <row r="211">
      <c r="A211" s="12" t="str">
        <f>IFERROR(__xludf.DUMMYFUNCTION("""COMPUTED_VALUE"""),"Giannis Giannaras")</f>
        <v>Giannis Giannaras</v>
      </c>
      <c r="B211" s="13" t="str">
        <f>IFERROR(__xludf.DUMMYFUNCTION("""COMPUTED_VALUE"""),"ARI")</f>
        <v>ARI</v>
      </c>
      <c r="C211" s="14">
        <f>IFERROR(__xludf.DUMMYFUNCTION("""COMPUTED_VALUE"""),87.1)</f>
        <v>87.1</v>
      </c>
      <c r="D211" s="15">
        <f>IFERROR(__xludf.DUMMYFUNCTION("""COMPUTED_VALUE"""),-1.3249507401184026)</f>
        <v>-1.32495074</v>
      </c>
      <c r="E211" s="15">
        <f>IFERROR(__xludf.DUMMYFUNCTION("""COMPUTED_VALUE"""),-1.7104368508795875)</f>
        <v>-1.710436851</v>
      </c>
      <c r="F211" s="15">
        <f>IFERROR(__xludf.DUMMYFUNCTION("""COMPUTED_VALUE"""),-3.03538759099799)</f>
        <v>-3.035387591</v>
      </c>
      <c r="G211" s="17">
        <f>IFERROR(__xludf.DUMMYFUNCTION("""COMPUTED_VALUE"""),-0.056626449081934656)</f>
        <v>-0.05662644908</v>
      </c>
      <c r="H211" s="4"/>
      <c r="I211" s="5" t="s">
        <v>983</v>
      </c>
      <c r="J211" s="5" t="s">
        <v>677</v>
      </c>
      <c r="K211" s="5">
        <v>104.0</v>
      </c>
      <c r="L211" s="5">
        <v>-2.26749</v>
      </c>
      <c r="M211" s="5">
        <v>-0.53492</v>
      </c>
      <c r="N211" s="5">
        <v>-2.80241</v>
      </c>
      <c r="O211" s="5">
        <v>-0.05255</v>
      </c>
    </row>
    <row r="212">
      <c r="A212" s="18" t="str">
        <f>IFERROR(__xludf.DUMMYFUNCTION("""COMPUTED_VALUE"""),"Georgios Tsalmpouris")</f>
        <v>Georgios Tsalmpouris</v>
      </c>
      <c r="B212" s="19" t="str">
        <f>IFERROR(__xludf.DUMMYFUNCTION("""COMPUTED_VALUE"""),"KOL")</f>
        <v>KOL</v>
      </c>
      <c r="C212" s="20">
        <f>IFERROR(__xludf.DUMMYFUNCTION("""COMPUTED_VALUE"""),111.95)</f>
        <v>111.95</v>
      </c>
      <c r="D212" s="21">
        <f>IFERROR(__xludf.DUMMYFUNCTION("""COMPUTED_VALUE"""),-1.6143643249437727)</f>
        <v>-1.614364325</v>
      </c>
      <c r="E212" s="21">
        <f>IFERROR(__xludf.DUMMYFUNCTION("""COMPUTED_VALUE"""),-1.475384252819292)</f>
        <v>-1.475384253</v>
      </c>
      <c r="F212" s="21">
        <f>IFERROR(__xludf.DUMMYFUNCTION("""COMPUTED_VALUE"""),-3.0897485777630647)</f>
        <v>-3.089748578</v>
      </c>
      <c r="G212" s="23">
        <f>IFERROR(__xludf.DUMMYFUNCTION("""COMPUTED_VALUE"""),-0.0377289203513295)</f>
        <v>-0.03772892035</v>
      </c>
      <c r="H212" s="4"/>
      <c r="I212" s="5" t="s">
        <v>986</v>
      </c>
      <c r="J212" s="5" t="s">
        <v>639</v>
      </c>
      <c r="K212" s="5">
        <v>154.0</v>
      </c>
      <c r="L212" s="5">
        <v>-2.76461</v>
      </c>
      <c r="M212" s="5">
        <v>-0.048</v>
      </c>
      <c r="N212" s="5">
        <v>-2.81261</v>
      </c>
      <c r="O212" s="5">
        <v>-0.03813</v>
      </c>
    </row>
    <row r="213">
      <c r="A213" s="12" t="str">
        <f>IFERROR(__xludf.DUMMYFUNCTION("""COMPUTED_VALUE"""),"Lamond Murray, Jr.")</f>
        <v>Lamond Murray, Jr.</v>
      </c>
      <c r="B213" s="13" t="str">
        <f>IFERROR(__xludf.DUMMYFUNCTION("""COMPUTED_VALUE"""),"ARI")</f>
        <v>ARI</v>
      </c>
      <c r="C213" s="14">
        <f>IFERROR(__xludf.DUMMYFUNCTION("""COMPUTED_VALUE"""),351.5)</f>
        <v>351.5</v>
      </c>
      <c r="D213" s="15">
        <f>IFERROR(__xludf.DUMMYFUNCTION("""COMPUTED_VALUE"""),0.5038768359543182)</f>
        <v>0.503876836</v>
      </c>
      <c r="E213" s="15">
        <f>IFERROR(__xludf.DUMMYFUNCTION("""COMPUTED_VALUE"""),-3.711896151268339)</f>
        <v>-3.711896151</v>
      </c>
      <c r="F213" s="15">
        <f>IFERROR(__xludf.DUMMYFUNCTION("""COMPUTED_VALUE"""),-3.208019315314021)</f>
        <v>-3.208019315</v>
      </c>
      <c r="G213" s="17">
        <f>IFERROR(__xludf.DUMMYFUNCTION("""COMPUTED_VALUE"""),-0.2666228865090345)</f>
        <v>-0.2666228865</v>
      </c>
      <c r="H213" s="4"/>
      <c r="I213" s="5" t="s">
        <v>988</v>
      </c>
      <c r="J213" s="5" t="s">
        <v>646</v>
      </c>
      <c r="K213" s="5">
        <v>112.0</v>
      </c>
      <c r="L213" s="5">
        <v>-1.91894</v>
      </c>
      <c r="M213" s="5">
        <v>-0.95948</v>
      </c>
      <c r="N213" s="5">
        <v>-2.87841</v>
      </c>
      <c r="O213" s="5">
        <v>-0.03041</v>
      </c>
    </row>
    <row r="214">
      <c r="A214" s="18" t="str">
        <f>IFERROR(__xludf.DUMMYFUNCTION("""COMPUTED_VALUE"""),"Giannis Athineou")</f>
        <v>Giannis Athineou</v>
      </c>
      <c r="B214" s="19" t="str">
        <f>IFERROR(__xludf.DUMMYFUNCTION("""COMPUTED_VALUE"""),"ARI")</f>
        <v>ARI</v>
      </c>
      <c r="C214" s="20">
        <f>IFERROR(__xludf.DUMMYFUNCTION("""COMPUTED_VALUE"""),496.0)</f>
        <v>496</v>
      </c>
      <c r="D214" s="21">
        <f>IFERROR(__xludf.DUMMYFUNCTION("""COMPUTED_VALUE"""),1.966460119145922)</f>
        <v>1.966460119</v>
      </c>
      <c r="E214" s="21">
        <f>IFERROR(__xludf.DUMMYFUNCTION("""COMPUTED_VALUE"""),-5.2003476537214945)</f>
        <v>-5.200347654</v>
      </c>
      <c r="F214" s="21">
        <f>IFERROR(__xludf.DUMMYFUNCTION("""COMPUTED_VALUE"""),-3.2338875345755724)</f>
        <v>-3.233887535</v>
      </c>
      <c r="G214" s="23">
        <f>IFERROR(__xludf.DUMMYFUNCTION("""COMPUTED_VALUE"""),-0.3842868038882816)</f>
        <v>-0.3842868039</v>
      </c>
      <c r="H214" s="4"/>
      <c r="I214" s="5" t="s">
        <v>991</v>
      </c>
      <c r="J214" s="5" t="s">
        <v>671</v>
      </c>
      <c r="K214" s="5">
        <v>481.0</v>
      </c>
      <c r="L214" s="5">
        <v>-1.569</v>
      </c>
      <c r="M214" s="5">
        <v>-1.41709</v>
      </c>
      <c r="N214" s="5">
        <v>-2.9861</v>
      </c>
      <c r="O214" s="5">
        <v>-0.14268</v>
      </c>
    </row>
    <row r="215">
      <c r="A215" s="12" t="str">
        <f>IFERROR(__xludf.DUMMYFUNCTION("""COMPUTED_VALUE"""),"Chris McNealy")</f>
        <v>Chris McNealy</v>
      </c>
      <c r="B215" s="13" t="str">
        <f>IFERROR(__xludf.DUMMYFUNCTION("""COMPUTED_VALUE"""),"PAI")</f>
        <v>PAI</v>
      </c>
      <c r="C215" s="14">
        <f>IFERROR(__xludf.DUMMYFUNCTION("""COMPUTED_VALUE"""),353.7)</f>
        <v>353.7</v>
      </c>
      <c r="D215" s="15">
        <f>IFERROR(__xludf.DUMMYFUNCTION("""COMPUTED_VALUE"""),-1.9536129166607565)</f>
        <v>-1.953612917</v>
      </c>
      <c r="E215" s="15">
        <f>IFERROR(__xludf.DUMMYFUNCTION("""COMPUTED_VALUE"""),-1.3041093493009275)</f>
        <v>-1.304109349</v>
      </c>
      <c r="F215" s="15">
        <f>IFERROR(__xludf.DUMMYFUNCTION("""COMPUTED_VALUE"""),-3.257722265961684)</f>
        <v>-3.257722266</v>
      </c>
      <c r="G215" s="17">
        <f>IFERROR(__xludf.DUMMYFUNCTION("""COMPUTED_VALUE"""),-0.1351953555188834)</f>
        <v>-0.1351953555</v>
      </c>
      <c r="H215" s="4"/>
      <c r="I215" s="5" t="s">
        <v>993</v>
      </c>
      <c r="J215" s="5" t="s">
        <v>677</v>
      </c>
      <c r="K215" s="5">
        <v>87.0</v>
      </c>
      <c r="L215" s="5">
        <v>-2.09828</v>
      </c>
      <c r="M215" s="5">
        <v>-0.93456</v>
      </c>
      <c r="N215" s="5">
        <v>-3.03283</v>
      </c>
      <c r="O215" s="5">
        <v>-0.05649</v>
      </c>
    </row>
    <row r="216">
      <c r="A216" s="18" t="str">
        <f>IFERROR(__xludf.DUMMYFUNCTION("""COMPUTED_VALUE"""),"John Florveus")</f>
        <v>John Florveus</v>
      </c>
      <c r="B216" s="19" t="str">
        <f>IFERROR(__xludf.DUMMYFUNCTION("""COMPUTED_VALUE"""),"AMA")</f>
        <v>AMA</v>
      </c>
      <c r="C216" s="20">
        <f>IFERROR(__xludf.DUMMYFUNCTION("""COMPUTED_VALUE"""),82.8)</f>
        <v>82.8</v>
      </c>
      <c r="D216" s="21">
        <f>IFERROR(__xludf.DUMMYFUNCTION("""COMPUTED_VALUE"""),-1.719222666321778)</f>
        <v>-1.719222666</v>
      </c>
      <c r="E216" s="21">
        <f>IFERROR(__xludf.DUMMYFUNCTION("""COMPUTED_VALUE"""),-1.6131052410778008)</f>
        <v>-1.613105241</v>
      </c>
      <c r="F216" s="21">
        <f>IFERROR(__xludf.DUMMYFUNCTION("""COMPUTED_VALUE"""),-3.332327907399579)</f>
        <v>-3.332327907</v>
      </c>
      <c r="G216" s="23">
        <f>IFERROR(__xludf.DUMMYFUNCTION("""COMPUTED_VALUE"""),-0.03317256737190534)</f>
        <v>-0.03317256737</v>
      </c>
      <c r="H216" s="4"/>
      <c r="I216" s="5" t="s">
        <v>995</v>
      </c>
      <c r="J216" s="5" t="s">
        <v>677</v>
      </c>
      <c r="K216" s="5">
        <v>352.0</v>
      </c>
      <c r="L216" s="5">
        <v>-2.15782</v>
      </c>
      <c r="M216" s="5">
        <v>-1.03986</v>
      </c>
      <c r="N216" s="5">
        <v>-3.19768</v>
      </c>
      <c r="O216" s="5">
        <v>-0.26434</v>
      </c>
    </row>
    <row r="217">
      <c r="A217" s="12" t="str">
        <f>IFERROR(__xludf.DUMMYFUNCTION("""COMPUTED_VALUE"""),"Giannis Dimakos")</f>
        <v>Giannis Dimakos</v>
      </c>
      <c r="B217" s="13" t="str">
        <f>IFERROR(__xludf.DUMMYFUNCTION("""COMPUTED_VALUE"""),"PROM")</f>
        <v>PROM</v>
      </c>
      <c r="C217" s="14">
        <f>IFERROR(__xludf.DUMMYFUNCTION("""COMPUTED_VALUE"""),295.7)</f>
        <v>295.7</v>
      </c>
      <c r="D217" s="15">
        <f>IFERROR(__xludf.DUMMYFUNCTION("""COMPUTED_VALUE"""),-2.3563248548715174)</f>
        <v>-2.356324855</v>
      </c>
      <c r="E217" s="15">
        <f>IFERROR(__xludf.DUMMYFUNCTION("""COMPUTED_VALUE"""),-0.9881527198185376)</f>
        <v>-0.9881527198</v>
      </c>
      <c r="F217" s="15">
        <f>IFERROR(__xludf.DUMMYFUNCTION("""COMPUTED_VALUE"""),-3.344477574690055)</f>
        <v>-3.344477575</v>
      </c>
      <c r="G217" s="17">
        <f>IFERROR(__xludf.DUMMYFUNCTION("""COMPUTED_VALUE"""),-0.12141684096002768)</f>
        <v>-0.121416841</v>
      </c>
      <c r="H217" s="4"/>
      <c r="I217" s="5" t="s">
        <v>997</v>
      </c>
      <c r="J217" s="5" t="s">
        <v>677</v>
      </c>
      <c r="K217" s="5">
        <v>496.0</v>
      </c>
      <c r="L217" s="5">
        <v>-0.69613</v>
      </c>
      <c r="M217" s="5">
        <v>-2.52815</v>
      </c>
      <c r="N217" s="5">
        <v>-3.22428</v>
      </c>
      <c r="O217" s="5">
        <v>-0.38129</v>
      </c>
    </row>
    <row r="218">
      <c r="A218" s="18" t="str">
        <f>IFERROR(__xludf.DUMMYFUNCTION("""COMPUTED_VALUE"""),"Giannis Molfetas")</f>
        <v>Giannis Molfetas</v>
      </c>
      <c r="B218" s="19" t="str">
        <f>IFERROR(__xludf.DUMMYFUNCTION("""COMPUTED_VALUE"""),"PAI")</f>
        <v>PAI</v>
      </c>
      <c r="C218" s="20">
        <f>IFERROR(__xludf.DUMMYFUNCTION("""COMPUTED_VALUE"""),62.6)</f>
        <v>62.6</v>
      </c>
      <c r="D218" s="21">
        <f>IFERROR(__xludf.DUMMYFUNCTION("""COMPUTED_VALUE"""),-2.0686069458172462)</f>
        <v>-2.068606946</v>
      </c>
      <c r="E218" s="21">
        <f>IFERROR(__xludf.DUMMYFUNCTION("""COMPUTED_VALUE"""),-1.304288480465452)</f>
        <v>-1.30428848</v>
      </c>
      <c r="F218" s="21">
        <f>IFERROR(__xludf.DUMMYFUNCTION("""COMPUTED_VALUE"""),-3.3728954262826982)</f>
        <v>-3.372895426</v>
      </c>
      <c r="G218" s="23">
        <f>IFERROR(__xludf.DUMMYFUNCTION("""COMPUTED_VALUE"""),-0.026118832140663056)</f>
        <v>-0.02611883214</v>
      </c>
      <c r="H218" s="4"/>
      <c r="I218" s="5" t="s">
        <v>999</v>
      </c>
      <c r="J218" s="5" t="s">
        <v>639</v>
      </c>
      <c r="K218" s="5">
        <v>354.0</v>
      </c>
      <c r="L218" s="5">
        <v>-3.18271</v>
      </c>
      <c r="M218" s="5">
        <v>-0.0766</v>
      </c>
      <c r="N218" s="5">
        <v>-3.2593</v>
      </c>
      <c r="O218" s="5">
        <v>-0.13537</v>
      </c>
    </row>
    <row r="219">
      <c r="A219" s="12" t="str">
        <f>IFERROR(__xludf.DUMMYFUNCTION("""COMPUTED_VALUE"""),"Keith Benson")</f>
        <v>Keith Benson</v>
      </c>
      <c r="B219" s="13" t="str">
        <f>IFERROR(__xludf.DUMMYFUNCTION("""COMPUTED_VALUE"""),"ARI")</f>
        <v>ARI</v>
      </c>
      <c r="C219" s="14">
        <f>IFERROR(__xludf.DUMMYFUNCTION("""COMPUTED_VALUE"""),167.8)</f>
        <v>167.8</v>
      </c>
      <c r="D219" s="15">
        <f>IFERROR(__xludf.DUMMYFUNCTION("""COMPUTED_VALUE"""),-1.1460059300264869)</f>
        <v>-1.14600593</v>
      </c>
      <c r="E219" s="15">
        <f>IFERROR(__xludf.DUMMYFUNCTION("""COMPUTED_VALUE"""),-2.2525993310826813)</f>
        <v>-2.252599331</v>
      </c>
      <c r="F219" s="15">
        <f>IFERROR(__xludf.DUMMYFUNCTION("""COMPUTED_VALUE"""),-3.398605261109168)</f>
        <v>-3.398605261</v>
      </c>
      <c r="G219" s="17">
        <f>IFERROR(__xludf.DUMMYFUNCTION("""COMPUTED_VALUE"""),-0.14736194064082875)</f>
        <v>-0.1473619406</v>
      </c>
      <c r="H219" s="4"/>
      <c r="I219" s="5" t="s">
        <v>1002</v>
      </c>
      <c r="J219" s="5" t="s">
        <v>704</v>
      </c>
      <c r="K219" s="5">
        <v>83.0</v>
      </c>
      <c r="L219" s="5">
        <v>-2.40312</v>
      </c>
      <c r="M219" s="5">
        <v>-0.93036</v>
      </c>
      <c r="N219" s="5">
        <v>-3.33348</v>
      </c>
      <c r="O219" s="5">
        <v>-0.0332</v>
      </c>
    </row>
    <row r="220">
      <c r="A220" s="18" t="str">
        <f>IFERROR(__xludf.DUMMYFUNCTION("""COMPUTED_VALUE"""),"Kevin Ware")</f>
        <v>Kevin Ware</v>
      </c>
      <c r="B220" s="19" t="str">
        <f>IFERROR(__xludf.DUMMYFUNCTION("""COMPUTED_VALUE"""),"LAR")</f>
        <v>LAR</v>
      </c>
      <c r="C220" s="20">
        <f>IFERROR(__xludf.DUMMYFUNCTION("""COMPUTED_VALUE"""),226.9)</f>
        <v>226.9</v>
      </c>
      <c r="D220" s="21">
        <f>IFERROR(__xludf.DUMMYFUNCTION("""COMPUTED_VALUE"""),-1.4639618412103055)</f>
        <v>-1.463961841</v>
      </c>
      <c r="E220" s="21">
        <f>IFERROR(__xludf.DUMMYFUNCTION("""COMPUTED_VALUE"""),-1.9951009873149863)</f>
        <v>-1.995100987</v>
      </c>
      <c r="F220" s="21">
        <f>IFERROR(__xludf.DUMMYFUNCTION("""COMPUTED_VALUE"""),-3.459062828525292)</f>
        <v>-3.459062829</v>
      </c>
      <c r="G220" s="23">
        <f>IFERROR(__xludf.DUMMYFUNCTION("""COMPUTED_VALUE"""),-0.1010616106864776)</f>
        <v>-0.1010616107</v>
      </c>
      <c r="H220" s="4"/>
      <c r="I220" s="5" t="s">
        <v>1004</v>
      </c>
      <c r="J220" s="5" t="s">
        <v>639</v>
      </c>
      <c r="K220" s="5">
        <v>63.0</v>
      </c>
      <c r="L220" s="5">
        <v>-2.32494</v>
      </c>
      <c r="M220" s="5">
        <v>-1.04817</v>
      </c>
      <c r="N220" s="5">
        <v>-3.37312</v>
      </c>
      <c r="O220" s="5">
        <v>-0.02612</v>
      </c>
    </row>
    <row r="221">
      <c r="A221" s="12" t="str">
        <f>IFERROR(__xludf.DUMMYFUNCTION("""COMPUTED_VALUE"""),"Manolis Papamakarios")</f>
        <v>Manolis Papamakarios</v>
      </c>
      <c r="B221" s="13" t="str">
        <f>IFERROR(__xludf.DUMMYFUNCTION("""COMPUTED_VALUE"""),"LAR")</f>
        <v>LAR</v>
      </c>
      <c r="C221" s="14">
        <f>IFERROR(__xludf.DUMMYFUNCTION("""COMPUTED_VALUE"""),613.9)</f>
        <v>613.9</v>
      </c>
      <c r="D221" s="15">
        <f>IFERROR(__xludf.DUMMYFUNCTION("""COMPUTED_VALUE"""),-1.126089210539216)</f>
        <v>-1.126089211</v>
      </c>
      <c r="E221" s="15">
        <f>IFERROR(__xludf.DUMMYFUNCTION("""COMPUTED_VALUE"""),-2.3455652984137583)</f>
        <v>-2.345565298</v>
      </c>
      <c r="F221" s="15">
        <f>IFERROR(__xludf.DUMMYFUNCTION("""COMPUTED_VALUE"""),-3.471654508952974)</f>
        <v>-3.471654509</v>
      </c>
      <c r="G221" s="17">
        <f>IFERROR(__xludf.DUMMYFUNCTION("""COMPUTED_VALUE"""),-0.27579172109631167)</f>
        <v>-0.2757917211</v>
      </c>
      <c r="H221" s="4"/>
      <c r="I221" s="5" t="s">
        <v>1007</v>
      </c>
      <c r="J221" s="5" t="s">
        <v>677</v>
      </c>
      <c r="K221" s="5">
        <v>168.0</v>
      </c>
      <c r="L221" s="5">
        <v>-2.63385</v>
      </c>
      <c r="M221" s="5">
        <v>-0.7582</v>
      </c>
      <c r="N221" s="5">
        <v>-3.39206</v>
      </c>
      <c r="O221" s="5">
        <v>-0.14667</v>
      </c>
    </row>
    <row r="222">
      <c r="A222" s="18" t="str">
        <f>IFERROR(__xludf.DUMMYFUNCTION("""COMPUTED_VALUE"""),"D.J. Fenner")</f>
        <v>D.J. Fenner</v>
      </c>
      <c r="B222" s="19" t="str">
        <f>IFERROR(__xludf.DUMMYFUNCTION("""COMPUTED_VALUE"""),"LAR")</f>
        <v>LAR</v>
      </c>
      <c r="C222" s="20">
        <f>IFERROR(__xludf.DUMMYFUNCTION("""COMPUTED_VALUE"""),121.4)</f>
        <v>121.4</v>
      </c>
      <c r="D222" s="21">
        <f>IFERROR(__xludf.DUMMYFUNCTION("""COMPUTED_VALUE"""),-0.47233864889036825)</f>
        <v>-0.4723386489</v>
      </c>
      <c r="E222" s="21">
        <f>IFERROR(__xludf.DUMMYFUNCTION("""COMPUTED_VALUE"""),-2.9996795538414007)</f>
        <v>-2.999679554</v>
      </c>
      <c r="F222" s="21">
        <f>IFERROR(__xludf.DUMMYFUNCTION("""COMPUTED_VALUE"""),-3.472018202731769)</f>
        <v>-3.472018203</v>
      </c>
      <c r="G222" s="23">
        <f>IFERROR(__xludf.DUMMYFUNCTION("""COMPUTED_VALUE"""),-0.05455186384668527)</f>
        <v>-0.05455186385</v>
      </c>
      <c r="H222" s="4"/>
      <c r="I222" s="5" t="s">
        <v>1009</v>
      </c>
      <c r="J222" s="5" t="s">
        <v>686</v>
      </c>
      <c r="K222" s="5">
        <v>227.0</v>
      </c>
      <c r="L222" s="5">
        <v>-2.53495</v>
      </c>
      <c r="M222" s="5">
        <v>-0.92233</v>
      </c>
      <c r="N222" s="5">
        <v>-3.45727</v>
      </c>
      <c r="O222" s="5">
        <v>-0.10094</v>
      </c>
    </row>
    <row r="223">
      <c r="A223" s="12" t="str">
        <f>IFERROR(__xludf.DUMMYFUNCTION("""COMPUTED_VALUE"""),"Panagiotis Vasilopoulos")</f>
        <v>Panagiotis Vasilopoulos</v>
      </c>
      <c r="B223" s="13" t="str">
        <f>IFERROR(__xludf.DUMMYFUNCTION("""COMPUTED_VALUE"""),"ARI")</f>
        <v>ARI</v>
      </c>
      <c r="C223" s="14">
        <f>IFERROR(__xludf.DUMMYFUNCTION("""COMPUTED_VALUE"""),268.55)</f>
        <v>268.55</v>
      </c>
      <c r="D223" s="15">
        <f>IFERROR(__xludf.DUMMYFUNCTION("""COMPUTED_VALUE"""),-2.5842436918486222)</f>
        <v>-2.584243692</v>
      </c>
      <c r="E223" s="15">
        <f>IFERROR(__xludf.DUMMYFUNCTION("""COMPUTED_VALUE"""),-0.9164830613187367)</f>
        <v>-0.9164830613</v>
      </c>
      <c r="F223" s="15">
        <f>IFERROR(__xludf.DUMMYFUNCTION("""COMPUTED_VALUE"""),-3.500726753167359)</f>
        <v>-3.500726753</v>
      </c>
      <c r="G223" s="17">
        <f>IFERROR(__xludf.DUMMYFUNCTION("""COMPUTED_VALUE"""),-0.25306087160932067)</f>
        <v>-0.2530608716</v>
      </c>
      <c r="H223" s="4"/>
      <c r="I223" s="5" t="s">
        <v>1010</v>
      </c>
      <c r="J223" s="5" t="s">
        <v>686</v>
      </c>
      <c r="K223" s="5">
        <v>121.0</v>
      </c>
      <c r="L223" s="5">
        <v>-1.04623</v>
      </c>
      <c r="M223" s="5">
        <v>-2.42555</v>
      </c>
      <c r="N223" s="5">
        <v>-3.47178</v>
      </c>
      <c r="O223" s="5">
        <v>-0.05454</v>
      </c>
    </row>
    <row r="224">
      <c r="A224" s="18" t="str">
        <f>IFERROR(__xludf.DUMMYFUNCTION("""COMPUTED_VALUE"""),"Jahii Carson")</f>
        <v>Jahii Carson</v>
      </c>
      <c r="B224" s="19" t="str">
        <f>IFERROR(__xludf.DUMMYFUNCTION("""COMPUTED_VALUE"""),"AMA")</f>
        <v>AMA</v>
      </c>
      <c r="C224" s="20">
        <f>IFERROR(__xludf.DUMMYFUNCTION("""COMPUTED_VALUE"""),708.8)</f>
        <v>708.8</v>
      </c>
      <c r="D224" s="21">
        <f>IFERROR(__xludf.DUMMYFUNCTION("""COMPUTED_VALUE"""),0.7342081029693521)</f>
        <v>0.734208103</v>
      </c>
      <c r="E224" s="21">
        <f>IFERROR(__xludf.DUMMYFUNCTION("""COMPUTED_VALUE"""),-4.238504773350418)</f>
        <v>-4.238504773</v>
      </c>
      <c r="F224" s="21">
        <f>IFERROR(__xludf.DUMMYFUNCTION("""COMPUTED_VALUE"""),-3.5042966703810663)</f>
        <v>-3.50429667</v>
      </c>
      <c r="G224" s="23">
        <f>IFERROR(__xludf.DUMMYFUNCTION("""COMPUTED_VALUE"""),-0.3206231128477698)</f>
        <v>-0.3206231128</v>
      </c>
      <c r="H224" s="4"/>
      <c r="I224" s="5" t="s">
        <v>1013</v>
      </c>
      <c r="J224" s="5" t="s">
        <v>686</v>
      </c>
      <c r="K224" s="5">
        <v>614.0</v>
      </c>
      <c r="L224" s="5">
        <v>-2.54801</v>
      </c>
      <c r="M224" s="5">
        <v>-0.92613</v>
      </c>
      <c r="N224" s="5">
        <v>-3.47414</v>
      </c>
      <c r="O224" s="5">
        <v>-0.27626</v>
      </c>
    </row>
    <row r="225">
      <c r="A225" s="12" t="str">
        <f>IFERROR(__xludf.DUMMYFUNCTION("""COMPUTED_VALUE"""),"Daviyon Draper")</f>
        <v>Daviyon Draper</v>
      </c>
      <c r="B225" s="13" t="str">
        <f>IFERROR(__xludf.DUMMYFUNCTION("""COMPUTED_VALUE"""),"LAR")</f>
        <v>LAR</v>
      </c>
      <c r="C225" s="14">
        <f>IFERROR(__xludf.DUMMYFUNCTION("""COMPUTED_VALUE"""),137.3)</f>
        <v>137.3</v>
      </c>
      <c r="D225" s="15">
        <f>IFERROR(__xludf.DUMMYFUNCTION("""COMPUTED_VALUE"""),-1.3509546880778138)</f>
        <v>-1.350954688</v>
      </c>
      <c r="E225" s="15">
        <f>IFERROR(__xludf.DUMMYFUNCTION("""COMPUTED_VALUE"""),-2.173371002483126)</f>
        <v>-2.173371002</v>
      </c>
      <c r="F225" s="15">
        <f>IFERROR(__xludf.DUMMYFUNCTION("""COMPUTED_VALUE"""),-3.5243256905609397)</f>
        <v>-3.524325691</v>
      </c>
      <c r="G225" s="17">
        <f>IFERROR(__xludf.DUMMYFUNCTION("""COMPUTED_VALUE"""),-0.06388899149394636)</f>
        <v>-0.06388899149</v>
      </c>
      <c r="H225" s="4"/>
      <c r="I225" s="5" t="s">
        <v>1015</v>
      </c>
      <c r="J225" s="5" t="s">
        <v>677</v>
      </c>
      <c r="K225" s="5">
        <v>269.0</v>
      </c>
      <c r="L225" s="5">
        <v>-5.12145</v>
      </c>
      <c r="M225" s="5">
        <v>1.62213</v>
      </c>
      <c r="N225" s="5">
        <v>-3.49932</v>
      </c>
      <c r="O225" s="5">
        <v>-0.25282</v>
      </c>
    </row>
    <row r="226">
      <c r="A226" s="18" t="str">
        <f>IFERROR(__xludf.DUMMYFUNCTION("""COMPUTED_VALUE"""),"Dimitrios Kaklamanakis")</f>
        <v>Dimitrios Kaklamanakis</v>
      </c>
      <c r="B226" s="19" t="str">
        <f>IFERROR(__xludf.DUMMYFUNCTION("""COMPUTED_VALUE"""),"LAV")</f>
        <v>LAV</v>
      </c>
      <c r="C226" s="20">
        <f>IFERROR(__xludf.DUMMYFUNCTION("""COMPUTED_VALUE"""),494.7)</f>
        <v>494.7</v>
      </c>
      <c r="D226" s="21">
        <f>IFERROR(__xludf.DUMMYFUNCTION("""COMPUTED_VALUE"""),-4.4940325964764885)</f>
        <v>-4.494032596</v>
      </c>
      <c r="E226" s="21">
        <f>IFERROR(__xludf.DUMMYFUNCTION("""COMPUTED_VALUE"""),0.9277645248754216)</f>
        <v>0.9277645249</v>
      </c>
      <c r="F226" s="21">
        <f>IFERROR(__xludf.DUMMYFUNCTION("""COMPUTED_VALUE"""),-3.566268071601067)</f>
        <v>-3.566268072</v>
      </c>
      <c r="G226" s="23">
        <f>IFERROR(__xludf.DUMMYFUNCTION("""COMPUTED_VALUE"""),-0.2341099853006485)</f>
        <v>-0.2341099853</v>
      </c>
      <c r="H226" s="4"/>
      <c r="I226" s="5" t="s">
        <v>1018</v>
      </c>
      <c r="J226" s="5" t="s">
        <v>704</v>
      </c>
      <c r="K226" s="5">
        <v>709.0</v>
      </c>
      <c r="L226" s="5">
        <v>-1.73518</v>
      </c>
      <c r="M226" s="5">
        <v>-1.76632</v>
      </c>
      <c r="N226" s="5">
        <v>-3.5015</v>
      </c>
      <c r="O226" s="5">
        <v>-0.32003</v>
      </c>
    </row>
    <row r="227">
      <c r="A227" s="12" t="str">
        <f>IFERROR(__xludf.DUMMYFUNCTION("""COMPUTED_VALUE"""),"Marcus Posley")</f>
        <v>Marcus Posley</v>
      </c>
      <c r="B227" s="13" t="str">
        <f>IFERROR(__xludf.DUMMYFUNCTION("""COMPUTED_VALUE"""),"AMA")</f>
        <v>AMA</v>
      </c>
      <c r="C227" s="14">
        <f>IFERROR(__xludf.DUMMYFUNCTION("""COMPUTED_VALUE"""),651.7)</f>
        <v>651.7</v>
      </c>
      <c r="D227" s="15">
        <f>IFERROR(__xludf.DUMMYFUNCTION("""COMPUTED_VALUE"""),1.4839773746799154)</f>
        <v>1.483977375</v>
      </c>
      <c r="E227" s="15">
        <f>IFERROR(__xludf.DUMMYFUNCTION("""COMPUTED_VALUE"""),-5.088138407573689)</f>
        <v>-5.088138408</v>
      </c>
      <c r="F227" s="15">
        <f>IFERROR(__xludf.DUMMYFUNCTION("""COMPUTED_VALUE"""),-3.6041610328937743)</f>
        <v>-3.604161033</v>
      </c>
      <c r="G227" s="17">
        <f>IFERROR(__xludf.DUMMYFUNCTION("""COMPUTED_VALUE"""),-0.31436436232894266)</f>
        <v>-0.3143643623</v>
      </c>
      <c r="H227" s="4"/>
      <c r="I227" s="5" t="s">
        <v>1019</v>
      </c>
      <c r="J227" s="5" t="s">
        <v>686</v>
      </c>
      <c r="K227" s="5">
        <v>137.0</v>
      </c>
      <c r="L227" s="5">
        <v>-2.00033</v>
      </c>
      <c r="M227" s="5">
        <v>-1.52399</v>
      </c>
      <c r="N227" s="5">
        <v>-3.52432</v>
      </c>
      <c r="O227" s="5">
        <v>-0.06389</v>
      </c>
    </row>
    <row r="228">
      <c r="A228" s="18" t="str">
        <f>IFERROR(__xludf.DUMMYFUNCTION("""COMPUTED_VALUE"""),"Christoforos Stefanidis")</f>
        <v>Christoforos Stefanidis</v>
      </c>
      <c r="B228" s="19" t="str">
        <f>IFERROR(__xludf.DUMMYFUNCTION("""COMPUTED_VALUE"""),"RETH")</f>
        <v>RETH</v>
      </c>
      <c r="C228" s="20">
        <f>IFERROR(__xludf.DUMMYFUNCTION("""COMPUTED_VALUE"""),182.4)</f>
        <v>182.4</v>
      </c>
      <c r="D228" s="21">
        <f>IFERROR(__xludf.DUMMYFUNCTION("""COMPUTED_VALUE"""),-2.687104614035084)</f>
        <v>-2.687104614</v>
      </c>
      <c r="E228" s="21">
        <f>IFERROR(__xludf.DUMMYFUNCTION("""COMPUTED_VALUE"""),-0.9377725268895958)</f>
        <v>-0.9377725269</v>
      </c>
      <c r="F228" s="21">
        <f>IFERROR(__xludf.DUMMYFUNCTION("""COMPUTED_VALUE"""),-3.6248771409246796)</f>
        <v>-3.624877141</v>
      </c>
      <c r="G228" s="23">
        <f>IFERROR(__xludf.DUMMYFUNCTION("""COMPUTED_VALUE"""),-0.089226530910688)</f>
        <v>-0.08922653091</v>
      </c>
      <c r="H228" s="4"/>
      <c r="I228" s="5" t="s">
        <v>1022</v>
      </c>
      <c r="J228" s="5" t="s">
        <v>631</v>
      </c>
      <c r="K228" s="5">
        <v>495.0</v>
      </c>
      <c r="L228" s="5">
        <v>-3.41327</v>
      </c>
      <c r="M228" s="5">
        <v>-0.15429</v>
      </c>
      <c r="N228" s="5">
        <v>-3.56757</v>
      </c>
      <c r="O228" s="5">
        <v>-0.2343</v>
      </c>
    </row>
    <row r="229">
      <c r="A229" s="12" t="str">
        <f>IFERROR(__xludf.DUMMYFUNCTION("""COMPUTED_VALUE"""),"Michail Lountzis")</f>
        <v>Michail Lountzis</v>
      </c>
      <c r="B229" s="13" t="str">
        <f>IFERROR(__xludf.DUMMYFUNCTION("""COMPUTED_VALUE"""),"ARI")</f>
        <v>ARI</v>
      </c>
      <c r="C229" s="14">
        <f>IFERROR(__xludf.DUMMYFUNCTION("""COMPUTED_VALUE"""),628.8)</f>
        <v>628.8</v>
      </c>
      <c r="D229" s="15">
        <f>IFERROR(__xludf.DUMMYFUNCTION("""COMPUTED_VALUE"""),-1.3724793754204705)</f>
        <v>-1.372479375</v>
      </c>
      <c r="E229" s="15">
        <f>IFERROR(__xludf.DUMMYFUNCTION("""COMPUTED_VALUE"""),-2.25469513940939)</f>
        <v>-2.254695139</v>
      </c>
      <c r="F229" s="15">
        <f>IFERROR(__xludf.DUMMYFUNCTION("""COMPUTED_VALUE"""),-3.6271745148298606)</f>
        <v>-3.627174515</v>
      </c>
      <c r="G229" s="17">
        <f>IFERROR(__xludf.DUMMYFUNCTION("""COMPUTED_VALUE"""),-0.6424582121014045)</f>
        <v>-0.6424582121</v>
      </c>
      <c r="H229" s="4"/>
      <c r="I229" s="5" t="s">
        <v>1023</v>
      </c>
      <c r="J229" s="5" t="s">
        <v>704</v>
      </c>
      <c r="K229" s="5">
        <v>652.0</v>
      </c>
      <c r="L229" s="5">
        <v>-0.98573</v>
      </c>
      <c r="M229" s="5">
        <v>-2.61589</v>
      </c>
      <c r="N229" s="5">
        <v>-3.60163</v>
      </c>
      <c r="O229" s="5">
        <v>-0.31387</v>
      </c>
    </row>
    <row r="230">
      <c r="A230" s="18" t="str">
        <f>IFERROR(__xludf.DUMMYFUNCTION("""COMPUTED_VALUE"""),"Evangelos Sakellariou")</f>
        <v>Evangelos Sakellariou</v>
      </c>
      <c r="B230" s="19" t="str">
        <f>IFERROR(__xludf.DUMMYFUNCTION("""COMPUTED_VALUE"""),"PAI")</f>
        <v>PAI</v>
      </c>
      <c r="C230" s="20">
        <f>IFERROR(__xludf.DUMMYFUNCTION("""COMPUTED_VALUE"""),848.6)</f>
        <v>848.6</v>
      </c>
      <c r="D230" s="21">
        <f>IFERROR(__xludf.DUMMYFUNCTION("""COMPUTED_VALUE"""),0.13443026499685007)</f>
        <v>0.134430265</v>
      </c>
      <c r="E230" s="21">
        <f>IFERROR(__xludf.DUMMYFUNCTION("""COMPUTED_VALUE"""),-3.781756896909216)</f>
        <v>-3.781756897</v>
      </c>
      <c r="F230" s="21">
        <f>IFERROR(__xludf.DUMMYFUNCTION("""COMPUTED_VALUE"""),-3.647326631912366)</f>
        <v>-3.647326632</v>
      </c>
      <c r="G230" s="23">
        <f>IFERROR(__xludf.DUMMYFUNCTION("""COMPUTED_VALUE"""),-0.424839324789879)</f>
        <v>-0.4248393248</v>
      </c>
      <c r="H230" s="4"/>
      <c r="I230" s="5" t="s">
        <v>1025</v>
      </c>
      <c r="J230" s="5" t="s">
        <v>677</v>
      </c>
      <c r="K230" s="5">
        <v>629.0</v>
      </c>
      <c r="L230" s="5">
        <v>-4.03674</v>
      </c>
      <c r="M230" s="5">
        <v>0.4178</v>
      </c>
      <c r="N230" s="5">
        <v>-3.61894</v>
      </c>
      <c r="O230" s="5">
        <v>-0.63921</v>
      </c>
    </row>
    <row r="231">
      <c r="A231" s="12" t="str">
        <f>IFERROR(__xludf.DUMMYFUNCTION("""COMPUTED_VALUE"""),"Kwame Vaughn")</f>
        <v>Kwame Vaughn</v>
      </c>
      <c r="B231" s="13" t="str">
        <f>IFERROR(__xludf.DUMMYFUNCTION("""COMPUTED_VALUE"""),"ARI")</f>
        <v>ARI</v>
      </c>
      <c r="C231" s="14">
        <f>IFERROR(__xludf.DUMMYFUNCTION("""COMPUTED_VALUE"""),103.5)</f>
        <v>103.5</v>
      </c>
      <c r="D231" s="15">
        <f>IFERROR(__xludf.DUMMYFUNCTION("""COMPUTED_VALUE"""),-0.8640607573420257)</f>
        <v>-0.8640607573</v>
      </c>
      <c r="E231" s="15">
        <f>IFERROR(__xludf.DUMMYFUNCTION("""COMPUTED_VALUE"""),-2.840277671631442)</f>
        <v>-2.840277672</v>
      </c>
      <c r="F231" s="15">
        <f>IFERROR(__xludf.DUMMYFUNCTION("""COMPUTED_VALUE"""),-3.7043384289734678)</f>
        <v>-3.704338429</v>
      </c>
      <c r="G231" s="17">
        <f>IFERROR(__xludf.DUMMYFUNCTION("""COMPUTED_VALUE"""),-0.11076292204670071)</f>
        <v>-0.110762922</v>
      </c>
      <c r="H231" s="4"/>
      <c r="I231" s="5" t="s">
        <v>1026</v>
      </c>
      <c r="J231" s="5" t="s">
        <v>671</v>
      </c>
      <c r="K231" s="5">
        <v>182.0</v>
      </c>
      <c r="L231" s="5">
        <v>-2.55766</v>
      </c>
      <c r="M231" s="5">
        <v>-1.06914</v>
      </c>
      <c r="N231" s="5">
        <v>-3.6268</v>
      </c>
      <c r="O231" s="5">
        <v>-0.08933</v>
      </c>
    </row>
    <row r="232">
      <c r="A232" s="18" t="str">
        <f>IFERROR(__xludf.DUMMYFUNCTION("""COMPUTED_VALUE"""),"Dionysios Tataris")</f>
        <v>Dionysios Tataris</v>
      </c>
      <c r="B232" s="19" t="str">
        <f>IFERROR(__xludf.DUMMYFUNCTION("""COMPUTED_VALUE"""),"ARI")</f>
        <v>ARI</v>
      </c>
      <c r="C232" s="20">
        <f>IFERROR(__xludf.DUMMYFUNCTION("""COMPUTED_VALUE"""),155.3)</f>
        <v>155.3</v>
      </c>
      <c r="D232" s="21">
        <f>IFERROR(__xludf.DUMMYFUNCTION("""COMPUTED_VALUE"""),-0.7118700131434784)</f>
        <v>-0.7118700131</v>
      </c>
      <c r="E232" s="21">
        <f>IFERROR(__xludf.DUMMYFUNCTION("""COMPUTED_VALUE"""),-3.0700852960473712)</f>
        <v>-3.070085296</v>
      </c>
      <c r="F232" s="21">
        <f>IFERROR(__xludf.DUMMYFUNCTION("""COMPUTED_VALUE"""),-3.7819553091908498)</f>
        <v>-3.781955309</v>
      </c>
      <c r="G232" s="23">
        <f>IFERROR(__xludf.DUMMYFUNCTION("""COMPUTED_VALUE"""),-0.17376667128223602)</f>
        <v>-0.1737666713</v>
      </c>
      <c r="H232" s="4"/>
      <c r="I232" s="5" t="s">
        <v>1029</v>
      </c>
      <c r="J232" s="5" t="s">
        <v>639</v>
      </c>
      <c r="K232" s="5">
        <v>849.0</v>
      </c>
      <c r="L232" s="5">
        <v>-1.09308</v>
      </c>
      <c r="M232" s="5">
        <v>-2.55453</v>
      </c>
      <c r="N232" s="5">
        <v>-3.6476</v>
      </c>
      <c r="O232" s="5">
        <v>-0.42491</v>
      </c>
    </row>
    <row r="233">
      <c r="A233" s="12" t="str">
        <f>IFERROR(__xludf.DUMMYFUNCTION("""COMPUTED_VALUE"""),"Ioannis Kouzeloglou")</f>
        <v>Ioannis Kouzeloglou</v>
      </c>
      <c r="B233" s="13" t="str">
        <f>IFERROR(__xludf.DUMMYFUNCTION("""COMPUTED_VALUE"""),"LAV")</f>
        <v>LAV</v>
      </c>
      <c r="C233" s="14">
        <f>IFERROR(__xludf.DUMMYFUNCTION("""COMPUTED_VALUE"""),489.3)</f>
        <v>489.3</v>
      </c>
      <c r="D233" s="15">
        <f>IFERROR(__xludf.DUMMYFUNCTION("""COMPUTED_VALUE"""),-3.7924313441356805)</f>
        <v>-3.792431344</v>
      </c>
      <c r="E233" s="15">
        <f>IFERROR(__xludf.DUMMYFUNCTION("""COMPUTED_VALUE"""),-0.11844739094153711)</f>
        <v>-0.1184473909</v>
      </c>
      <c r="F233" s="15">
        <f>IFERROR(__xludf.DUMMYFUNCTION("""COMPUTED_VALUE"""),-3.9108787350772176)</f>
        <v>-3.910878735</v>
      </c>
      <c r="G233" s="17">
        <f>IFERROR(__xludf.DUMMYFUNCTION("""COMPUTED_VALUE"""),-0.28250118614758196)</f>
        <v>-0.2825011861</v>
      </c>
      <c r="H233" s="4"/>
      <c r="I233" s="5" t="s">
        <v>1032</v>
      </c>
      <c r="J233" s="5" t="s">
        <v>677</v>
      </c>
      <c r="K233" s="5">
        <v>104.0</v>
      </c>
      <c r="L233" s="5">
        <v>-1.78249</v>
      </c>
      <c r="M233" s="5">
        <v>-1.9184</v>
      </c>
      <c r="N233" s="5">
        <v>-3.70089</v>
      </c>
      <c r="O233" s="5">
        <v>-0.11054</v>
      </c>
    </row>
    <row r="234">
      <c r="A234" s="18" t="str">
        <f>IFERROR(__xludf.DUMMYFUNCTION("""COMPUTED_VALUE"""),"Andreas Glyniadakis")</f>
        <v>Andreas Glyniadakis</v>
      </c>
      <c r="B234" s="19" t="str">
        <f>IFERROR(__xludf.DUMMYFUNCTION("""COMPUTED_VALUE"""),"KYM")</f>
        <v>KYM</v>
      </c>
      <c r="C234" s="20">
        <f>IFERROR(__xludf.DUMMYFUNCTION("""COMPUTED_VALUE"""),174.8)</f>
        <v>174.8</v>
      </c>
      <c r="D234" s="21">
        <f>IFERROR(__xludf.DUMMYFUNCTION("""COMPUTED_VALUE"""),-2.6862118845578475)</f>
        <v>-2.686211885</v>
      </c>
      <c r="E234" s="21">
        <f>IFERROR(__xludf.DUMMYFUNCTION("""COMPUTED_VALUE"""),-1.262789378018836)</f>
        <v>-1.262789378</v>
      </c>
      <c r="F234" s="21">
        <f>IFERROR(__xludf.DUMMYFUNCTION("""COMPUTED_VALUE"""),-3.9490012625766835)</f>
        <v>-3.949001263</v>
      </c>
      <c r="G234" s="23">
        <f>IFERROR(__xludf.DUMMYFUNCTION("""COMPUTED_VALUE"""),-0.10306507111395899)</f>
        <v>-0.1030650711</v>
      </c>
      <c r="H234" s="4"/>
      <c r="I234" s="5" t="s">
        <v>1033</v>
      </c>
      <c r="J234" s="5" t="s">
        <v>677</v>
      </c>
      <c r="K234" s="5">
        <v>155.0</v>
      </c>
      <c r="L234" s="5">
        <v>-2.09243</v>
      </c>
      <c r="M234" s="5">
        <v>-1.68638</v>
      </c>
      <c r="N234" s="5">
        <v>-3.77881</v>
      </c>
      <c r="O234" s="5">
        <v>-0.17346</v>
      </c>
    </row>
    <row r="235">
      <c r="A235" s="12" t="str">
        <f>IFERROR(__xludf.DUMMYFUNCTION("""COMPUTED_VALUE"""),"Vasilis Christidis")</f>
        <v>Vasilis Christidis</v>
      </c>
      <c r="B235" s="13" t="str">
        <f>IFERROR(__xludf.DUMMYFUNCTION("""COMPUTED_VALUE"""),"ARI")</f>
        <v>ARI</v>
      </c>
      <c r="C235" s="14">
        <f>IFERROR(__xludf.DUMMYFUNCTION("""COMPUTED_VALUE"""),132.5)</f>
        <v>132.5</v>
      </c>
      <c r="D235" s="15">
        <f>IFERROR(__xludf.DUMMYFUNCTION("""COMPUTED_VALUE"""),-3.0156758608986465)</f>
        <v>-3.015675861</v>
      </c>
      <c r="E235" s="15">
        <f>IFERROR(__xludf.DUMMYFUNCTION("""COMPUTED_VALUE"""),-0.9545512694432334)</f>
        <v>-0.9545512694</v>
      </c>
      <c r="F235" s="15">
        <f>IFERROR(__xludf.DUMMYFUNCTION("""COMPUTED_VALUE"""),-3.97022713034188)</f>
        <v>-3.97022713</v>
      </c>
      <c r="G235" s="17">
        <f>IFERROR(__xludf.DUMMYFUNCTION("""COMPUTED_VALUE"""),-0.1639194134929848)</f>
        <v>-0.1639194135</v>
      </c>
      <c r="H235" s="4"/>
      <c r="I235" s="5" t="s">
        <v>1036</v>
      </c>
      <c r="J235" s="5" t="s">
        <v>631</v>
      </c>
      <c r="K235" s="5">
        <v>489.0</v>
      </c>
      <c r="L235" s="5">
        <v>-2.712</v>
      </c>
      <c r="M235" s="5">
        <v>-1.20045</v>
      </c>
      <c r="N235" s="5">
        <v>-3.91245</v>
      </c>
      <c r="O235" s="5">
        <v>-0.28273</v>
      </c>
    </row>
    <row r="236">
      <c r="A236" s="18" t="str">
        <f>IFERROR(__xludf.DUMMYFUNCTION("""COMPUTED_VALUE"""),"Stavros Toutziarakis")</f>
        <v>Stavros Toutziarakis</v>
      </c>
      <c r="B236" s="19" t="str">
        <f>IFERROR(__xludf.DUMMYFUNCTION("""COMPUTED_VALUE"""),"PROM")</f>
        <v>PROM</v>
      </c>
      <c r="C236" s="20">
        <f>IFERROR(__xludf.DUMMYFUNCTION("""COMPUTED_VALUE"""),471.8)</f>
        <v>471.8</v>
      </c>
      <c r="D236" s="21">
        <f>IFERROR(__xludf.DUMMYFUNCTION("""COMPUTED_VALUE"""),-3.8237609928902883)</f>
        <v>-3.823760993</v>
      </c>
      <c r="E236" s="21">
        <f>IFERROR(__xludf.DUMMYFUNCTION("""COMPUTED_VALUE"""),-0.18855406593215918)</f>
        <v>-0.1885540659</v>
      </c>
      <c r="F236" s="21">
        <f>IFERROR(__xludf.DUMMYFUNCTION("""COMPUTED_VALUE"""),-4.012315058822447)</f>
        <v>-4.012315059</v>
      </c>
      <c r="G236" s="23">
        <f>IFERROR(__xludf.DUMMYFUNCTION("""COMPUTED_VALUE"""),-0.28995323303387005)</f>
        <v>-0.289953233</v>
      </c>
      <c r="H236" s="4"/>
      <c r="I236" s="5" t="s">
        <v>1038</v>
      </c>
      <c r="J236" s="5" t="s">
        <v>642</v>
      </c>
      <c r="K236" s="5">
        <v>175.0</v>
      </c>
      <c r="L236" s="5">
        <v>-2.73561</v>
      </c>
      <c r="M236" s="5">
        <v>-1.21301</v>
      </c>
      <c r="N236" s="5">
        <v>-3.94862</v>
      </c>
      <c r="O236" s="5">
        <v>-0.10305</v>
      </c>
    </row>
    <row r="237">
      <c r="A237" s="12" t="str">
        <f>IFERROR(__xludf.DUMMYFUNCTION("""COMPUTED_VALUE"""),"Andreas Skoufis")</f>
        <v>Andreas Skoufis</v>
      </c>
      <c r="B237" s="13" t="str">
        <f>IFERROR(__xludf.DUMMYFUNCTION("""COMPUTED_VALUE"""),"PROM")</f>
        <v>PROM</v>
      </c>
      <c r="C237" s="14">
        <f>IFERROR(__xludf.DUMMYFUNCTION("""COMPUTED_VALUE"""),76.8)</f>
        <v>76.8</v>
      </c>
      <c r="D237" s="15">
        <f>IFERROR(__xludf.DUMMYFUNCTION("""COMPUTED_VALUE"""),-3.1118114890955666)</f>
        <v>-3.111811489</v>
      </c>
      <c r="E237" s="15">
        <f>IFERROR(__xludf.DUMMYFUNCTION("""COMPUTED_VALUE"""),-0.952931811940823)</f>
        <v>-0.9529318119</v>
      </c>
      <c r="F237" s="15">
        <f>IFERROR(__xludf.DUMMYFUNCTION("""COMPUTED_VALUE"""),-4.06474330103639)</f>
        <v>-4.064743301</v>
      </c>
      <c r="G237" s="17">
        <f>IFERROR(__xludf.DUMMYFUNCTION("""COMPUTED_VALUE"""),-0.04842853456670445)</f>
        <v>-0.04842853457</v>
      </c>
      <c r="H237" s="4"/>
      <c r="I237" s="5" t="s">
        <v>1041</v>
      </c>
      <c r="J237" s="5" t="s">
        <v>677</v>
      </c>
      <c r="K237" s="5">
        <v>133.0</v>
      </c>
      <c r="L237" s="5">
        <v>-4.19306</v>
      </c>
      <c r="M237" s="5">
        <v>0.22592</v>
      </c>
      <c r="N237" s="5">
        <v>-3.96714</v>
      </c>
      <c r="O237" s="5">
        <v>-0.16366</v>
      </c>
    </row>
    <row r="238">
      <c r="A238" s="18" t="str">
        <f>IFERROR(__xludf.DUMMYFUNCTION("""COMPUTED_VALUE"""),"D.J. Richardson")</f>
        <v>D.J. Richardson</v>
      </c>
      <c r="B238" s="19" t="str">
        <f>IFERROR(__xludf.DUMMYFUNCTION("""COMPUTED_VALUE"""),"ARI")</f>
        <v>ARI</v>
      </c>
      <c r="C238" s="20">
        <f>IFERROR(__xludf.DUMMYFUNCTION("""COMPUTED_VALUE"""),214.5)</f>
        <v>214.5</v>
      </c>
      <c r="D238" s="21">
        <f>IFERROR(__xludf.DUMMYFUNCTION("""COMPUTED_VALUE"""),-0.16068589229979788)</f>
        <v>-0.1606858923</v>
      </c>
      <c r="E238" s="21">
        <f>IFERROR(__xludf.DUMMYFUNCTION("""COMPUTED_VALUE"""),-3.9050515151420426)</f>
        <v>-3.905051515</v>
      </c>
      <c r="F238" s="21">
        <f>IFERROR(__xludf.DUMMYFUNCTION("""COMPUTED_VALUE"""),-4.065737407441841)</f>
        <v>-4.065737407</v>
      </c>
      <c r="G238" s="23">
        <f>IFERROR(__xludf.DUMMYFUNCTION("""COMPUTED_VALUE"""),-0.27822786851692316)</f>
        <v>-0.2782278685</v>
      </c>
      <c r="H238" s="4"/>
      <c r="I238" s="5" t="s">
        <v>1044</v>
      </c>
      <c r="J238" s="5" t="s">
        <v>677</v>
      </c>
      <c r="K238" s="5">
        <v>215.0</v>
      </c>
      <c r="L238" s="5">
        <v>-2.06459</v>
      </c>
      <c r="M238" s="5">
        <v>-1.9944</v>
      </c>
      <c r="N238" s="5">
        <v>-4.05899</v>
      </c>
      <c r="O238" s="5">
        <v>-0.27732</v>
      </c>
    </row>
    <row r="239">
      <c r="A239" s="12" t="str">
        <f>IFERROR(__xludf.DUMMYFUNCTION("""COMPUTED_VALUE"""),"Nikolaos Diplaros")</f>
        <v>Nikolaos Diplaros</v>
      </c>
      <c r="B239" s="13" t="str">
        <f>IFERROR(__xludf.DUMMYFUNCTION("""COMPUTED_VALUE"""),"PAI")</f>
        <v>PAI</v>
      </c>
      <c r="C239" s="14">
        <f>IFERROR(__xludf.DUMMYFUNCTION("""COMPUTED_VALUE"""),287.0)</f>
        <v>287</v>
      </c>
      <c r="D239" s="15">
        <f>IFERROR(__xludf.DUMMYFUNCTION("""COMPUTED_VALUE"""),-2.6307855016968102)</f>
        <v>-2.630785502</v>
      </c>
      <c r="E239" s="15">
        <f>IFERROR(__xludf.DUMMYFUNCTION("""COMPUTED_VALUE"""),-1.5938535656294817)</f>
        <v>-1.593853566</v>
      </c>
      <c r="F239" s="15">
        <f>IFERROR(__xludf.DUMMYFUNCTION("""COMPUTED_VALUE"""),-4.224639067326292)</f>
        <v>-4.224639067</v>
      </c>
      <c r="G239" s="17">
        <f>IFERROR(__xludf.DUMMYFUNCTION("""COMPUTED_VALUE"""),-0.19403649419803373)</f>
        <v>-0.1940364942</v>
      </c>
      <c r="H239" s="4"/>
      <c r="I239" s="5" t="s">
        <v>1045</v>
      </c>
      <c r="J239" s="5" t="s">
        <v>639</v>
      </c>
      <c r="K239" s="5">
        <v>287.0</v>
      </c>
      <c r="L239" s="5">
        <v>-3.80614</v>
      </c>
      <c r="M239" s="5">
        <v>-0.41962</v>
      </c>
      <c r="N239" s="5">
        <v>-4.22576</v>
      </c>
      <c r="O239" s="5">
        <v>-0.19413</v>
      </c>
    </row>
    <row r="240">
      <c r="A240" s="18" t="str">
        <f>IFERROR(__xludf.DUMMYFUNCTION("""COMPUTED_VALUE"""),"Reggie Keely")</f>
        <v>Reggie Keely</v>
      </c>
      <c r="B240" s="19" t="str">
        <f>IFERROR(__xludf.DUMMYFUNCTION("""COMPUTED_VALUE"""),"LAR")</f>
        <v>LAR</v>
      </c>
      <c r="C240" s="20">
        <f>IFERROR(__xludf.DUMMYFUNCTION("""COMPUTED_VALUE"""),253.1)</f>
        <v>253.1</v>
      </c>
      <c r="D240" s="21">
        <f>IFERROR(__xludf.DUMMYFUNCTION("""COMPUTED_VALUE"""),-2.8625077703954136)</f>
        <v>-2.86250777</v>
      </c>
      <c r="E240" s="21">
        <f>IFERROR(__xludf.DUMMYFUNCTION("""COMPUTED_VALUE"""),-1.4310117579377368)</f>
        <v>-1.431011758</v>
      </c>
      <c r="F240" s="21">
        <f>IFERROR(__xludf.DUMMYFUNCTION("""COMPUTED_VALUE"""),-4.29351952833315)</f>
        <v>-4.293519528</v>
      </c>
      <c r="G240" s="23">
        <f>IFERROR(__xludf.DUMMYFUNCTION("""COMPUTED_VALUE"""),-0.17720350745539515)</f>
        <v>-0.1772035075</v>
      </c>
      <c r="H240" s="4"/>
      <c r="I240" s="5" t="s">
        <v>1047</v>
      </c>
      <c r="J240" s="5" t="s">
        <v>686</v>
      </c>
      <c r="K240" s="5">
        <v>253.0</v>
      </c>
      <c r="L240" s="5">
        <v>-4.06083</v>
      </c>
      <c r="M240" s="5">
        <v>-0.23371</v>
      </c>
      <c r="N240" s="5">
        <v>-4.29454</v>
      </c>
      <c r="O240" s="5">
        <v>-0.17728</v>
      </c>
    </row>
    <row r="241">
      <c r="A241" s="12" t="str">
        <f>IFERROR(__xludf.DUMMYFUNCTION("""COMPUTED_VALUE"""),"Vasilis Mouratos")</f>
        <v>Vasilis Mouratos</v>
      </c>
      <c r="B241" s="13" t="str">
        <f>IFERROR(__xludf.DUMMYFUNCTION("""COMPUTED_VALUE"""),"LAR")</f>
        <v>LAR</v>
      </c>
      <c r="C241" s="14">
        <f>IFERROR(__xludf.DUMMYFUNCTION("""COMPUTED_VALUE"""),561.9)</f>
        <v>561.9</v>
      </c>
      <c r="D241" s="15">
        <f>IFERROR(__xludf.DUMMYFUNCTION("""COMPUTED_VALUE"""),-1.6558635408458018)</f>
        <v>-1.655863541</v>
      </c>
      <c r="E241" s="15">
        <f>IFERROR(__xludf.DUMMYFUNCTION("""COMPUTED_VALUE"""),-2.6448503276738657)</f>
        <v>-2.644850328</v>
      </c>
      <c r="F241" s="15">
        <f>IFERROR(__xludf.DUMMYFUNCTION("""COMPUTED_VALUE"""),-4.300713868519668)</f>
        <v>-4.300713869</v>
      </c>
      <c r="G241" s="17">
        <f>IFERROR(__xludf.DUMMYFUNCTION("""COMPUTED_VALUE"""),-0.3946384246462821)</f>
        <v>-0.3946384246</v>
      </c>
      <c r="H241" s="4"/>
      <c r="I241" s="5" t="s">
        <v>1049</v>
      </c>
      <c r="J241" s="5" t="s">
        <v>646</v>
      </c>
      <c r="K241" s="5">
        <v>391.0</v>
      </c>
      <c r="L241" s="5">
        <v>-4.72703</v>
      </c>
      <c r="M241" s="5">
        <v>0.42698</v>
      </c>
      <c r="N241" s="5">
        <v>-4.30006</v>
      </c>
      <c r="O241" s="5">
        <v>-0.2782</v>
      </c>
    </row>
    <row r="242">
      <c r="A242" s="18" t="str">
        <f>IFERROR(__xludf.DUMMYFUNCTION("""COMPUTED_VALUE"""),"Michail Tsairelis")</f>
        <v>Michail Tsairelis</v>
      </c>
      <c r="B242" s="19" t="str">
        <f>IFERROR(__xludf.DUMMYFUNCTION("""COMPUTED_VALUE"""),"ARI")</f>
        <v>ARI</v>
      </c>
      <c r="C242" s="20">
        <f>IFERROR(__xludf.DUMMYFUNCTION("""COMPUTED_VALUE"""),610.0)</f>
        <v>610</v>
      </c>
      <c r="D242" s="21">
        <f>IFERROR(__xludf.DUMMYFUNCTION("""COMPUTED_VALUE"""),-0.10031078745406374)</f>
        <v>-0.1003107875</v>
      </c>
      <c r="E242" s="21">
        <f>IFERROR(__xludf.DUMMYFUNCTION("""COMPUTED_VALUE"""),-4.270821668659766)</f>
        <v>-4.270821669</v>
      </c>
      <c r="F242" s="21">
        <f>IFERROR(__xludf.DUMMYFUNCTION("""COMPUTED_VALUE"""),-4.3711324561138305)</f>
        <v>-4.371132456</v>
      </c>
      <c r="G242" s="23">
        <f>IFERROR(__xludf.DUMMYFUNCTION("""COMPUTED_VALUE"""),-0.9082049577926641)</f>
        <v>-0.9082049578</v>
      </c>
      <c r="H242" s="4"/>
      <c r="I242" s="5" t="s">
        <v>1051</v>
      </c>
      <c r="J242" s="5" t="s">
        <v>686</v>
      </c>
      <c r="K242" s="5">
        <v>562.0</v>
      </c>
      <c r="L242" s="5">
        <v>-3.07403</v>
      </c>
      <c r="M242" s="5">
        <v>-1.22608</v>
      </c>
      <c r="N242" s="5">
        <v>-4.30011</v>
      </c>
      <c r="O242" s="5">
        <v>-0.39453</v>
      </c>
    </row>
    <row r="243">
      <c r="A243" s="12" t="str">
        <f>IFERROR(__xludf.DUMMYFUNCTION("""COMPUTED_VALUE"""),"Ike Nwamu")</f>
        <v>Ike Nwamu</v>
      </c>
      <c r="B243" s="13" t="str">
        <f>IFERROR(__xludf.DUMMYFUNCTION("""COMPUTED_VALUE"""),"LAV")</f>
        <v>LAV</v>
      </c>
      <c r="C243" s="14">
        <f>IFERROR(__xludf.DUMMYFUNCTION("""COMPUTED_VALUE"""),124.3)</f>
        <v>124.3</v>
      </c>
      <c r="D243" s="15">
        <f>IFERROR(__xludf.DUMMYFUNCTION("""COMPUTED_VALUE"""),-3.066096552967633)</f>
        <v>-3.066096553</v>
      </c>
      <c r="E243" s="15">
        <f>IFERROR(__xludf.DUMMYFUNCTION("""COMPUTED_VALUE"""),-1.365008238687579)</f>
        <v>-1.365008239</v>
      </c>
      <c r="F243" s="15">
        <f>IFERROR(__xludf.DUMMYFUNCTION("""COMPUTED_VALUE"""),-4.431104791655212)</f>
        <v>-4.431104792</v>
      </c>
      <c r="G243" s="17">
        <f>IFERROR(__xludf.DUMMYFUNCTION("""COMPUTED_VALUE"""),-0.09130335586392707)</f>
        <v>-0.09130335586</v>
      </c>
      <c r="H243" s="4"/>
      <c r="I243" s="5" t="s">
        <v>1053</v>
      </c>
      <c r="J243" s="5" t="s">
        <v>677</v>
      </c>
      <c r="K243" s="5">
        <v>610.0</v>
      </c>
      <c r="L243" s="5">
        <v>-2.76452</v>
      </c>
      <c r="M243" s="5">
        <v>-1.59833</v>
      </c>
      <c r="N243" s="5">
        <v>-4.36285</v>
      </c>
      <c r="O243" s="5">
        <v>-0.90503</v>
      </c>
    </row>
    <row r="244">
      <c r="A244" s="18" t="str">
        <f>IFERROR(__xludf.DUMMYFUNCTION("""COMPUTED_VALUE"""),"Giannis Georgalis")</f>
        <v>Giannis Georgalis</v>
      </c>
      <c r="B244" s="19" t="str">
        <f>IFERROR(__xludf.DUMMYFUNCTION("""COMPUTED_VALUE"""),"KOL")</f>
        <v>KOL</v>
      </c>
      <c r="C244" s="20">
        <f>IFERROR(__xludf.DUMMYFUNCTION("""COMPUTED_VALUE"""),391.1)</f>
        <v>391.1</v>
      </c>
      <c r="D244" s="21">
        <f>IFERROR(__xludf.DUMMYFUNCTION("""COMPUTED_VALUE"""),-4.217730203045198)</f>
        <v>-4.217730203</v>
      </c>
      <c r="E244" s="21">
        <f>IFERROR(__xludf.DUMMYFUNCTION("""COMPUTED_VALUE"""),-0.39040202492059706)</f>
        <v>-0.3904020249</v>
      </c>
      <c r="F244" s="21">
        <f>IFERROR(__xludf.DUMMYFUNCTION("""COMPUTED_VALUE"""),-4.608132227965795)</f>
        <v>-4.608132228</v>
      </c>
      <c r="G244" s="23">
        <f>IFERROR(__xludf.DUMMYFUNCTION("""COMPUTED_VALUE"""),-0.31545788729375746)</f>
        <v>-0.3154578873</v>
      </c>
      <c r="H244" s="4"/>
      <c r="I244" s="5" t="s">
        <v>1055</v>
      </c>
      <c r="J244" s="5" t="s">
        <v>631</v>
      </c>
      <c r="K244" s="5">
        <v>124.0</v>
      </c>
      <c r="L244" s="5">
        <v>-2.61715</v>
      </c>
      <c r="M244" s="5">
        <v>-1.81355</v>
      </c>
      <c r="N244" s="5">
        <v>-4.43069</v>
      </c>
      <c r="O244" s="5">
        <v>-0.09129</v>
      </c>
    </row>
    <row r="245">
      <c r="A245" s="12" t="str">
        <f>IFERROR(__xludf.DUMMYFUNCTION("""COMPUTED_VALUE"""),"Gary Talton")</f>
        <v>Gary Talton</v>
      </c>
      <c r="B245" s="13" t="str">
        <f>IFERROR(__xludf.DUMMYFUNCTION("""COMPUTED_VALUE"""),"ARI")</f>
        <v>ARI</v>
      </c>
      <c r="C245" s="14">
        <f>IFERROR(__xludf.DUMMYFUNCTION("""COMPUTED_VALUE"""),224.1)</f>
        <v>224.1</v>
      </c>
      <c r="D245" s="15">
        <f>IFERROR(__xludf.DUMMYFUNCTION("""COMPUTED_VALUE"""),-1.1685180024816952)</f>
        <v>-1.168518002</v>
      </c>
      <c r="E245" s="15">
        <f>IFERROR(__xludf.DUMMYFUNCTION("""COMPUTED_VALUE"""),-3.5873734181559396)</f>
        <v>-3.587373418</v>
      </c>
      <c r="F245" s="15">
        <f>IFERROR(__xludf.DUMMYFUNCTION("""COMPUTED_VALUE"""),-4.755891420637635)</f>
        <v>-4.755891421</v>
      </c>
      <c r="G245" s="17">
        <f>IFERROR(__xludf.DUMMYFUNCTION("""COMPUTED_VALUE"""),-0.3877949752008228)</f>
        <v>-0.3877949752</v>
      </c>
      <c r="H245" s="4"/>
      <c r="I245" s="5" t="s">
        <v>1057</v>
      </c>
      <c r="J245" s="5" t="s">
        <v>677</v>
      </c>
      <c r="K245" s="5">
        <v>224.0</v>
      </c>
      <c r="L245" s="5">
        <v>-3.15857</v>
      </c>
      <c r="M245" s="5">
        <v>-1.59104</v>
      </c>
      <c r="N245" s="5">
        <v>-4.74962</v>
      </c>
      <c r="O245" s="5">
        <v>-0.38691</v>
      </c>
    </row>
    <row r="246">
      <c r="A246" s="18" t="str">
        <f>IFERROR(__xludf.DUMMYFUNCTION("""COMPUTED_VALUE"""),"Gary Bell, Jr.")</f>
        <v>Gary Bell, Jr.</v>
      </c>
      <c r="B246" s="19" t="str">
        <f>IFERROR(__xludf.DUMMYFUNCTION("""COMPUTED_VALUE"""),"ARI")</f>
        <v>ARI</v>
      </c>
      <c r="C246" s="20">
        <f>IFERROR(__xludf.DUMMYFUNCTION("""COMPUTED_VALUE"""),554.0)</f>
        <v>554</v>
      </c>
      <c r="D246" s="21">
        <f>IFERROR(__xludf.DUMMYFUNCTION("""COMPUTED_VALUE"""),-0.5218789272081096)</f>
        <v>-0.5218789272</v>
      </c>
      <c r="E246" s="21">
        <f>IFERROR(__xludf.DUMMYFUNCTION("""COMPUTED_VALUE"""),-4.37575701582896)</f>
        <v>-4.375757016</v>
      </c>
      <c r="F246" s="21">
        <f>IFERROR(__xludf.DUMMYFUNCTION("""COMPUTED_VALUE"""),-4.897635943037069)</f>
        <v>-4.897635943</v>
      </c>
      <c r="G246" s="23">
        <f>IFERROR(__xludf.DUMMYFUNCTION("""COMPUTED_VALUE"""),-1.0079797398058243)</f>
        <v>-1.00797974</v>
      </c>
      <c r="H246" s="4"/>
      <c r="I246" s="5" t="s">
        <v>1060</v>
      </c>
      <c r="J246" s="5" t="s">
        <v>677</v>
      </c>
      <c r="K246" s="5">
        <v>554.0</v>
      </c>
      <c r="L246" s="5">
        <v>-3.18576</v>
      </c>
      <c r="M246" s="5">
        <v>-1.70333</v>
      </c>
      <c r="N246" s="5">
        <v>-4.88909</v>
      </c>
      <c r="O246" s="5">
        <v>-1.00501</v>
      </c>
    </row>
    <row r="247">
      <c r="A247" s="12" t="str">
        <f>IFERROR(__xludf.DUMMYFUNCTION("""COMPUTED_VALUE"""),"Travis Bader")</f>
        <v>Travis Bader</v>
      </c>
      <c r="B247" s="13" t="str">
        <f>IFERROR(__xludf.DUMMYFUNCTION("""COMPUTED_VALUE"""),"LAR")</f>
        <v>LAR</v>
      </c>
      <c r="C247" s="14">
        <f>IFERROR(__xludf.DUMMYFUNCTION("""COMPUTED_VALUE"""),323.6)</f>
        <v>323.6</v>
      </c>
      <c r="D247" s="15">
        <f>IFERROR(__xludf.DUMMYFUNCTION("""COMPUTED_VALUE"""),0.3842139421626741)</f>
        <v>0.3842139422</v>
      </c>
      <c r="E247" s="15">
        <f>IFERROR(__xludf.DUMMYFUNCTION("""COMPUTED_VALUE"""),-5.350083233178711)</f>
        <v>-5.350083233</v>
      </c>
      <c r="F247" s="15">
        <f>IFERROR(__xludf.DUMMYFUNCTION("""COMPUTED_VALUE"""),-4.965869291016037)</f>
        <v>-4.965869291</v>
      </c>
      <c r="G247" s="17">
        <f>IFERROR(__xludf.DUMMYFUNCTION("""COMPUTED_VALUE"""),-0.29298018341868853)</f>
        <v>-0.2929801834</v>
      </c>
      <c r="H247" s="4"/>
      <c r="I247" s="5" t="s">
        <v>1061</v>
      </c>
      <c r="J247" s="5" t="s">
        <v>686</v>
      </c>
      <c r="K247" s="5">
        <v>324.0</v>
      </c>
      <c r="L247" s="5">
        <v>-1.03506</v>
      </c>
      <c r="M247" s="5">
        <v>-3.93112</v>
      </c>
      <c r="N247" s="5">
        <v>-4.96617</v>
      </c>
      <c r="O247" s="5">
        <v>-0.29301</v>
      </c>
    </row>
    <row r="248">
      <c r="A248" s="18" t="str">
        <f>IFERROR(__xludf.DUMMYFUNCTION("""COMPUTED_VALUE"""),"Tyrone Brazelton")</f>
        <v>Tyrone Brazelton</v>
      </c>
      <c r="B248" s="19" t="str">
        <f>IFERROR(__xludf.DUMMYFUNCTION("""COMPUTED_VALUE"""),"PAI")</f>
        <v>PAI</v>
      </c>
      <c r="C248" s="20">
        <f>IFERROR(__xludf.DUMMYFUNCTION("""COMPUTED_VALUE"""),293.1)</f>
        <v>293.1</v>
      </c>
      <c r="D248" s="21">
        <f>IFERROR(__xludf.DUMMYFUNCTION("""COMPUTED_VALUE"""),-1.2661192307361755)</f>
        <v>-1.266119231</v>
      </c>
      <c r="E248" s="21">
        <f>IFERROR(__xludf.DUMMYFUNCTION("""COMPUTED_VALUE"""),-3.9025460147054796)</f>
        <v>-3.902546015</v>
      </c>
      <c r="F248" s="21">
        <f>IFERROR(__xludf.DUMMYFUNCTION("""COMPUTED_VALUE"""),-5.168665245441655)</f>
        <v>-5.168665245</v>
      </c>
      <c r="G248" s="23">
        <f>IFERROR(__xludf.DUMMYFUNCTION("""COMPUTED_VALUE"""),-0.2822501242447033)</f>
        <v>-0.2822501242</v>
      </c>
      <c r="H248" s="4"/>
      <c r="I248" s="5" t="s">
        <v>1064</v>
      </c>
      <c r="J248" s="5" t="s">
        <v>639</v>
      </c>
      <c r="K248" s="5">
        <v>293.0</v>
      </c>
      <c r="L248" s="5">
        <v>-2.46158</v>
      </c>
      <c r="M248" s="5">
        <v>-2.70422</v>
      </c>
      <c r="N248" s="5">
        <v>-5.1658</v>
      </c>
      <c r="O248" s="5">
        <v>-0.28199</v>
      </c>
    </row>
    <row r="249">
      <c r="A249" s="12" t="str">
        <f>IFERROR(__xludf.DUMMYFUNCTION("""COMPUTED_VALUE"""),"Slaven Cupkovic")</f>
        <v>Slaven Cupkovic</v>
      </c>
      <c r="B249" s="13" t="str">
        <f>IFERROR(__xludf.DUMMYFUNCTION("""COMPUTED_VALUE"""),"PAI")</f>
        <v>PAI</v>
      </c>
      <c r="C249" s="14">
        <f>IFERROR(__xludf.DUMMYFUNCTION("""COMPUTED_VALUE"""),516.1)</f>
        <v>516.1</v>
      </c>
      <c r="D249" s="15">
        <f>IFERROR(__xludf.DUMMYFUNCTION("""COMPUTED_VALUE"""),-1.6815911266909052)</f>
        <v>-1.681591127</v>
      </c>
      <c r="E249" s="15">
        <f>IFERROR(__xludf.DUMMYFUNCTION("""COMPUTED_VALUE"""),-3.752119303555607)</f>
        <v>-3.752119304</v>
      </c>
      <c r="F249" s="15">
        <f>IFERROR(__xludf.DUMMYFUNCTION("""COMPUTED_VALUE"""),-5.433710430246512)</f>
        <v>-5.43371043</v>
      </c>
      <c r="G249" s="17">
        <f>IFERROR(__xludf.DUMMYFUNCTION("""COMPUTED_VALUE"""),-0.538566690706238)</f>
        <v>-0.5385666907</v>
      </c>
      <c r="H249" s="4"/>
      <c r="I249" s="5" t="s">
        <v>1067</v>
      </c>
      <c r="J249" s="5" t="s">
        <v>639</v>
      </c>
      <c r="K249" s="5">
        <v>516.0</v>
      </c>
      <c r="L249" s="5">
        <v>-2.90839</v>
      </c>
      <c r="M249" s="5">
        <v>-2.52502</v>
      </c>
      <c r="N249" s="5">
        <v>-5.4334</v>
      </c>
      <c r="O249" s="5">
        <v>-0.53852</v>
      </c>
    </row>
    <row r="250">
      <c r="A250" s="18" t="str">
        <f>IFERROR(__xludf.DUMMYFUNCTION("""COMPUTED_VALUE"""),"Iakovos Milentigievits Alifieris")</f>
        <v>Iakovos Milentigievits Alifieris</v>
      </c>
      <c r="B250" s="19" t="str">
        <f>IFERROR(__xludf.DUMMYFUNCTION("""COMPUTED_VALUE"""),"AMA")</f>
        <v>AMA</v>
      </c>
      <c r="C250" s="20">
        <f>IFERROR(__xludf.DUMMYFUNCTION("""COMPUTED_VALUE"""),204.2)</f>
        <v>204.2</v>
      </c>
      <c r="D250" s="21">
        <f>IFERROR(__xludf.DUMMYFUNCTION("""COMPUTED_VALUE"""),-2.715539895465822)</f>
        <v>-2.715539895</v>
      </c>
      <c r="E250" s="21">
        <f>IFERROR(__xludf.DUMMYFUNCTION("""COMPUTED_VALUE"""),-2.8184248791015056)</f>
        <v>-2.818424879</v>
      </c>
      <c r="F250" s="21">
        <f>IFERROR(__xludf.DUMMYFUNCTION("""COMPUTED_VALUE"""),-5.533964774567328)</f>
        <v>-5.533964775</v>
      </c>
      <c r="G250" s="23">
        <f>IFERROR(__xludf.DUMMYFUNCTION("""COMPUTED_VALUE"""),-0.21699792308127092)</f>
        <v>-0.2169979231</v>
      </c>
      <c r="H250" s="4"/>
      <c r="I250" s="5" t="s">
        <v>1069</v>
      </c>
      <c r="J250" s="5" t="s">
        <v>704</v>
      </c>
      <c r="K250" s="5">
        <v>204.0</v>
      </c>
      <c r="L250" s="5">
        <v>-4.40135</v>
      </c>
      <c r="M250" s="5">
        <v>-1.1348</v>
      </c>
      <c r="N250" s="5">
        <v>-5.53616</v>
      </c>
      <c r="O250" s="5">
        <v>-0.21713</v>
      </c>
    </row>
    <row r="251">
      <c r="A251" s="12" t="str">
        <f>IFERROR(__xludf.DUMMYFUNCTION("""COMPUTED_VALUE"""),"ShawnDre' Jones")</f>
        <v>ShawnDre' Jones</v>
      </c>
      <c r="B251" s="13" t="str">
        <f>IFERROR(__xludf.DUMMYFUNCTION("""COMPUTED_VALUE"""),"ARI")</f>
        <v>ARI</v>
      </c>
      <c r="C251" s="14">
        <f>IFERROR(__xludf.DUMMYFUNCTION("""COMPUTED_VALUE"""),434.5)</f>
        <v>434.5</v>
      </c>
      <c r="D251" s="15">
        <f>IFERROR(__xludf.DUMMYFUNCTION("""COMPUTED_VALUE"""),0.9881077808324455)</f>
        <v>0.9881077808</v>
      </c>
      <c r="E251" s="15">
        <f>IFERROR(__xludf.DUMMYFUNCTION("""COMPUTED_VALUE"""),-6.7976158967982006)</f>
        <v>-6.797615897</v>
      </c>
      <c r="F251" s="15">
        <f>IFERROR(__xludf.DUMMYFUNCTION("""COMPUTED_VALUE"""),-5.809508115965755)</f>
        <v>-5.809508116</v>
      </c>
      <c r="G251" s="17">
        <f>IFERROR(__xludf.DUMMYFUNCTION("""COMPUTED_VALUE"""),-1.039338229577011)</f>
        <v>-1.03933823</v>
      </c>
      <c r="H251" s="4"/>
      <c r="I251" s="5" t="s">
        <v>1071</v>
      </c>
      <c r="J251" s="5" t="s">
        <v>677</v>
      </c>
      <c r="K251" s="5">
        <v>435.0</v>
      </c>
      <c r="L251" s="5">
        <v>-1.67323</v>
      </c>
      <c r="M251" s="5">
        <v>-4.12564</v>
      </c>
      <c r="N251" s="5">
        <v>-5.79887</v>
      </c>
      <c r="O251" s="5">
        <v>-1.03644</v>
      </c>
    </row>
    <row r="252">
      <c r="A252" s="18" t="str">
        <f>IFERROR(__xludf.DUMMYFUNCTION("""COMPUTED_VALUE"""),"Bryce Douvier")</f>
        <v>Bryce Douvier</v>
      </c>
      <c r="B252" s="19" t="str">
        <f>IFERROR(__xludf.DUMMYFUNCTION("""COMPUTED_VALUE"""),"ARI")</f>
        <v>ARI</v>
      </c>
      <c r="C252" s="20">
        <f>IFERROR(__xludf.DUMMYFUNCTION("""COMPUTED_VALUE"""),183.7)</f>
        <v>183.7</v>
      </c>
      <c r="D252" s="21">
        <f>IFERROR(__xludf.DUMMYFUNCTION("""COMPUTED_VALUE"""),-2.5783523498989536)</f>
        <v>-2.57835235</v>
      </c>
      <c r="E252" s="21">
        <f>IFERROR(__xludf.DUMMYFUNCTION("""COMPUTED_VALUE"""),-3.388087495153282)</f>
        <v>-3.388087495</v>
      </c>
      <c r="F252" s="21">
        <f>IFERROR(__xludf.DUMMYFUNCTION("""COMPUTED_VALUE"""),-5.966439845052236)</f>
        <v>-5.966439845</v>
      </c>
      <c r="G252" s="23">
        <f>IFERROR(__xludf.DUMMYFUNCTION("""COMPUTED_VALUE"""),-0.45751806483420826)</f>
        <v>-0.4575180648</v>
      </c>
      <c r="H252" s="4"/>
      <c r="I252" s="5" t="s">
        <v>1074</v>
      </c>
      <c r="J252" s="5" t="s">
        <v>677</v>
      </c>
      <c r="K252" s="5">
        <v>184.0</v>
      </c>
      <c r="L252" s="5">
        <v>-4.2088</v>
      </c>
      <c r="M252" s="5">
        <v>-1.7518</v>
      </c>
      <c r="N252" s="5">
        <v>-5.9606</v>
      </c>
      <c r="O252" s="5">
        <v>-0.45684</v>
      </c>
    </row>
    <row r="253">
      <c r="A253" s="12" t="str">
        <f>IFERROR(__xludf.DUMMYFUNCTION("""COMPUTED_VALUE"""),"Phil Kalogiannidis")</f>
        <v>Phil Kalogiannidis</v>
      </c>
      <c r="B253" s="13" t="str">
        <f>IFERROR(__xludf.DUMMYFUNCTION("""COMPUTED_VALUE"""),"ARI")</f>
        <v>ARI</v>
      </c>
      <c r="C253" s="14">
        <f>IFERROR(__xludf.DUMMYFUNCTION("""COMPUTED_VALUE"""),279.9)</f>
        <v>279.9</v>
      </c>
      <c r="D253" s="15">
        <f>IFERROR(__xludf.DUMMYFUNCTION("""COMPUTED_VALUE"""),-3.5638076440244957)</f>
        <v>-3.563807644</v>
      </c>
      <c r="E253" s="15">
        <f>IFERROR(__xludf.DUMMYFUNCTION("""COMPUTED_VALUE"""),-2.561456072702887)</f>
        <v>-2.561456073</v>
      </c>
      <c r="F253" s="15">
        <f>IFERROR(__xludf.DUMMYFUNCTION("""COMPUTED_VALUE"""),-6.125263716727383)</f>
        <v>-6.125263717</v>
      </c>
      <c r="G253" s="17">
        <f>IFERROR(__xludf.DUMMYFUNCTION("""COMPUTED_VALUE"""),-0.7250247523098523)</f>
        <v>-0.7250247523</v>
      </c>
      <c r="H253" s="4"/>
      <c r="I253" s="5" t="s">
        <v>1076</v>
      </c>
      <c r="J253" s="5" t="s">
        <v>677</v>
      </c>
      <c r="K253" s="5">
        <v>280.0</v>
      </c>
      <c r="L253" s="5">
        <v>-6.05262</v>
      </c>
      <c r="M253" s="5">
        <v>-0.06747</v>
      </c>
      <c r="N253" s="5">
        <v>-6.1201</v>
      </c>
      <c r="O253" s="5">
        <v>-0.72412</v>
      </c>
    </row>
    <row r="254">
      <c r="A254" s="18" t="str">
        <f>IFERROR(__xludf.DUMMYFUNCTION("""COMPUTED_VALUE"""),"Thomas Kottas")</f>
        <v>Thomas Kottas</v>
      </c>
      <c r="B254" s="19" t="str">
        <f>IFERROR(__xludf.DUMMYFUNCTION("""COMPUTED_VALUE"""),"RETH")</f>
        <v>RETH</v>
      </c>
      <c r="C254" s="20">
        <f>IFERROR(__xludf.DUMMYFUNCTION("""COMPUTED_VALUE"""),315.0)</f>
        <v>315</v>
      </c>
      <c r="D254" s="21">
        <f>IFERROR(__xludf.DUMMYFUNCTION("""COMPUTED_VALUE"""),-6.614797053153196)</f>
        <v>-6.614797053</v>
      </c>
      <c r="E254" s="21">
        <f>IFERROR(__xludf.DUMMYFUNCTION("""COMPUTED_VALUE"""),0.43468526380567063)</f>
        <v>0.4346852638</v>
      </c>
      <c r="F254" s="21">
        <f>IFERROR(__xludf.DUMMYFUNCTION("""COMPUTED_VALUE"""),-6.180111789347525)</f>
        <v>-6.180111789</v>
      </c>
      <c r="G254" s="23">
        <f>IFERROR(__xludf.DUMMYFUNCTION("""COMPUTED_VALUE"""),-0.396412276115025)</f>
        <v>-0.3964122761</v>
      </c>
      <c r="H254" s="4"/>
      <c r="I254" s="5" t="s">
        <v>1077</v>
      </c>
      <c r="J254" s="5" t="s">
        <v>671</v>
      </c>
      <c r="K254" s="5">
        <v>315.0</v>
      </c>
      <c r="L254" s="5">
        <v>-6.40141</v>
      </c>
      <c r="M254" s="5">
        <v>0.21853</v>
      </c>
      <c r="N254" s="5">
        <v>-6.18288</v>
      </c>
      <c r="O254" s="5">
        <v>-0.39667</v>
      </c>
    </row>
    <row r="255">
      <c r="A255" s="12" t="str">
        <f>IFERROR(__xludf.DUMMYFUNCTION("""COMPUTED_VALUE"""),"Dimitrios Verginis")</f>
        <v>Dimitrios Verginis</v>
      </c>
      <c r="B255" s="13" t="str">
        <f>IFERROR(__xludf.DUMMYFUNCTION("""COMPUTED_VALUE"""),"LAV")</f>
        <v>LAV</v>
      </c>
      <c r="C255" s="14">
        <f>IFERROR(__xludf.DUMMYFUNCTION("""COMPUTED_VALUE"""),376.9)</f>
        <v>376.9</v>
      </c>
      <c r="D255" s="15">
        <f>IFERROR(__xludf.DUMMYFUNCTION("""COMPUTED_VALUE"""),-5.083548049222166)</f>
        <v>-5.083548049</v>
      </c>
      <c r="E255" s="15">
        <f>IFERROR(__xludf.DUMMYFUNCTION("""COMPUTED_VALUE"""),-1.133966432823983)</f>
        <v>-1.133966433</v>
      </c>
      <c r="F255" s="15">
        <f>IFERROR(__xludf.DUMMYFUNCTION("""COMPUTED_VALUE"""),-6.217514482046149)</f>
        <v>-6.217514482</v>
      </c>
      <c r="G255" s="17">
        <f>IFERROR(__xludf.DUMMYFUNCTION("""COMPUTED_VALUE"""),-0.48028016636757526)</f>
        <v>-0.4802801664</v>
      </c>
      <c r="H255" s="4"/>
      <c r="I255" s="5" t="s">
        <v>1080</v>
      </c>
      <c r="J255" s="5" t="s">
        <v>631</v>
      </c>
      <c r="K255" s="5">
        <v>377.0</v>
      </c>
      <c r="L255" s="5">
        <v>-4.00131</v>
      </c>
      <c r="M255" s="5">
        <v>-2.21629</v>
      </c>
      <c r="N255" s="5">
        <v>-6.2176</v>
      </c>
      <c r="O255" s="5">
        <v>-0.48029</v>
      </c>
    </row>
    <row r="256">
      <c r="A256" s="18" t="str">
        <f>IFERROR(__xludf.DUMMYFUNCTION("""COMPUTED_VALUE"""),"Georgios Diamantakos")</f>
        <v>Georgios Diamantakos</v>
      </c>
      <c r="B256" s="19" t="str">
        <f>IFERROR(__xludf.DUMMYFUNCTION("""COMPUTED_VALUE"""),"LAR")</f>
        <v>LAR</v>
      </c>
      <c r="C256" s="20">
        <f>IFERROR(__xludf.DUMMYFUNCTION("""COMPUTED_VALUE"""),219.6)</f>
        <v>219.6</v>
      </c>
      <c r="D256" s="21">
        <f>IFERROR(__xludf.DUMMYFUNCTION("""COMPUTED_VALUE"""),-2.7157066650283084)</f>
        <v>-2.715706665</v>
      </c>
      <c r="E256" s="21">
        <f>IFERROR(__xludf.DUMMYFUNCTION("""COMPUTED_VALUE"""),-3.870029767058918)</f>
        <v>-3.870029767</v>
      </c>
      <c r="F256" s="21">
        <f>IFERROR(__xludf.DUMMYFUNCTION("""COMPUTED_VALUE"""),-6.585736432087226)</f>
        <v>-6.585736432</v>
      </c>
      <c r="G256" s="23">
        <f>IFERROR(__xludf.DUMMYFUNCTION("""COMPUTED_VALUE"""),-0.307410821763519)</f>
        <v>-0.3074108218</v>
      </c>
      <c r="H256" s="4"/>
      <c r="I256" s="5" t="s">
        <v>1083</v>
      </c>
      <c r="J256" s="5" t="s">
        <v>686</v>
      </c>
      <c r="K256" s="5">
        <v>220.0</v>
      </c>
      <c r="L256" s="5">
        <v>-3.75359</v>
      </c>
      <c r="M256" s="5">
        <v>-2.83153</v>
      </c>
      <c r="N256" s="5">
        <v>-6.58512</v>
      </c>
      <c r="O256" s="5">
        <v>-0.30737</v>
      </c>
    </row>
    <row r="257">
      <c r="A257" s="12" t="str">
        <f>IFERROR(__xludf.DUMMYFUNCTION("""COMPUTED_VALUE"""),"Kevin Langford")</f>
        <v>Kevin Langford</v>
      </c>
      <c r="B257" s="13" t="str">
        <f>IFERROR(__xludf.DUMMYFUNCTION("""COMPUTED_VALUE"""),"AMA")</f>
        <v>AMA</v>
      </c>
      <c r="C257" s="14">
        <f>IFERROR(__xludf.DUMMYFUNCTION("""COMPUTED_VALUE"""),263.6)</f>
        <v>263.6</v>
      </c>
      <c r="D257" s="15">
        <f>IFERROR(__xludf.DUMMYFUNCTION("""COMPUTED_VALUE"""),-3.027543144481918)</f>
        <v>-3.027543144</v>
      </c>
      <c r="E257" s="15">
        <f>IFERROR(__xludf.DUMMYFUNCTION("""COMPUTED_VALUE"""),-4.3705607520013)</f>
        <v>-4.370560752</v>
      </c>
      <c r="F257" s="15">
        <f>IFERROR(__xludf.DUMMYFUNCTION("""COMPUTED_VALUE"""),-7.398103896483218)</f>
        <v>-7.398103896</v>
      </c>
      <c r="G257" s="17">
        <f>IFERROR(__xludf.DUMMYFUNCTION("""COMPUTED_VALUE"""),-0.42788224734406916)</f>
        <v>-0.4278822473</v>
      </c>
      <c r="H257" s="4"/>
      <c r="I257" s="5" t="s">
        <v>1086</v>
      </c>
      <c r="J257" s="5" t="s">
        <v>646</v>
      </c>
      <c r="K257" s="5">
        <v>364.0</v>
      </c>
      <c r="L257" s="5">
        <v>-5.27272</v>
      </c>
      <c r="M257" s="5">
        <v>-1.91541</v>
      </c>
      <c r="N257" s="5">
        <v>-7.18813</v>
      </c>
      <c r="O257" s="5">
        <v>-0.58467</v>
      </c>
    </row>
    <row r="258">
      <c r="A258" s="18" t="str">
        <f>IFERROR(__xludf.DUMMYFUNCTION("""COMPUTED_VALUE"""),"Dimitris Stamatis")</f>
        <v>Dimitris Stamatis</v>
      </c>
      <c r="B258" s="19" t="str">
        <f>IFERROR(__xludf.DUMMYFUNCTION("""COMPUTED_VALUE"""),"KOL")</f>
        <v>KOL</v>
      </c>
      <c r="C258" s="20">
        <f>IFERROR(__xludf.DUMMYFUNCTION("""COMPUTED_VALUE"""),364.4)</f>
        <v>364.4</v>
      </c>
      <c r="D258" s="21">
        <f>IFERROR(__xludf.DUMMYFUNCTION("""COMPUTED_VALUE"""),-4.767003795092354)</f>
        <v>-4.767003795</v>
      </c>
      <c r="E258" s="21">
        <f>IFERROR(__xludf.DUMMYFUNCTION("""COMPUTED_VALUE"""),-2.7321473625443966)</f>
        <v>-2.732147363</v>
      </c>
      <c r="F258" s="21">
        <f>IFERROR(__xludf.DUMMYFUNCTION("""COMPUTED_VALUE"""),-7.49915115763675)</f>
        <v>-7.499151158</v>
      </c>
      <c r="G258" s="23">
        <f>IFERROR(__xludf.DUMMYFUNCTION("""COMPUTED_VALUE"""),-0.6197235423144023)</f>
        <v>-0.6197235423</v>
      </c>
      <c r="H258" s="4"/>
      <c r="I258" s="5" t="s">
        <v>1089</v>
      </c>
      <c r="J258" s="5" t="s">
        <v>704</v>
      </c>
      <c r="K258" s="5">
        <v>264.0</v>
      </c>
      <c r="L258" s="5">
        <v>-5.20135</v>
      </c>
      <c r="M258" s="5">
        <v>-2.19761</v>
      </c>
      <c r="N258" s="5">
        <v>-7.39897</v>
      </c>
      <c r="O258" s="5">
        <v>-0.42795</v>
      </c>
    </row>
    <row r="259">
      <c r="A259" s="12" t="str">
        <f>IFERROR(__xludf.DUMMYFUNCTION("""COMPUTED_VALUE"""),"Paris Maragkos")</f>
        <v>Paris Maragkos</v>
      </c>
      <c r="B259" s="13" t="str">
        <f>IFERROR(__xludf.DUMMYFUNCTION("""COMPUTED_VALUE"""),"LAR")</f>
        <v>LAR</v>
      </c>
      <c r="C259" s="14">
        <f>IFERROR(__xludf.DUMMYFUNCTION("""COMPUTED_VALUE"""),417.5)</f>
        <v>417.5</v>
      </c>
      <c r="D259" s="15">
        <f>IFERROR(__xludf.DUMMYFUNCTION("""COMPUTED_VALUE"""),-1.8694114042832475)</f>
        <v>-1.869411404</v>
      </c>
      <c r="E259" s="15">
        <f>IFERROR(__xludf.DUMMYFUNCTION("""COMPUTED_VALUE"""),-5.848162363417525)</f>
        <v>-5.848162363</v>
      </c>
      <c r="F259" s="15">
        <f>IFERROR(__xludf.DUMMYFUNCTION("""COMPUTED_VALUE"""),-7.717573767700772)</f>
        <v>-7.717573768</v>
      </c>
      <c r="G259" s="17">
        <f>IFERROR(__xludf.DUMMYFUNCTION("""COMPUTED_VALUE"""),-0.7286953239946182)</f>
        <v>-0.728695324</v>
      </c>
      <c r="H259" s="4"/>
      <c r="I259" s="5" t="s">
        <v>1091</v>
      </c>
      <c r="J259" s="5" t="s">
        <v>686</v>
      </c>
      <c r="K259" s="5">
        <v>418.0</v>
      </c>
      <c r="L259" s="5">
        <v>-3.28819</v>
      </c>
      <c r="M259" s="5">
        <v>-4.42928</v>
      </c>
      <c r="N259" s="5">
        <v>-7.71747</v>
      </c>
      <c r="O259" s="5">
        <v>-0.72868</v>
      </c>
    </row>
    <row r="260">
      <c r="A260" s="18" t="str">
        <f>IFERROR(__xludf.DUMMYFUNCTION("""COMPUTED_VALUE"""),"Alexis Spyridonidis")</f>
        <v>Alexis Spyridonidis</v>
      </c>
      <c r="B260" s="19" t="str">
        <f>IFERROR(__xludf.DUMMYFUNCTION("""COMPUTED_VALUE"""),"AMA")</f>
        <v>AMA</v>
      </c>
      <c r="C260" s="20">
        <f>IFERROR(__xludf.DUMMYFUNCTION("""COMPUTED_VALUE"""),332.4)</f>
        <v>332.4</v>
      </c>
      <c r="D260" s="21">
        <f>IFERROR(__xludf.DUMMYFUNCTION("""COMPUTED_VALUE"""),-4.006199754704012)</f>
        <v>-4.006199755</v>
      </c>
      <c r="E260" s="21">
        <f>IFERROR(__xludf.DUMMYFUNCTION("""COMPUTED_VALUE"""),-5.2270169617850595)</f>
        <v>-5.227016962</v>
      </c>
      <c r="F260" s="21">
        <f>IFERROR(__xludf.DUMMYFUNCTION("""COMPUTED_VALUE"""),-9.233216716489071)</f>
        <v>-9.233216716</v>
      </c>
      <c r="G260" s="23">
        <f>IFERROR(__xludf.DUMMYFUNCTION("""COMPUTED_VALUE"""),-0.7229863794373934)</f>
        <v>-0.7229863794</v>
      </c>
      <c r="H260" s="4"/>
      <c r="I260" s="5" t="s">
        <v>1093</v>
      </c>
      <c r="J260" s="5" t="s">
        <v>704</v>
      </c>
      <c r="K260" s="5">
        <v>332.0</v>
      </c>
      <c r="L260" s="5">
        <v>-6.47905</v>
      </c>
      <c r="M260" s="5">
        <v>-2.75421</v>
      </c>
      <c r="N260" s="5">
        <v>-9.23327</v>
      </c>
      <c r="O260" s="5">
        <v>-0.72299</v>
      </c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5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D517" s="25"/>
      <c r="E517" s="25"/>
      <c r="F517" s="25"/>
      <c r="G517" s="26"/>
      <c r="H517" s="4"/>
    </row>
    <row r="518">
      <c r="D518" s="25"/>
      <c r="E518" s="25"/>
      <c r="F518" s="25"/>
      <c r="G518" s="26"/>
      <c r="H518" s="4"/>
    </row>
    <row r="519">
      <c r="D519" s="25"/>
      <c r="E519" s="25"/>
      <c r="F519" s="25"/>
      <c r="G519" s="26"/>
      <c r="H519" s="4"/>
    </row>
    <row r="520">
      <c r="D520" s="25"/>
      <c r="E520" s="25"/>
      <c r="F520" s="25"/>
      <c r="G520" s="26"/>
      <c r="H520" s="4"/>
    </row>
    <row r="521">
      <c r="D521" s="25"/>
      <c r="E521" s="25"/>
      <c r="F521" s="25"/>
      <c r="G521" s="26"/>
      <c r="H521" s="4"/>
    </row>
    <row r="522">
      <c r="D522" s="25"/>
      <c r="E522" s="25"/>
      <c r="F522" s="25"/>
      <c r="G522" s="26"/>
      <c r="H522" s="4"/>
    </row>
    <row r="523">
      <c r="D523" s="25"/>
      <c r="E523" s="25"/>
      <c r="F523" s="25"/>
      <c r="G523" s="26"/>
      <c r="H523" s="4"/>
    </row>
    <row r="524">
      <c r="D524" s="25"/>
      <c r="E524" s="25"/>
      <c r="F524" s="25"/>
      <c r="G524" s="26"/>
      <c r="H524" s="4"/>
    </row>
    <row r="525">
      <c r="D525" s="25"/>
      <c r="E525" s="25"/>
      <c r="F525" s="25"/>
      <c r="G525" s="26"/>
      <c r="H525" s="4"/>
    </row>
    <row r="526">
      <c r="D526" s="25"/>
      <c r="E526" s="25"/>
      <c r="F526" s="25"/>
      <c r="G526" s="26"/>
      <c r="H526" s="4"/>
    </row>
    <row r="527">
      <c r="D527" s="25"/>
      <c r="E527" s="25"/>
      <c r="F527" s="25"/>
      <c r="G527" s="26"/>
      <c r="H527" s="4"/>
    </row>
    <row r="528">
      <c r="D528" s="25"/>
      <c r="E528" s="25"/>
      <c r="F528" s="25"/>
      <c r="G528" s="26"/>
      <c r="H528" s="4"/>
    </row>
    <row r="529">
      <c r="D529" s="25"/>
      <c r="E529" s="25"/>
      <c r="F529" s="25"/>
      <c r="G529" s="26"/>
      <c r="H529" s="4"/>
    </row>
    <row r="530">
      <c r="D530" s="25"/>
      <c r="E530" s="25"/>
      <c r="F530" s="25"/>
      <c r="G530" s="26"/>
      <c r="H530" s="4"/>
    </row>
    <row r="531">
      <c r="D531" s="25"/>
      <c r="E531" s="25"/>
      <c r="F531" s="25"/>
      <c r="G531" s="26"/>
      <c r="H531" s="4"/>
    </row>
    <row r="532">
      <c r="D532" s="25"/>
      <c r="E532" s="25"/>
      <c r="F532" s="25"/>
      <c r="G532" s="26"/>
      <c r="H532" s="4"/>
    </row>
    <row r="533">
      <c r="D533" s="25"/>
      <c r="E533" s="25"/>
      <c r="F533" s="25"/>
      <c r="G533" s="26"/>
      <c r="H533" s="4"/>
    </row>
    <row r="534">
      <c r="D534" s="25"/>
      <c r="E534" s="25"/>
      <c r="F534" s="25"/>
      <c r="G534" s="26"/>
      <c r="H534" s="4"/>
    </row>
    <row r="535">
      <c r="D535" s="25"/>
      <c r="E535" s="25"/>
      <c r="F535" s="25"/>
      <c r="G535" s="26"/>
      <c r="H535" s="4"/>
    </row>
    <row r="536">
      <c r="D536" s="25"/>
      <c r="E536" s="25"/>
      <c r="F536" s="25"/>
      <c r="G536" s="26"/>
      <c r="H536" s="4"/>
    </row>
    <row r="537">
      <c r="D537" s="25"/>
      <c r="E537" s="25"/>
      <c r="F537" s="25"/>
      <c r="G537" s="26"/>
      <c r="H537" s="4"/>
    </row>
    <row r="538">
      <c r="D538" s="25"/>
      <c r="E538" s="25"/>
      <c r="F538" s="25"/>
      <c r="G538" s="26"/>
      <c r="H538" s="4"/>
    </row>
    <row r="539">
      <c r="D539" s="25"/>
      <c r="E539" s="25"/>
      <c r="F539" s="25"/>
      <c r="G539" s="26"/>
      <c r="H539" s="4"/>
    </row>
    <row r="540">
      <c r="D540" s="25"/>
      <c r="E540" s="25"/>
      <c r="F540" s="25"/>
      <c r="G540" s="26"/>
      <c r="H540" s="4"/>
    </row>
    <row r="541">
      <c r="D541" s="25"/>
      <c r="E541" s="25"/>
      <c r="F541" s="25"/>
      <c r="G541" s="26"/>
      <c r="H541" s="4"/>
    </row>
    <row r="542">
      <c r="D542" s="25"/>
      <c r="E542" s="25"/>
      <c r="F542" s="25"/>
      <c r="G542" s="26"/>
      <c r="H542" s="4"/>
    </row>
    <row r="543">
      <c r="D543" s="25"/>
      <c r="E543" s="25"/>
      <c r="F543" s="25"/>
      <c r="G543" s="26"/>
      <c r="H543" s="4"/>
    </row>
    <row r="544">
      <c r="D544" s="25"/>
      <c r="E544" s="25"/>
      <c r="F544" s="25"/>
      <c r="G544" s="26"/>
      <c r="H544" s="4"/>
    </row>
    <row r="545">
      <c r="D545" s="25"/>
      <c r="E545" s="25"/>
      <c r="F545" s="25"/>
      <c r="G545" s="26"/>
      <c r="H545" s="4"/>
    </row>
    <row r="546">
      <c r="D546" s="25"/>
      <c r="E546" s="25"/>
      <c r="F546" s="25"/>
      <c r="G546" s="26"/>
      <c r="H546" s="4"/>
    </row>
    <row r="547">
      <c r="D547" s="25"/>
      <c r="E547" s="25"/>
      <c r="F547" s="25"/>
      <c r="G547" s="26"/>
      <c r="H547" s="4"/>
    </row>
    <row r="548">
      <c r="D548" s="25"/>
      <c r="E548" s="25"/>
      <c r="F548" s="25"/>
      <c r="G548" s="26"/>
      <c r="H548" s="4"/>
    </row>
    <row r="549">
      <c r="D549" s="25"/>
      <c r="E549" s="25"/>
      <c r="F549" s="25"/>
      <c r="G549" s="26"/>
      <c r="H549" s="4"/>
    </row>
    <row r="550">
      <c r="D550" s="25"/>
      <c r="E550" s="25"/>
      <c r="F550" s="25"/>
      <c r="G550" s="26"/>
      <c r="H550" s="4"/>
    </row>
    <row r="551">
      <c r="D551" s="25"/>
      <c r="E551" s="25"/>
      <c r="F551" s="25"/>
      <c r="G551" s="26"/>
      <c r="H551" s="4"/>
    </row>
    <row r="552">
      <c r="D552" s="25"/>
      <c r="E552" s="25"/>
      <c r="F552" s="25"/>
      <c r="G552" s="26"/>
      <c r="H552" s="4"/>
    </row>
    <row r="553">
      <c r="D553" s="25"/>
      <c r="E553" s="25"/>
      <c r="F553" s="25"/>
      <c r="G553" s="26"/>
      <c r="H553" s="4"/>
    </row>
    <row r="554">
      <c r="D554" s="25"/>
      <c r="E554" s="25"/>
      <c r="F554" s="25"/>
      <c r="G554" s="26"/>
      <c r="H554" s="4"/>
    </row>
    <row r="555">
      <c r="D555" s="25"/>
      <c r="E555" s="25"/>
      <c r="F555" s="25"/>
      <c r="G555" s="26"/>
      <c r="H555" s="4"/>
    </row>
    <row r="556">
      <c r="D556" s="25"/>
      <c r="E556" s="25"/>
      <c r="F556" s="25"/>
      <c r="G556" s="26"/>
      <c r="H556" s="4"/>
    </row>
    <row r="557">
      <c r="D557" s="25"/>
      <c r="E557" s="25"/>
      <c r="F557" s="25"/>
      <c r="G557" s="26"/>
      <c r="H557" s="4"/>
    </row>
    <row r="558">
      <c r="D558" s="25"/>
      <c r="E558" s="25"/>
      <c r="F558" s="25"/>
      <c r="G558" s="26"/>
      <c r="H558" s="4"/>
    </row>
    <row r="559">
      <c r="D559" s="25"/>
      <c r="E559" s="25"/>
      <c r="F559" s="25"/>
      <c r="G559" s="26"/>
      <c r="H559" s="4"/>
    </row>
    <row r="560">
      <c r="D560" s="25"/>
      <c r="E560" s="25"/>
      <c r="F560" s="25"/>
      <c r="G560" s="26"/>
      <c r="H560" s="4"/>
    </row>
    <row r="561">
      <c r="D561" s="25"/>
      <c r="E561" s="25"/>
      <c r="F561" s="25"/>
      <c r="G561" s="26"/>
      <c r="H561" s="4"/>
    </row>
    <row r="562">
      <c r="D562" s="25"/>
      <c r="E562" s="25"/>
      <c r="F562" s="25"/>
      <c r="G562" s="26"/>
      <c r="H562" s="4"/>
    </row>
    <row r="563">
      <c r="D563" s="25"/>
      <c r="E563" s="25"/>
      <c r="F563" s="25"/>
      <c r="G563" s="26"/>
      <c r="H563" s="4"/>
    </row>
    <row r="564">
      <c r="D564" s="25"/>
      <c r="E564" s="25"/>
      <c r="F564" s="25"/>
      <c r="G564" s="26"/>
      <c r="H564" s="4"/>
    </row>
    <row r="565">
      <c r="D565" s="25"/>
      <c r="E565" s="25"/>
      <c r="F565" s="25"/>
      <c r="G565" s="26"/>
      <c r="H565" s="4"/>
    </row>
    <row r="566">
      <c r="D566" s="25"/>
      <c r="E566" s="25"/>
      <c r="F566" s="25"/>
      <c r="G566" s="26"/>
      <c r="H566" s="4"/>
    </row>
    <row r="567">
      <c r="D567" s="25"/>
      <c r="E567" s="25"/>
      <c r="F567" s="25"/>
      <c r="G567" s="26"/>
      <c r="H567" s="4"/>
    </row>
    <row r="568">
      <c r="D568" s="25"/>
      <c r="E568" s="25"/>
      <c r="F568" s="25"/>
      <c r="G568" s="26"/>
      <c r="H568" s="4"/>
    </row>
    <row r="569">
      <c r="D569" s="25"/>
      <c r="E569" s="25"/>
      <c r="F569" s="25"/>
      <c r="G569" s="26"/>
      <c r="H569" s="4"/>
    </row>
    <row r="570">
      <c r="D570" s="25"/>
      <c r="E570" s="25"/>
      <c r="F570" s="25"/>
      <c r="G570" s="26"/>
      <c r="H570" s="4"/>
    </row>
    <row r="571">
      <c r="D571" s="25"/>
      <c r="E571" s="25"/>
      <c r="F571" s="25"/>
      <c r="G571" s="26"/>
      <c r="H571" s="4"/>
    </row>
    <row r="572">
      <c r="D572" s="25"/>
      <c r="E572" s="25"/>
      <c r="F572" s="25"/>
      <c r="G572" s="26"/>
      <c r="H572" s="4"/>
    </row>
    <row r="573">
      <c r="D573" s="25"/>
      <c r="E573" s="25"/>
      <c r="F573" s="25"/>
      <c r="G573" s="26"/>
      <c r="H573" s="4"/>
    </row>
    <row r="574">
      <c r="D574" s="25"/>
      <c r="E574" s="25"/>
      <c r="F574" s="25"/>
      <c r="G574" s="26"/>
      <c r="H574" s="4"/>
    </row>
    <row r="575">
      <c r="D575" s="25"/>
      <c r="E575" s="25"/>
      <c r="F575" s="25"/>
      <c r="G575" s="26"/>
      <c r="H575" s="4"/>
    </row>
    <row r="576">
      <c r="D576" s="25"/>
      <c r="E576" s="25"/>
      <c r="F576" s="25"/>
      <c r="G576" s="26"/>
      <c r="H576" s="4"/>
    </row>
    <row r="577">
      <c r="D577" s="25"/>
      <c r="E577" s="25"/>
      <c r="F577" s="25"/>
      <c r="G577" s="26"/>
      <c r="H577" s="4"/>
    </row>
    <row r="578">
      <c r="D578" s="25"/>
      <c r="E578" s="25"/>
      <c r="F578" s="25"/>
      <c r="G578" s="26"/>
      <c r="H578" s="4"/>
    </row>
    <row r="579">
      <c r="D579" s="25"/>
      <c r="E579" s="25"/>
      <c r="F579" s="25"/>
      <c r="G579" s="26"/>
      <c r="H579" s="4"/>
    </row>
    <row r="580">
      <c r="D580" s="25"/>
      <c r="E580" s="25"/>
      <c r="F580" s="25"/>
      <c r="G580" s="26"/>
      <c r="H580" s="4"/>
    </row>
    <row r="581">
      <c r="D581" s="25"/>
      <c r="E581" s="25"/>
      <c r="F581" s="25"/>
      <c r="G581" s="26"/>
      <c r="H581" s="4"/>
    </row>
    <row r="582">
      <c r="D582" s="25"/>
      <c r="E582" s="25"/>
      <c r="F582" s="25"/>
      <c r="G582" s="26"/>
      <c r="H582" s="4"/>
    </row>
    <row r="583">
      <c r="D583" s="25"/>
      <c r="E583" s="25"/>
      <c r="F583" s="25"/>
      <c r="G583" s="26"/>
      <c r="H583" s="4"/>
    </row>
    <row r="584">
      <c r="D584" s="25"/>
      <c r="E584" s="25"/>
      <c r="F584" s="25"/>
      <c r="G584" s="26"/>
      <c r="H584" s="4"/>
    </row>
    <row r="585">
      <c r="D585" s="25"/>
      <c r="E585" s="25"/>
      <c r="F585" s="25"/>
      <c r="G585" s="26"/>
      <c r="H585" s="4"/>
    </row>
    <row r="586">
      <c r="D586" s="25"/>
      <c r="E586" s="25"/>
      <c r="F586" s="25"/>
      <c r="G586" s="26"/>
      <c r="H586" s="4"/>
    </row>
    <row r="587">
      <c r="D587" s="25"/>
      <c r="E587" s="25"/>
      <c r="F587" s="25"/>
      <c r="G587" s="26"/>
      <c r="H587" s="4"/>
    </row>
    <row r="588">
      <c r="D588" s="25"/>
      <c r="E588" s="25"/>
      <c r="F588" s="25"/>
      <c r="G588" s="26"/>
      <c r="H588" s="4"/>
    </row>
    <row r="589">
      <c r="D589" s="25"/>
      <c r="E589" s="25"/>
      <c r="F589" s="25"/>
      <c r="G589" s="26"/>
      <c r="H589" s="4"/>
    </row>
    <row r="590">
      <c r="D590" s="25"/>
      <c r="E590" s="25"/>
      <c r="F590" s="25"/>
      <c r="G590" s="26"/>
      <c r="H590" s="4"/>
    </row>
    <row r="591">
      <c r="D591" s="25"/>
      <c r="E591" s="25"/>
      <c r="F591" s="25"/>
      <c r="G591" s="26"/>
      <c r="H591" s="4"/>
    </row>
    <row r="592">
      <c r="D592" s="25"/>
      <c r="E592" s="25"/>
      <c r="F592" s="25"/>
      <c r="G592" s="26"/>
      <c r="H592" s="4"/>
    </row>
    <row r="593">
      <c r="D593" s="25"/>
      <c r="E593" s="25"/>
      <c r="F593" s="25"/>
      <c r="G593" s="26"/>
      <c r="H593" s="4"/>
    </row>
    <row r="594">
      <c r="D594" s="25"/>
      <c r="E594" s="25"/>
      <c r="F594" s="25"/>
      <c r="G594" s="26"/>
      <c r="H594" s="4"/>
    </row>
    <row r="595">
      <c r="D595" s="25"/>
      <c r="E595" s="25"/>
      <c r="F595" s="25"/>
      <c r="G595" s="26"/>
      <c r="H595" s="4"/>
    </row>
    <row r="596">
      <c r="D596" s="25"/>
      <c r="E596" s="25"/>
      <c r="F596" s="25"/>
      <c r="G596" s="26"/>
      <c r="H596" s="4"/>
    </row>
    <row r="597">
      <c r="D597" s="25"/>
      <c r="E597" s="25"/>
      <c r="F597" s="25"/>
      <c r="G597" s="26"/>
      <c r="H597" s="4"/>
    </row>
    <row r="598">
      <c r="D598" s="25"/>
      <c r="E598" s="25"/>
      <c r="F598" s="25"/>
      <c r="G598" s="26"/>
      <c r="H598" s="4"/>
    </row>
    <row r="599">
      <c r="D599" s="25"/>
      <c r="E599" s="25"/>
      <c r="F599" s="25"/>
      <c r="G599" s="26"/>
      <c r="H599" s="4"/>
    </row>
    <row r="600">
      <c r="D600" s="25"/>
      <c r="E600" s="25"/>
      <c r="F600" s="25"/>
      <c r="G600" s="26"/>
      <c r="H600" s="4"/>
    </row>
    <row r="601">
      <c r="D601" s="25"/>
      <c r="E601" s="25"/>
      <c r="F601" s="25"/>
      <c r="G601" s="26"/>
      <c r="H601" s="4"/>
    </row>
    <row r="602">
      <c r="D602" s="25"/>
      <c r="E602" s="25"/>
      <c r="F602" s="25"/>
      <c r="G602" s="26"/>
      <c r="H602" s="4"/>
    </row>
    <row r="603">
      <c r="D603" s="25"/>
      <c r="E603" s="25"/>
      <c r="F603" s="25"/>
      <c r="G603" s="26"/>
      <c r="H603" s="4"/>
    </row>
    <row r="604">
      <c r="D604" s="25"/>
      <c r="E604" s="25"/>
      <c r="F604" s="25"/>
      <c r="G604" s="26"/>
      <c r="H604" s="4"/>
    </row>
    <row r="605">
      <c r="D605" s="25"/>
      <c r="E605" s="25"/>
      <c r="F605" s="25"/>
      <c r="G605" s="26"/>
      <c r="H605" s="4"/>
    </row>
    <row r="606">
      <c r="D606" s="25"/>
      <c r="E606" s="25"/>
      <c r="F606" s="25"/>
      <c r="G606" s="26"/>
      <c r="H606" s="4"/>
    </row>
    <row r="607">
      <c r="D607" s="25"/>
      <c r="E607" s="25"/>
      <c r="F607" s="25"/>
      <c r="G607" s="26"/>
      <c r="H607" s="4"/>
    </row>
    <row r="608">
      <c r="D608" s="25"/>
      <c r="E608" s="25"/>
      <c r="F608" s="25"/>
      <c r="G608" s="26"/>
      <c r="H608" s="4"/>
    </row>
    <row r="609">
      <c r="D609" s="25"/>
      <c r="E609" s="25"/>
      <c r="F609" s="25"/>
      <c r="G609" s="26"/>
      <c r="H609" s="4"/>
    </row>
    <row r="610">
      <c r="D610" s="25"/>
      <c r="E610" s="25"/>
      <c r="F610" s="25"/>
      <c r="G610" s="26"/>
      <c r="H610" s="4"/>
    </row>
    <row r="611">
      <c r="D611" s="25"/>
      <c r="E611" s="25"/>
      <c r="F611" s="25"/>
      <c r="G611" s="26"/>
      <c r="H611" s="4"/>
    </row>
    <row r="612">
      <c r="D612" s="25"/>
      <c r="E612" s="25"/>
      <c r="F612" s="25"/>
      <c r="G612" s="26"/>
      <c r="H612" s="4"/>
    </row>
    <row r="613">
      <c r="D613" s="25"/>
      <c r="E613" s="25"/>
      <c r="F613" s="25"/>
      <c r="G613" s="26"/>
      <c r="H613" s="4"/>
    </row>
    <row r="614">
      <c r="D614" s="25"/>
      <c r="E614" s="25"/>
      <c r="F614" s="25"/>
      <c r="G614" s="26"/>
      <c r="H614" s="4"/>
    </row>
    <row r="615">
      <c r="D615" s="25"/>
      <c r="E615" s="25"/>
      <c r="F615" s="25"/>
      <c r="G615" s="26"/>
      <c r="H615" s="4"/>
    </row>
    <row r="616">
      <c r="D616" s="25"/>
      <c r="E616" s="25"/>
      <c r="F616" s="25"/>
      <c r="G616" s="26"/>
      <c r="H616" s="4"/>
    </row>
    <row r="617">
      <c r="D617" s="25"/>
      <c r="E617" s="25"/>
      <c r="F617" s="25"/>
      <c r="G617" s="26"/>
      <c r="H617" s="4"/>
    </row>
    <row r="618">
      <c r="D618" s="25"/>
      <c r="E618" s="25"/>
      <c r="F618" s="25"/>
      <c r="G618" s="26"/>
      <c r="H618" s="4"/>
    </row>
    <row r="619">
      <c r="D619" s="25"/>
      <c r="E619" s="25"/>
      <c r="F619" s="25"/>
      <c r="G619" s="26"/>
      <c r="H619" s="4"/>
    </row>
    <row r="620">
      <c r="D620" s="25"/>
      <c r="E620" s="25"/>
      <c r="F620" s="25"/>
      <c r="G620" s="26"/>
      <c r="H620" s="4"/>
    </row>
    <row r="621">
      <c r="D621" s="25"/>
      <c r="E621" s="25"/>
      <c r="F621" s="25"/>
      <c r="G621" s="26"/>
      <c r="H621" s="4"/>
    </row>
    <row r="622">
      <c r="D622" s="25"/>
      <c r="E622" s="25"/>
      <c r="F622" s="25"/>
      <c r="G622" s="26"/>
      <c r="H622" s="4"/>
    </row>
    <row r="623">
      <c r="D623" s="25"/>
      <c r="E623" s="25"/>
      <c r="F623" s="25"/>
      <c r="G623" s="26"/>
      <c r="H623" s="4"/>
    </row>
    <row r="624">
      <c r="D624" s="25"/>
      <c r="E624" s="25"/>
      <c r="F624" s="25"/>
      <c r="G624" s="26"/>
      <c r="H624" s="4"/>
    </row>
    <row r="625">
      <c r="D625" s="25"/>
      <c r="E625" s="25"/>
      <c r="F625" s="25"/>
      <c r="G625" s="26"/>
      <c r="H625" s="4"/>
    </row>
    <row r="626">
      <c r="D626" s="25"/>
      <c r="E626" s="25"/>
      <c r="F626" s="25"/>
      <c r="G626" s="26"/>
      <c r="H626" s="4"/>
    </row>
    <row r="627">
      <c r="D627" s="25"/>
      <c r="E627" s="25"/>
      <c r="F627" s="25"/>
      <c r="G627" s="26"/>
      <c r="H627" s="4"/>
    </row>
    <row r="628">
      <c r="D628" s="25"/>
      <c r="E628" s="25"/>
      <c r="F628" s="25"/>
      <c r="G628" s="26"/>
      <c r="H628" s="4"/>
    </row>
    <row r="629">
      <c r="D629" s="25"/>
      <c r="E629" s="25"/>
      <c r="F629" s="25"/>
      <c r="G629" s="26"/>
      <c r="H629" s="4"/>
    </row>
    <row r="630">
      <c r="D630" s="25"/>
      <c r="E630" s="25"/>
      <c r="F630" s="25"/>
      <c r="G630" s="26"/>
      <c r="H630" s="4"/>
    </row>
    <row r="631">
      <c r="D631" s="25"/>
      <c r="E631" s="25"/>
      <c r="F631" s="25"/>
      <c r="G631" s="26"/>
      <c r="H631" s="4"/>
    </row>
    <row r="632">
      <c r="D632" s="25"/>
      <c r="E632" s="25"/>
      <c r="F632" s="25"/>
      <c r="G632" s="26"/>
      <c r="H632" s="4"/>
    </row>
    <row r="633">
      <c r="D633" s="25"/>
      <c r="E633" s="25"/>
      <c r="F633" s="25"/>
      <c r="G633" s="26"/>
      <c r="H633" s="4"/>
    </row>
    <row r="634">
      <c r="D634" s="25"/>
      <c r="E634" s="25"/>
      <c r="F634" s="25"/>
      <c r="G634" s="26"/>
      <c r="H634" s="4"/>
    </row>
    <row r="635">
      <c r="D635" s="25"/>
      <c r="E635" s="25"/>
      <c r="F635" s="25"/>
      <c r="G635" s="26"/>
      <c r="H635" s="4"/>
    </row>
    <row r="636">
      <c r="D636" s="25"/>
      <c r="E636" s="25"/>
      <c r="F636" s="25"/>
      <c r="G636" s="26"/>
      <c r="H636" s="4"/>
    </row>
    <row r="637">
      <c r="D637" s="25"/>
      <c r="E637" s="25"/>
      <c r="F637" s="25"/>
      <c r="G637" s="26"/>
      <c r="H637" s="4"/>
    </row>
    <row r="638">
      <c r="D638" s="25"/>
      <c r="E638" s="25"/>
      <c r="F638" s="25"/>
      <c r="G638" s="26"/>
      <c r="H638" s="4"/>
    </row>
    <row r="639">
      <c r="D639" s="25"/>
      <c r="E639" s="25"/>
      <c r="F639" s="25"/>
      <c r="G639" s="26"/>
      <c r="H639" s="4"/>
    </row>
    <row r="640">
      <c r="D640" s="25"/>
      <c r="E640" s="25"/>
      <c r="F640" s="25"/>
      <c r="G640" s="26"/>
      <c r="H640" s="4"/>
    </row>
    <row r="641">
      <c r="D641" s="25"/>
      <c r="E641" s="25"/>
      <c r="F641" s="25"/>
      <c r="G641" s="26"/>
      <c r="H641" s="4"/>
    </row>
    <row r="642">
      <c r="D642" s="25"/>
      <c r="E642" s="25"/>
      <c r="F642" s="25"/>
      <c r="G642" s="26"/>
      <c r="H642" s="4"/>
    </row>
    <row r="643">
      <c r="D643" s="25"/>
      <c r="E643" s="25"/>
      <c r="F643" s="25"/>
      <c r="G643" s="26"/>
      <c r="H643" s="4"/>
    </row>
    <row r="644">
      <c r="D644" s="25"/>
      <c r="E644" s="25"/>
      <c r="F644" s="25"/>
      <c r="G644" s="26"/>
      <c r="H644" s="4"/>
    </row>
    <row r="645">
      <c r="D645" s="25"/>
      <c r="E645" s="25"/>
      <c r="F645" s="25"/>
      <c r="G645" s="26"/>
      <c r="H645" s="4"/>
    </row>
    <row r="646">
      <c r="D646" s="25"/>
      <c r="E646" s="25"/>
      <c r="F646" s="25"/>
      <c r="G646" s="26"/>
      <c r="H646" s="4"/>
    </row>
    <row r="647">
      <c r="D647" s="25"/>
      <c r="E647" s="25"/>
      <c r="F647" s="25"/>
      <c r="G647" s="26"/>
      <c r="H647" s="4"/>
    </row>
    <row r="648">
      <c r="D648" s="25"/>
      <c r="E648" s="25"/>
      <c r="F648" s="25"/>
      <c r="G648" s="26"/>
      <c r="H648" s="4"/>
    </row>
    <row r="649">
      <c r="D649" s="25"/>
      <c r="E649" s="25"/>
      <c r="F649" s="25"/>
      <c r="G649" s="26"/>
      <c r="H649" s="4"/>
    </row>
    <row r="650">
      <c r="D650" s="25"/>
      <c r="E650" s="25"/>
      <c r="F650" s="25"/>
      <c r="G650" s="26"/>
      <c r="H650" s="4"/>
    </row>
    <row r="651">
      <c r="D651" s="25"/>
      <c r="E651" s="25"/>
      <c r="F651" s="25"/>
      <c r="G651" s="26"/>
      <c r="H651" s="4"/>
    </row>
    <row r="652">
      <c r="D652" s="25"/>
      <c r="E652" s="25"/>
      <c r="F652" s="25"/>
      <c r="G652" s="26"/>
      <c r="H652" s="4"/>
    </row>
    <row r="653">
      <c r="D653" s="25"/>
      <c r="E653" s="25"/>
      <c r="F653" s="25"/>
      <c r="G653" s="26"/>
      <c r="H653" s="4"/>
    </row>
    <row r="654">
      <c r="D654" s="25"/>
      <c r="E654" s="25"/>
      <c r="F654" s="25"/>
      <c r="G654" s="26"/>
      <c r="H654" s="4"/>
    </row>
    <row r="655">
      <c r="D655" s="25"/>
      <c r="E655" s="25"/>
      <c r="F655" s="25"/>
      <c r="G655" s="26"/>
      <c r="H655" s="4"/>
    </row>
    <row r="656">
      <c r="D656" s="25"/>
      <c r="E656" s="25"/>
      <c r="F656" s="25"/>
      <c r="G656" s="26"/>
      <c r="H656" s="4"/>
    </row>
    <row r="657">
      <c r="D657" s="25"/>
      <c r="E657" s="25"/>
      <c r="F657" s="25"/>
      <c r="G657" s="26"/>
      <c r="H657" s="4"/>
    </row>
    <row r="658">
      <c r="D658" s="25"/>
      <c r="E658" s="25"/>
      <c r="F658" s="25"/>
      <c r="G658" s="26"/>
      <c r="H658" s="4"/>
    </row>
    <row r="659">
      <c r="D659" s="25"/>
      <c r="E659" s="25"/>
      <c r="F659" s="25"/>
      <c r="G659" s="26"/>
      <c r="H659" s="4"/>
    </row>
    <row r="660">
      <c r="D660" s="25"/>
      <c r="E660" s="25"/>
      <c r="F660" s="25"/>
      <c r="G660" s="26"/>
      <c r="H660" s="4"/>
    </row>
    <row r="661">
      <c r="D661" s="25"/>
      <c r="E661" s="25"/>
      <c r="F661" s="25"/>
      <c r="G661" s="26"/>
      <c r="H661" s="4"/>
    </row>
    <row r="662">
      <c r="D662" s="25"/>
      <c r="E662" s="25"/>
      <c r="F662" s="25"/>
      <c r="G662" s="26"/>
      <c r="H662" s="4"/>
    </row>
    <row r="663">
      <c r="D663" s="25"/>
      <c r="E663" s="25"/>
      <c r="F663" s="25"/>
      <c r="G663" s="26"/>
      <c r="H663" s="4"/>
    </row>
    <row r="664">
      <c r="D664" s="25"/>
      <c r="E664" s="25"/>
      <c r="F664" s="25"/>
      <c r="G664" s="26"/>
      <c r="H664" s="4"/>
    </row>
    <row r="665">
      <c r="D665" s="25"/>
      <c r="E665" s="25"/>
      <c r="F665" s="25"/>
      <c r="G665" s="26"/>
      <c r="H665" s="4"/>
    </row>
    <row r="666">
      <c r="D666" s="25"/>
      <c r="E666" s="25"/>
      <c r="F666" s="25"/>
      <c r="G666" s="26"/>
      <c r="H666" s="4"/>
    </row>
    <row r="667">
      <c r="D667" s="25"/>
      <c r="E667" s="25"/>
      <c r="F667" s="25"/>
      <c r="G667" s="26"/>
      <c r="H667" s="4"/>
    </row>
    <row r="668">
      <c r="D668" s="25"/>
      <c r="E668" s="25"/>
      <c r="F668" s="25"/>
      <c r="G668" s="26"/>
      <c r="H668" s="4"/>
    </row>
    <row r="669">
      <c r="D669" s="25"/>
      <c r="E669" s="25"/>
      <c r="F669" s="25"/>
      <c r="G669" s="26"/>
      <c r="H669" s="4"/>
    </row>
    <row r="670">
      <c r="D670" s="25"/>
      <c r="E670" s="25"/>
      <c r="F670" s="25"/>
      <c r="G670" s="26"/>
      <c r="H670" s="4"/>
    </row>
    <row r="671">
      <c r="D671" s="25"/>
      <c r="E671" s="25"/>
      <c r="F671" s="25"/>
      <c r="G671" s="26"/>
      <c r="H671" s="4"/>
    </row>
    <row r="672">
      <c r="D672" s="25"/>
      <c r="E672" s="25"/>
      <c r="F672" s="25"/>
      <c r="G672" s="26"/>
      <c r="H672" s="4"/>
    </row>
    <row r="673">
      <c r="D673" s="25"/>
      <c r="E673" s="25"/>
      <c r="F673" s="25"/>
      <c r="G673" s="26"/>
      <c r="H673" s="4"/>
    </row>
    <row r="674">
      <c r="D674" s="25"/>
      <c r="E674" s="25"/>
      <c r="F674" s="25"/>
      <c r="G674" s="26"/>
      <c r="H674" s="4"/>
    </row>
    <row r="675">
      <c r="D675" s="25"/>
      <c r="E675" s="25"/>
      <c r="F675" s="25"/>
      <c r="G675" s="26"/>
      <c r="H675" s="4"/>
    </row>
    <row r="676">
      <c r="D676" s="25"/>
      <c r="E676" s="25"/>
      <c r="F676" s="25"/>
      <c r="G676" s="26"/>
      <c r="H676" s="4"/>
    </row>
    <row r="677">
      <c r="D677" s="25"/>
      <c r="E677" s="25"/>
      <c r="F677" s="25"/>
      <c r="G677" s="26"/>
      <c r="H677" s="4"/>
    </row>
    <row r="678">
      <c r="D678" s="25"/>
      <c r="E678" s="25"/>
      <c r="F678" s="25"/>
      <c r="G678" s="26"/>
      <c r="H678" s="4"/>
    </row>
    <row r="679">
      <c r="D679" s="25"/>
      <c r="E679" s="25"/>
      <c r="F679" s="25"/>
      <c r="G679" s="26"/>
      <c r="H679" s="4"/>
    </row>
    <row r="680">
      <c r="D680" s="25"/>
      <c r="E680" s="25"/>
      <c r="F680" s="25"/>
      <c r="G680" s="26"/>
      <c r="H680" s="4"/>
    </row>
    <row r="681">
      <c r="D681" s="25"/>
      <c r="E681" s="25"/>
      <c r="F681" s="25"/>
      <c r="G681" s="26"/>
      <c r="H681" s="4"/>
    </row>
    <row r="682">
      <c r="D682" s="25"/>
      <c r="E682" s="25"/>
      <c r="F682" s="25"/>
      <c r="G682" s="26"/>
      <c r="H682" s="4"/>
    </row>
    <row r="683">
      <c r="D683" s="25"/>
      <c r="E683" s="25"/>
      <c r="F683" s="25"/>
      <c r="G683" s="26"/>
      <c r="H683" s="4"/>
    </row>
    <row r="684">
      <c r="D684" s="25"/>
      <c r="E684" s="25"/>
      <c r="F684" s="25"/>
      <c r="G684" s="26"/>
      <c r="H684" s="4"/>
    </row>
    <row r="685">
      <c r="D685" s="25"/>
      <c r="E685" s="25"/>
      <c r="F685" s="25"/>
      <c r="G685" s="26"/>
      <c r="H685" s="4"/>
    </row>
    <row r="686">
      <c r="D686" s="25"/>
      <c r="E686" s="25"/>
      <c r="F686" s="25"/>
      <c r="G686" s="26"/>
      <c r="H686" s="4"/>
    </row>
    <row r="687">
      <c r="D687" s="25"/>
      <c r="E687" s="25"/>
      <c r="F687" s="25"/>
      <c r="G687" s="26"/>
      <c r="H687" s="4"/>
    </row>
    <row r="688">
      <c r="D688" s="25"/>
      <c r="E688" s="25"/>
      <c r="F688" s="25"/>
      <c r="G688" s="26"/>
      <c r="H688" s="4"/>
    </row>
    <row r="689">
      <c r="D689" s="25"/>
      <c r="E689" s="25"/>
      <c r="F689" s="25"/>
      <c r="G689" s="26"/>
      <c r="H689" s="4"/>
    </row>
    <row r="690">
      <c r="D690" s="25"/>
      <c r="E690" s="25"/>
      <c r="F690" s="25"/>
      <c r="G690" s="26"/>
      <c r="H690" s="4"/>
    </row>
    <row r="691">
      <c r="D691" s="25"/>
      <c r="E691" s="25"/>
      <c r="F691" s="25"/>
      <c r="G691" s="26"/>
      <c r="H691" s="4"/>
    </row>
    <row r="692">
      <c r="D692" s="25"/>
      <c r="E692" s="25"/>
      <c r="F692" s="25"/>
      <c r="G692" s="26"/>
      <c r="H692" s="4"/>
    </row>
    <row r="693">
      <c r="D693" s="25"/>
      <c r="E693" s="25"/>
      <c r="F693" s="25"/>
      <c r="G693" s="26"/>
      <c r="H693" s="4"/>
    </row>
    <row r="694">
      <c r="D694" s="25"/>
      <c r="E694" s="25"/>
      <c r="F694" s="25"/>
      <c r="G694" s="26"/>
      <c r="H694" s="4"/>
    </row>
    <row r="695">
      <c r="D695" s="25"/>
      <c r="E695" s="25"/>
      <c r="F695" s="25"/>
      <c r="G695" s="26"/>
      <c r="H695" s="4"/>
    </row>
    <row r="696">
      <c r="D696" s="25"/>
      <c r="E696" s="25"/>
      <c r="F696" s="25"/>
      <c r="G696" s="26"/>
      <c r="H696" s="4"/>
    </row>
    <row r="697">
      <c r="D697" s="25"/>
      <c r="E697" s="25"/>
      <c r="F697" s="25"/>
      <c r="G697" s="26"/>
      <c r="H697" s="4"/>
    </row>
    <row r="698">
      <c r="D698" s="25"/>
      <c r="E698" s="25"/>
      <c r="F698" s="25"/>
      <c r="G698" s="26"/>
      <c r="H698" s="4"/>
    </row>
    <row r="699">
      <c r="D699" s="25"/>
      <c r="E699" s="25"/>
      <c r="F699" s="25"/>
      <c r="G699" s="26"/>
      <c r="H699" s="4"/>
    </row>
    <row r="700">
      <c r="D700" s="25"/>
      <c r="E700" s="25"/>
      <c r="F700" s="25"/>
      <c r="G700" s="26"/>
      <c r="H700" s="4"/>
    </row>
    <row r="701">
      <c r="D701" s="25"/>
      <c r="E701" s="25"/>
      <c r="F701" s="25"/>
      <c r="G701" s="26"/>
      <c r="H701" s="4"/>
    </row>
    <row r="702">
      <c r="D702" s="25"/>
      <c r="E702" s="25"/>
      <c r="F702" s="25"/>
      <c r="G702" s="26"/>
      <c r="H702" s="4"/>
    </row>
    <row r="703">
      <c r="D703" s="25"/>
      <c r="E703" s="25"/>
      <c r="F703" s="25"/>
      <c r="G703" s="26"/>
      <c r="H703" s="4"/>
    </row>
    <row r="704">
      <c r="D704" s="25"/>
      <c r="E704" s="25"/>
      <c r="F704" s="25"/>
      <c r="G704" s="26"/>
      <c r="H704" s="4"/>
    </row>
    <row r="705">
      <c r="D705" s="25"/>
      <c r="E705" s="25"/>
      <c r="F705" s="25"/>
      <c r="G705" s="26"/>
      <c r="H705" s="4"/>
    </row>
    <row r="706">
      <c r="D706" s="25"/>
      <c r="E706" s="25"/>
      <c r="F706" s="25"/>
      <c r="G706" s="26"/>
      <c r="H706" s="4"/>
    </row>
    <row r="707">
      <c r="D707" s="25"/>
      <c r="E707" s="25"/>
      <c r="F707" s="25"/>
      <c r="G707" s="26"/>
      <c r="H707" s="4"/>
    </row>
    <row r="708">
      <c r="D708" s="25"/>
      <c r="E708" s="25"/>
      <c r="F708" s="25"/>
      <c r="G708" s="26"/>
      <c r="H708" s="4"/>
    </row>
    <row r="709">
      <c r="D709" s="25"/>
      <c r="E709" s="25"/>
      <c r="F709" s="25"/>
      <c r="G709" s="26"/>
      <c r="H709" s="4"/>
    </row>
    <row r="710">
      <c r="D710" s="25"/>
      <c r="E710" s="25"/>
      <c r="F710" s="25"/>
      <c r="G710" s="26"/>
      <c r="H710" s="4"/>
    </row>
    <row r="711">
      <c r="D711" s="25"/>
      <c r="E711" s="25"/>
      <c r="F711" s="25"/>
      <c r="G711" s="26"/>
      <c r="H711" s="4"/>
    </row>
    <row r="712">
      <c r="D712" s="25"/>
      <c r="E712" s="25"/>
      <c r="F712" s="25"/>
      <c r="G712" s="26"/>
      <c r="H712" s="4"/>
    </row>
    <row r="713">
      <c r="D713" s="25"/>
      <c r="E713" s="25"/>
      <c r="F713" s="25"/>
      <c r="G713" s="26"/>
      <c r="H713" s="4"/>
    </row>
    <row r="714">
      <c r="D714" s="25"/>
      <c r="E714" s="25"/>
      <c r="F714" s="25"/>
      <c r="G714" s="26"/>
      <c r="H714" s="4"/>
    </row>
    <row r="715">
      <c r="D715" s="25"/>
      <c r="E715" s="25"/>
      <c r="F715" s="25"/>
      <c r="G715" s="26"/>
      <c r="H715" s="4"/>
    </row>
    <row r="716">
      <c r="D716" s="25"/>
      <c r="E716" s="25"/>
      <c r="F716" s="25"/>
      <c r="G716" s="26"/>
      <c r="H716" s="4"/>
    </row>
    <row r="717">
      <c r="D717" s="25"/>
      <c r="E717" s="25"/>
      <c r="F717" s="25"/>
      <c r="G717" s="26"/>
      <c r="H717" s="4"/>
    </row>
    <row r="718">
      <c r="D718" s="25"/>
      <c r="E718" s="25"/>
      <c r="F718" s="25"/>
      <c r="G718" s="26"/>
      <c r="H718" s="4"/>
    </row>
    <row r="719">
      <c r="D719" s="25"/>
      <c r="E719" s="25"/>
      <c r="F719" s="25"/>
      <c r="G719" s="26"/>
      <c r="H719" s="4"/>
    </row>
    <row r="720">
      <c r="D720" s="25"/>
      <c r="E720" s="25"/>
      <c r="F720" s="25"/>
      <c r="G720" s="26"/>
      <c r="H720" s="4"/>
    </row>
    <row r="721">
      <c r="D721" s="25"/>
      <c r="E721" s="25"/>
      <c r="F721" s="25"/>
      <c r="G721" s="26"/>
      <c r="H721" s="4"/>
    </row>
    <row r="722">
      <c r="D722" s="25"/>
      <c r="E722" s="25"/>
      <c r="F722" s="25"/>
      <c r="G722" s="26"/>
      <c r="H722" s="4"/>
    </row>
    <row r="723">
      <c r="D723" s="25"/>
      <c r="E723" s="25"/>
      <c r="F723" s="25"/>
      <c r="G723" s="26"/>
      <c r="H723" s="4"/>
    </row>
    <row r="724">
      <c r="D724" s="25"/>
      <c r="E724" s="25"/>
      <c r="F724" s="25"/>
      <c r="G724" s="26"/>
      <c r="H724" s="4"/>
    </row>
    <row r="725">
      <c r="D725" s="25"/>
      <c r="E725" s="25"/>
      <c r="F725" s="25"/>
      <c r="G725" s="26"/>
      <c r="H725" s="4"/>
    </row>
    <row r="726">
      <c r="D726" s="25"/>
      <c r="E726" s="25"/>
      <c r="F726" s="25"/>
      <c r="G726" s="26"/>
      <c r="H726" s="4"/>
    </row>
    <row r="727">
      <c r="D727" s="25"/>
      <c r="E727" s="25"/>
      <c r="F727" s="25"/>
      <c r="G727" s="26"/>
      <c r="H727" s="4"/>
    </row>
    <row r="728">
      <c r="D728" s="25"/>
      <c r="E728" s="25"/>
      <c r="F728" s="25"/>
      <c r="G728" s="26"/>
      <c r="H728" s="4"/>
    </row>
    <row r="729">
      <c r="D729" s="25"/>
      <c r="E729" s="25"/>
      <c r="F729" s="25"/>
      <c r="G729" s="26"/>
      <c r="H729" s="4"/>
    </row>
    <row r="730">
      <c r="D730" s="25"/>
      <c r="E730" s="25"/>
      <c r="F730" s="25"/>
      <c r="G730" s="26"/>
      <c r="H730" s="4"/>
    </row>
    <row r="731">
      <c r="D731" s="25"/>
      <c r="E731" s="25"/>
      <c r="F731" s="25"/>
      <c r="G731" s="26"/>
      <c r="H731" s="4"/>
    </row>
    <row r="732">
      <c r="D732" s="25"/>
      <c r="E732" s="25"/>
      <c r="F732" s="25"/>
      <c r="G732" s="26"/>
      <c r="H732" s="4"/>
    </row>
    <row r="733">
      <c r="D733" s="25"/>
      <c r="E733" s="25"/>
      <c r="F733" s="25"/>
      <c r="G733" s="26"/>
      <c r="H733" s="4"/>
    </row>
    <row r="734">
      <c r="D734" s="25"/>
      <c r="E734" s="25"/>
      <c r="F734" s="25"/>
      <c r="G734" s="26"/>
      <c r="H734" s="4"/>
    </row>
    <row r="735">
      <c r="D735" s="25"/>
      <c r="E735" s="25"/>
      <c r="F735" s="25"/>
      <c r="G735" s="26"/>
      <c r="H735" s="4"/>
    </row>
    <row r="736">
      <c r="D736" s="25"/>
      <c r="E736" s="25"/>
      <c r="F736" s="25"/>
      <c r="G736" s="26"/>
      <c r="H736" s="4"/>
    </row>
    <row r="737">
      <c r="D737" s="25"/>
      <c r="E737" s="25"/>
      <c r="F737" s="25"/>
      <c r="G737" s="26"/>
      <c r="H737" s="4"/>
    </row>
    <row r="738">
      <c r="D738" s="25"/>
      <c r="E738" s="25"/>
      <c r="F738" s="25"/>
      <c r="G738" s="26"/>
      <c r="H738" s="4"/>
    </row>
    <row r="739">
      <c r="D739" s="25"/>
      <c r="E739" s="25"/>
      <c r="F739" s="25"/>
      <c r="G739" s="26"/>
      <c r="H739" s="4"/>
    </row>
    <row r="740">
      <c r="D740" s="25"/>
      <c r="E740" s="25"/>
      <c r="F740" s="25"/>
      <c r="G740" s="26"/>
      <c r="H740" s="4"/>
    </row>
    <row r="741">
      <c r="D741" s="25"/>
      <c r="E741" s="25"/>
      <c r="F741" s="25"/>
      <c r="G741" s="26"/>
      <c r="H741" s="4"/>
    </row>
    <row r="742">
      <c r="D742" s="25"/>
      <c r="E742" s="25"/>
      <c r="F742" s="25"/>
      <c r="G742" s="26"/>
      <c r="H742" s="4"/>
    </row>
    <row r="743">
      <c r="D743" s="25"/>
      <c r="E743" s="25"/>
      <c r="F743" s="25"/>
      <c r="G743" s="26"/>
      <c r="H743" s="4"/>
    </row>
    <row r="744">
      <c r="D744" s="25"/>
      <c r="E744" s="25"/>
      <c r="F744" s="25"/>
      <c r="G744" s="26"/>
      <c r="H744" s="4"/>
    </row>
    <row r="745">
      <c r="D745" s="25"/>
      <c r="E745" s="25"/>
      <c r="F745" s="25"/>
      <c r="G745" s="26"/>
      <c r="H745" s="4"/>
    </row>
    <row r="746">
      <c r="D746" s="25"/>
      <c r="E746" s="25"/>
      <c r="F746" s="25"/>
      <c r="G746" s="26"/>
      <c r="H746" s="4"/>
    </row>
    <row r="747">
      <c r="D747" s="25"/>
      <c r="E747" s="25"/>
      <c r="F747" s="25"/>
      <c r="G747" s="26"/>
      <c r="H747" s="4"/>
    </row>
    <row r="748">
      <c r="D748" s="25"/>
      <c r="E748" s="25"/>
      <c r="F748" s="25"/>
      <c r="G748" s="26"/>
      <c r="H748" s="4"/>
    </row>
    <row r="749">
      <c r="D749" s="25"/>
      <c r="E749" s="25"/>
      <c r="F749" s="25"/>
      <c r="G749" s="26"/>
      <c r="H749" s="4"/>
    </row>
    <row r="750">
      <c r="D750" s="25"/>
      <c r="E750" s="25"/>
      <c r="F750" s="25"/>
      <c r="G750" s="26"/>
      <c r="H750" s="4"/>
    </row>
    <row r="751">
      <c r="D751" s="25"/>
      <c r="E751" s="25"/>
      <c r="F751" s="25"/>
      <c r="G751" s="26"/>
      <c r="H751" s="4"/>
    </row>
    <row r="752">
      <c r="D752" s="25"/>
      <c r="E752" s="25"/>
      <c r="F752" s="25"/>
      <c r="G752" s="26"/>
      <c r="H752" s="4"/>
    </row>
    <row r="753">
      <c r="D753" s="25"/>
      <c r="E753" s="25"/>
      <c r="F753" s="25"/>
      <c r="G753" s="26"/>
      <c r="H753" s="4"/>
    </row>
    <row r="754">
      <c r="D754" s="25"/>
      <c r="E754" s="25"/>
      <c r="F754" s="25"/>
      <c r="G754" s="26"/>
      <c r="H754" s="4"/>
    </row>
    <row r="755">
      <c r="D755" s="25"/>
      <c r="E755" s="25"/>
      <c r="F755" s="25"/>
      <c r="G755" s="26"/>
      <c r="H755" s="4"/>
    </row>
    <row r="756">
      <c r="D756" s="25"/>
      <c r="E756" s="25"/>
      <c r="F756" s="25"/>
      <c r="G756" s="26"/>
      <c r="H756" s="4"/>
    </row>
    <row r="757">
      <c r="D757" s="25"/>
      <c r="E757" s="25"/>
      <c r="F757" s="25"/>
      <c r="G757" s="26"/>
      <c r="H757" s="4"/>
    </row>
    <row r="758">
      <c r="D758" s="25"/>
      <c r="E758" s="25"/>
      <c r="F758" s="25"/>
      <c r="G758" s="26"/>
      <c r="H758" s="4"/>
    </row>
    <row r="759">
      <c r="D759" s="25"/>
      <c r="E759" s="25"/>
      <c r="F759" s="25"/>
      <c r="G759" s="26"/>
      <c r="H759" s="4"/>
    </row>
    <row r="760">
      <c r="D760" s="25"/>
      <c r="E760" s="25"/>
      <c r="F760" s="25"/>
      <c r="G760" s="26"/>
      <c r="H760" s="4"/>
    </row>
    <row r="761">
      <c r="D761" s="25"/>
      <c r="E761" s="25"/>
      <c r="F761" s="25"/>
      <c r="G761" s="26"/>
      <c r="H761" s="4"/>
    </row>
    <row r="762">
      <c r="D762" s="25"/>
      <c r="E762" s="25"/>
      <c r="F762" s="25"/>
      <c r="G762" s="26"/>
      <c r="H762" s="4"/>
    </row>
    <row r="763">
      <c r="D763" s="25"/>
      <c r="E763" s="25"/>
      <c r="F763" s="25"/>
      <c r="G763" s="26"/>
      <c r="H763" s="4"/>
    </row>
    <row r="764">
      <c r="D764" s="25"/>
      <c r="E764" s="25"/>
      <c r="F764" s="25"/>
      <c r="G764" s="26"/>
      <c r="H764" s="4"/>
    </row>
    <row r="765">
      <c r="D765" s="25"/>
      <c r="E765" s="25"/>
      <c r="F765" s="25"/>
      <c r="G765" s="26"/>
      <c r="H765" s="4"/>
    </row>
    <row r="766">
      <c r="D766" s="25"/>
      <c r="E766" s="25"/>
      <c r="F766" s="25"/>
      <c r="G766" s="26"/>
      <c r="H766" s="4"/>
    </row>
    <row r="767">
      <c r="D767" s="25"/>
      <c r="E767" s="25"/>
      <c r="F767" s="25"/>
      <c r="G767" s="26"/>
      <c r="H767" s="4"/>
    </row>
    <row r="768">
      <c r="D768" s="25"/>
      <c r="E768" s="25"/>
      <c r="F768" s="25"/>
      <c r="G768" s="26"/>
      <c r="H768" s="4"/>
    </row>
    <row r="769">
      <c r="D769" s="25"/>
      <c r="E769" s="25"/>
      <c r="F769" s="25"/>
      <c r="G769" s="26"/>
      <c r="H769" s="4"/>
    </row>
    <row r="770">
      <c r="D770" s="25"/>
      <c r="E770" s="25"/>
      <c r="F770" s="25"/>
      <c r="G770" s="26"/>
      <c r="H770" s="4"/>
    </row>
    <row r="771">
      <c r="D771" s="25"/>
      <c r="E771" s="25"/>
      <c r="F771" s="25"/>
      <c r="G771" s="26"/>
      <c r="H771" s="4"/>
    </row>
    <row r="772">
      <c r="D772" s="25"/>
      <c r="E772" s="25"/>
      <c r="F772" s="25"/>
      <c r="G772" s="26"/>
      <c r="H772" s="4"/>
    </row>
    <row r="773">
      <c r="D773" s="25"/>
      <c r="E773" s="25"/>
      <c r="F773" s="25"/>
      <c r="G773" s="26"/>
      <c r="H773" s="4"/>
    </row>
    <row r="774">
      <c r="D774" s="25"/>
      <c r="E774" s="25"/>
      <c r="F774" s="25"/>
      <c r="G774" s="26"/>
      <c r="H774" s="4"/>
    </row>
    <row r="775">
      <c r="D775" s="25"/>
      <c r="E775" s="25"/>
      <c r="F775" s="25"/>
      <c r="G775" s="26"/>
      <c r="H775" s="4"/>
    </row>
    <row r="776">
      <c r="D776" s="25"/>
      <c r="E776" s="25"/>
      <c r="F776" s="25"/>
      <c r="G776" s="26"/>
      <c r="H776" s="4"/>
    </row>
    <row r="777">
      <c r="D777" s="25"/>
      <c r="E777" s="25"/>
      <c r="F777" s="25"/>
      <c r="G777" s="26"/>
      <c r="H777" s="4"/>
    </row>
    <row r="778">
      <c r="D778" s="25"/>
      <c r="E778" s="25"/>
      <c r="F778" s="25"/>
      <c r="G778" s="26"/>
      <c r="H778" s="4"/>
    </row>
    <row r="779">
      <c r="D779" s="25"/>
      <c r="E779" s="25"/>
      <c r="F779" s="25"/>
      <c r="G779" s="26"/>
      <c r="H779" s="4"/>
    </row>
    <row r="780">
      <c r="D780" s="25"/>
      <c r="E780" s="25"/>
      <c r="F780" s="25"/>
      <c r="G780" s="26"/>
      <c r="H780" s="4"/>
    </row>
    <row r="781">
      <c r="D781" s="25"/>
      <c r="E781" s="25"/>
      <c r="F781" s="25"/>
      <c r="G781" s="26"/>
      <c r="H781" s="4"/>
    </row>
    <row r="782">
      <c r="D782" s="25"/>
      <c r="E782" s="25"/>
      <c r="F782" s="25"/>
      <c r="G782" s="26"/>
      <c r="H782" s="4"/>
    </row>
    <row r="783">
      <c r="D783" s="25"/>
      <c r="E783" s="25"/>
      <c r="F783" s="25"/>
      <c r="G783" s="26"/>
      <c r="H783" s="4"/>
    </row>
    <row r="784">
      <c r="D784" s="25"/>
      <c r="E784" s="25"/>
      <c r="F784" s="25"/>
      <c r="G784" s="26"/>
      <c r="H784" s="4"/>
    </row>
    <row r="785">
      <c r="D785" s="25"/>
      <c r="E785" s="25"/>
      <c r="F785" s="25"/>
      <c r="G785" s="26"/>
      <c r="H785" s="4"/>
    </row>
    <row r="786">
      <c r="D786" s="25"/>
      <c r="E786" s="25"/>
      <c r="F786" s="25"/>
      <c r="G786" s="26"/>
      <c r="H786" s="4"/>
    </row>
    <row r="787">
      <c r="D787" s="25"/>
      <c r="E787" s="25"/>
      <c r="F787" s="25"/>
      <c r="G787" s="26"/>
      <c r="H787" s="4"/>
    </row>
    <row r="788">
      <c r="D788" s="25"/>
      <c r="E788" s="25"/>
      <c r="F788" s="25"/>
      <c r="G788" s="26"/>
      <c r="H788" s="4"/>
    </row>
    <row r="789">
      <c r="D789" s="25"/>
      <c r="E789" s="25"/>
      <c r="F789" s="25"/>
      <c r="G789" s="26"/>
      <c r="H789" s="4"/>
    </row>
    <row r="790">
      <c r="D790" s="25"/>
      <c r="E790" s="25"/>
      <c r="F790" s="25"/>
      <c r="G790" s="26"/>
      <c r="H790" s="4"/>
    </row>
    <row r="791">
      <c r="D791" s="25"/>
      <c r="E791" s="25"/>
      <c r="F791" s="25"/>
      <c r="G791" s="26"/>
      <c r="H791" s="4"/>
    </row>
    <row r="792">
      <c r="D792" s="25"/>
      <c r="E792" s="25"/>
      <c r="F792" s="25"/>
      <c r="G792" s="26"/>
      <c r="H792" s="4"/>
    </row>
    <row r="793">
      <c r="D793" s="25"/>
      <c r="E793" s="25"/>
      <c r="F793" s="25"/>
      <c r="G793" s="26"/>
      <c r="H793" s="4"/>
    </row>
    <row r="794">
      <c r="D794" s="25"/>
      <c r="E794" s="25"/>
      <c r="F794" s="25"/>
      <c r="G794" s="26"/>
      <c r="H794" s="4"/>
    </row>
    <row r="795">
      <c r="D795" s="25"/>
      <c r="E795" s="25"/>
      <c r="F795" s="25"/>
      <c r="G795" s="26"/>
      <c r="H795" s="4"/>
    </row>
    <row r="796">
      <c r="D796" s="25"/>
      <c r="E796" s="25"/>
      <c r="F796" s="25"/>
      <c r="G796" s="26"/>
      <c r="H796" s="4"/>
    </row>
    <row r="797">
      <c r="D797" s="25"/>
      <c r="E797" s="25"/>
      <c r="F797" s="25"/>
      <c r="G797" s="26"/>
      <c r="H797" s="4"/>
    </row>
    <row r="798">
      <c r="D798" s="25"/>
      <c r="E798" s="25"/>
      <c r="F798" s="25"/>
      <c r="G798" s="26"/>
      <c r="H798" s="4"/>
    </row>
    <row r="799">
      <c r="D799" s="25"/>
      <c r="E799" s="25"/>
      <c r="F799" s="25"/>
      <c r="G799" s="26"/>
      <c r="H799" s="4"/>
    </row>
    <row r="800">
      <c r="D800" s="25"/>
      <c r="E800" s="25"/>
      <c r="F800" s="25"/>
      <c r="G800" s="26"/>
      <c r="H800" s="4"/>
    </row>
    <row r="801">
      <c r="D801" s="25"/>
      <c r="E801" s="25"/>
      <c r="F801" s="25"/>
      <c r="G801" s="26"/>
      <c r="H801" s="4"/>
    </row>
    <row r="802">
      <c r="D802" s="25"/>
      <c r="E802" s="25"/>
      <c r="F802" s="25"/>
      <c r="G802" s="26"/>
      <c r="H802" s="4"/>
    </row>
    <row r="803">
      <c r="D803" s="25"/>
      <c r="E803" s="25"/>
      <c r="F803" s="25"/>
      <c r="G803" s="26"/>
      <c r="H803" s="4"/>
    </row>
    <row r="804">
      <c r="D804" s="25"/>
      <c r="E804" s="25"/>
      <c r="F804" s="25"/>
      <c r="G804" s="26"/>
      <c r="H804" s="4"/>
    </row>
    <row r="805">
      <c r="D805" s="25"/>
      <c r="E805" s="25"/>
      <c r="F805" s="25"/>
      <c r="G805" s="26"/>
      <c r="H805" s="4"/>
    </row>
    <row r="806">
      <c r="D806" s="25"/>
      <c r="E806" s="25"/>
      <c r="F806" s="25"/>
      <c r="G806" s="26"/>
      <c r="H806" s="4"/>
    </row>
    <row r="807">
      <c r="D807" s="25"/>
      <c r="E807" s="25"/>
      <c r="F807" s="25"/>
      <c r="G807" s="26"/>
      <c r="H807" s="4"/>
    </row>
    <row r="808">
      <c r="D808" s="25"/>
      <c r="E808" s="25"/>
      <c r="F808" s="25"/>
      <c r="G808" s="26"/>
      <c r="H808" s="4"/>
    </row>
    <row r="809">
      <c r="D809" s="25"/>
      <c r="E809" s="25"/>
      <c r="F809" s="25"/>
      <c r="G809" s="26"/>
      <c r="H809" s="4"/>
    </row>
    <row r="810">
      <c r="D810" s="25"/>
      <c r="E810" s="25"/>
      <c r="F810" s="25"/>
      <c r="G810" s="26"/>
      <c r="H810" s="4"/>
    </row>
    <row r="811">
      <c r="D811" s="25"/>
      <c r="E811" s="25"/>
      <c r="F811" s="25"/>
      <c r="G811" s="26"/>
      <c r="H811" s="4"/>
    </row>
    <row r="812">
      <c r="D812" s="25"/>
      <c r="E812" s="25"/>
      <c r="F812" s="25"/>
      <c r="G812" s="26"/>
      <c r="H812" s="4"/>
    </row>
    <row r="813">
      <c r="D813" s="25"/>
      <c r="E813" s="25"/>
      <c r="F813" s="25"/>
      <c r="G813" s="26"/>
      <c r="H813" s="4"/>
    </row>
    <row r="814">
      <c r="D814" s="25"/>
      <c r="E814" s="25"/>
      <c r="F814" s="25"/>
      <c r="G814" s="26"/>
      <c r="H814" s="4"/>
    </row>
    <row r="815">
      <c r="D815" s="25"/>
      <c r="E815" s="25"/>
      <c r="F815" s="25"/>
      <c r="G815" s="26"/>
      <c r="H815" s="4"/>
    </row>
    <row r="816">
      <c r="D816" s="25"/>
      <c r="E816" s="25"/>
      <c r="F816" s="25"/>
      <c r="G816" s="26"/>
      <c r="H816" s="4"/>
    </row>
    <row r="817">
      <c r="D817" s="25"/>
      <c r="E817" s="25"/>
      <c r="F817" s="25"/>
      <c r="G817" s="26"/>
      <c r="H817" s="4"/>
    </row>
    <row r="818">
      <c r="D818" s="25"/>
      <c r="E818" s="25"/>
      <c r="F818" s="25"/>
      <c r="G818" s="26"/>
      <c r="H818" s="4"/>
    </row>
    <row r="819">
      <c r="D819" s="25"/>
      <c r="E819" s="25"/>
      <c r="F819" s="25"/>
      <c r="G819" s="26"/>
      <c r="H819" s="4"/>
    </row>
    <row r="820">
      <c r="D820" s="25"/>
      <c r="E820" s="25"/>
      <c r="F820" s="25"/>
      <c r="G820" s="26"/>
      <c r="H820" s="4"/>
    </row>
    <row r="821">
      <c r="D821" s="25"/>
      <c r="E821" s="25"/>
      <c r="F821" s="25"/>
      <c r="G821" s="26"/>
      <c r="H821" s="4"/>
    </row>
    <row r="822">
      <c r="D822" s="25"/>
      <c r="E822" s="25"/>
      <c r="F822" s="25"/>
      <c r="G822" s="26"/>
      <c r="H822" s="4"/>
    </row>
    <row r="823">
      <c r="D823" s="25"/>
      <c r="E823" s="25"/>
      <c r="F823" s="25"/>
      <c r="G823" s="26"/>
      <c r="H823" s="4"/>
    </row>
    <row r="824">
      <c r="D824" s="25"/>
      <c r="E824" s="25"/>
      <c r="F824" s="25"/>
      <c r="G824" s="26"/>
      <c r="H824" s="4"/>
    </row>
    <row r="825">
      <c r="D825" s="25"/>
      <c r="E825" s="25"/>
      <c r="F825" s="25"/>
      <c r="G825" s="26"/>
      <c r="H825" s="4"/>
    </row>
    <row r="826">
      <c r="D826" s="25"/>
      <c r="E826" s="25"/>
      <c r="F826" s="25"/>
      <c r="G826" s="26"/>
      <c r="H826" s="4"/>
    </row>
    <row r="827">
      <c r="D827" s="25"/>
      <c r="E827" s="25"/>
      <c r="F827" s="25"/>
      <c r="G827" s="26"/>
      <c r="H827" s="4"/>
    </row>
    <row r="828">
      <c r="D828" s="25"/>
      <c r="E828" s="25"/>
      <c r="F828" s="25"/>
      <c r="G828" s="26"/>
      <c r="H828" s="4"/>
    </row>
    <row r="829">
      <c r="D829" s="25"/>
      <c r="E829" s="25"/>
      <c r="F829" s="25"/>
      <c r="G829" s="26"/>
      <c r="H829" s="4"/>
    </row>
    <row r="830">
      <c r="D830" s="25"/>
      <c r="E830" s="25"/>
      <c r="F830" s="25"/>
      <c r="G830" s="26"/>
      <c r="H830" s="4"/>
    </row>
    <row r="831">
      <c r="D831" s="25"/>
      <c r="E831" s="25"/>
      <c r="F831" s="25"/>
      <c r="G831" s="26"/>
      <c r="H831" s="4"/>
    </row>
    <row r="832">
      <c r="D832" s="25"/>
      <c r="E832" s="25"/>
      <c r="F832" s="25"/>
      <c r="G832" s="26"/>
      <c r="H832" s="4"/>
    </row>
    <row r="833">
      <c r="D833" s="25"/>
      <c r="E833" s="25"/>
      <c r="F833" s="25"/>
      <c r="G833" s="26"/>
      <c r="H833" s="4"/>
    </row>
    <row r="834">
      <c r="D834" s="25"/>
      <c r="E834" s="25"/>
      <c r="F834" s="25"/>
      <c r="G834" s="26"/>
      <c r="H834" s="4"/>
    </row>
    <row r="835">
      <c r="D835" s="25"/>
      <c r="E835" s="25"/>
      <c r="F835" s="25"/>
      <c r="G835" s="26"/>
      <c r="H835" s="4"/>
    </row>
    <row r="836">
      <c r="D836" s="25"/>
      <c r="E836" s="25"/>
      <c r="F836" s="25"/>
      <c r="G836" s="26"/>
      <c r="H836" s="4"/>
    </row>
    <row r="837">
      <c r="D837" s="25"/>
      <c r="E837" s="25"/>
      <c r="F837" s="25"/>
      <c r="G837" s="26"/>
      <c r="H837" s="4"/>
    </row>
    <row r="838">
      <c r="D838" s="25"/>
      <c r="E838" s="25"/>
      <c r="F838" s="25"/>
      <c r="G838" s="26"/>
      <c r="H838" s="4"/>
    </row>
    <row r="839">
      <c r="D839" s="25"/>
      <c r="E839" s="25"/>
      <c r="F839" s="25"/>
      <c r="G839" s="26"/>
      <c r="H839" s="4"/>
    </row>
    <row r="840">
      <c r="D840" s="25"/>
      <c r="E840" s="25"/>
      <c r="F840" s="25"/>
      <c r="G840" s="26"/>
      <c r="H840" s="4"/>
    </row>
    <row r="841">
      <c r="D841" s="25"/>
      <c r="E841" s="25"/>
      <c r="F841" s="25"/>
      <c r="G841" s="26"/>
      <c r="H841" s="4"/>
    </row>
    <row r="842">
      <c r="D842" s="25"/>
      <c r="E842" s="25"/>
      <c r="F842" s="25"/>
      <c r="G842" s="26"/>
      <c r="H842" s="4"/>
    </row>
    <row r="843">
      <c r="D843" s="25"/>
      <c r="E843" s="25"/>
      <c r="F843" s="25"/>
      <c r="G843" s="26"/>
      <c r="H843" s="4"/>
    </row>
    <row r="844">
      <c r="D844" s="25"/>
      <c r="E844" s="25"/>
      <c r="F844" s="25"/>
      <c r="G844" s="26"/>
      <c r="H844" s="4"/>
    </row>
    <row r="845">
      <c r="D845" s="25"/>
      <c r="E845" s="25"/>
      <c r="F845" s="25"/>
      <c r="G845" s="26"/>
      <c r="H845" s="4"/>
    </row>
    <row r="846">
      <c r="D846" s="25"/>
      <c r="E846" s="25"/>
      <c r="F846" s="25"/>
      <c r="G846" s="26"/>
      <c r="H846" s="4"/>
    </row>
    <row r="847">
      <c r="D847" s="25"/>
      <c r="E847" s="25"/>
      <c r="F847" s="25"/>
      <c r="G847" s="26"/>
      <c r="H847" s="4"/>
    </row>
    <row r="848">
      <c r="D848" s="25"/>
      <c r="E848" s="25"/>
      <c r="F848" s="25"/>
      <c r="G848" s="26"/>
      <c r="H848" s="4"/>
    </row>
    <row r="849">
      <c r="D849" s="25"/>
      <c r="E849" s="25"/>
      <c r="F849" s="25"/>
      <c r="G849" s="26"/>
      <c r="H849" s="4"/>
    </row>
    <row r="850">
      <c r="D850" s="25"/>
      <c r="E850" s="25"/>
      <c r="F850" s="25"/>
      <c r="G850" s="26"/>
      <c r="H850" s="4"/>
    </row>
    <row r="851">
      <c r="D851" s="25"/>
      <c r="E851" s="25"/>
      <c r="F851" s="25"/>
      <c r="G851" s="26"/>
      <c r="H851" s="4"/>
    </row>
    <row r="852">
      <c r="D852" s="25"/>
      <c r="E852" s="25"/>
      <c r="F852" s="25"/>
      <c r="G852" s="26"/>
      <c r="H852" s="4"/>
    </row>
    <row r="853">
      <c r="D853" s="25"/>
      <c r="E853" s="25"/>
      <c r="F853" s="25"/>
      <c r="G853" s="26"/>
      <c r="H853" s="4"/>
    </row>
    <row r="854">
      <c r="D854" s="25"/>
      <c r="E854" s="25"/>
      <c r="F854" s="25"/>
      <c r="G854" s="26"/>
      <c r="H854" s="4"/>
    </row>
    <row r="855">
      <c r="D855" s="25"/>
      <c r="E855" s="25"/>
      <c r="F855" s="25"/>
      <c r="G855" s="26"/>
      <c r="H855" s="4"/>
    </row>
    <row r="856">
      <c r="D856" s="25"/>
      <c r="E856" s="25"/>
      <c r="F856" s="25"/>
      <c r="G856" s="26"/>
      <c r="H856" s="4"/>
    </row>
    <row r="857">
      <c r="D857" s="25"/>
      <c r="E857" s="25"/>
      <c r="F857" s="25"/>
      <c r="G857" s="26"/>
      <c r="H857" s="4"/>
    </row>
    <row r="858">
      <c r="D858" s="25"/>
      <c r="E858" s="25"/>
      <c r="F858" s="25"/>
      <c r="G858" s="26"/>
      <c r="H858" s="4"/>
    </row>
    <row r="859">
      <c r="D859" s="25"/>
      <c r="E859" s="25"/>
      <c r="F859" s="25"/>
      <c r="G859" s="26"/>
      <c r="H859" s="4"/>
    </row>
    <row r="860">
      <c r="D860" s="25"/>
      <c r="E860" s="25"/>
      <c r="F860" s="25"/>
      <c r="G860" s="26"/>
      <c r="H860" s="4"/>
    </row>
    <row r="861">
      <c r="D861" s="25"/>
      <c r="E861" s="25"/>
      <c r="F861" s="25"/>
      <c r="G861" s="26"/>
      <c r="H861" s="4"/>
    </row>
    <row r="862">
      <c r="D862" s="25"/>
      <c r="E862" s="25"/>
      <c r="F862" s="25"/>
      <c r="G862" s="26"/>
      <c r="H862" s="4"/>
    </row>
    <row r="863">
      <c r="D863" s="25"/>
      <c r="E863" s="25"/>
      <c r="F863" s="25"/>
      <c r="G863" s="26"/>
      <c r="H863" s="4"/>
    </row>
    <row r="864">
      <c r="D864" s="25"/>
      <c r="E864" s="25"/>
      <c r="F864" s="25"/>
      <c r="G864" s="26"/>
      <c r="H864" s="4"/>
    </row>
    <row r="865">
      <c r="D865" s="25"/>
      <c r="E865" s="25"/>
      <c r="F865" s="25"/>
      <c r="G865" s="26"/>
      <c r="H865" s="4"/>
    </row>
    <row r="866">
      <c r="D866" s="25"/>
      <c r="E866" s="25"/>
      <c r="F866" s="25"/>
      <c r="G866" s="26"/>
      <c r="H866" s="4"/>
    </row>
    <row r="867">
      <c r="D867" s="25"/>
      <c r="E867" s="25"/>
      <c r="F867" s="25"/>
      <c r="G867" s="26"/>
      <c r="H867" s="4"/>
    </row>
    <row r="868">
      <c r="D868" s="25"/>
      <c r="E868" s="25"/>
      <c r="F868" s="25"/>
      <c r="G868" s="26"/>
      <c r="H868" s="4"/>
    </row>
    <row r="869">
      <c r="D869" s="25"/>
      <c r="E869" s="25"/>
      <c r="F869" s="25"/>
      <c r="G869" s="26"/>
      <c r="H869" s="4"/>
    </row>
    <row r="870">
      <c r="D870" s="25"/>
      <c r="E870" s="25"/>
      <c r="F870" s="25"/>
      <c r="G870" s="26"/>
      <c r="H870" s="4"/>
    </row>
    <row r="871">
      <c r="D871" s="25"/>
      <c r="E871" s="25"/>
      <c r="F871" s="25"/>
      <c r="G871" s="26"/>
      <c r="H871" s="4"/>
    </row>
    <row r="872">
      <c r="D872" s="25"/>
      <c r="E872" s="25"/>
      <c r="F872" s="25"/>
      <c r="G872" s="26"/>
      <c r="H872" s="4"/>
    </row>
    <row r="873">
      <c r="D873" s="25"/>
      <c r="E873" s="25"/>
      <c r="F873" s="25"/>
      <c r="G873" s="26"/>
      <c r="H873" s="4"/>
    </row>
    <row r="874">
      <c r="D874" s="25"/>
      <c r="E874" s="25"/>
      <c r="F874" s="25"/>
      <c r="G874" s="26"/>
      <c r="H874" s="4"/>
    </row>
    <row r="875">
      <c r="D875" s="25"/>
      <c r="E875" s="25"/>
      <c r="F875" s="25"/>
      <c r="G875" s="26"/>
      <c r="H875" s="4"/>
    </row>
    <row r="876">
      <c r="D876" s="25"/>
      <c r="E876" s="25"/>
      <c r="F876" s="25"/>
      <c r="G876" s="26"/>
      <c r="H876" s="4"/>
    </row>
    <row r="877">
      <c r="D877" s="25"/>
      <c r="E877" s="25"/>
      <c r="F877" s="25"/>
      <c r="G877" s="26"/>
      <c r="H877" s="4"/>
    </row>
    <row r="878">
      <c r="D878" s="25"/>
      <c r="E878" s="25"/>
      <c r="F878" s="25"/>
      <c r="G878" s="26"/>
      <c r="H878" s="4"/>
    </row>
    <row r="879">
      <c r="D879" s="25"/>
      <c r="E879" s="25"/>
      <c r="F879" s="25"/>
      <c r="G879" s="26"/>
      <c r="H879" s="4"/>
    </row>
    <row r="880">
      <c r="D880" s="25"/>
      <c r="E880" s="25"/>
      <c r="F880" s="25"/>
      <c r="G880" s="26"/>
      <c r="H880" s="4"/>
    </row>
    <row r="881">
      <c r="D881" s="25"/>
      <c r="E881" s="25"/>
      <c r="F881" s="25"/>
      <c r="G881" s="26"/>
      <c r="H881" s="4"/>
    </row>
    <row r="882">
      <c r="D882" s="25"/>
      <c r="E882" s="25"/>
      <c r="F882" s="25"/>
      <c r="G882" s="26"/>
      <c r="H882" s="4"/>
    </row>
    <row r="883">
      <c r="D883" s="25"/>
      <c r="E883" s="25"/>
      <c r="F883" s="25"/>
      <c r="G883" s="26"/>
      <c r="H883" s="4"/>
    </row>
    <row r="884">
      <c r="D884" s="25"/>
      <c r="E884" s="25"/>
      <c r="F884" s="25"/>
      <c r="G884" s="26"/>
      <c r="H884" s="4"/>
    </row>
    <row r="885">
      <c r="D885" s="25"/>
      <c r="E885" s="25"/>
      <c r="F885" s="25"/>
      <c r="G885" s="26"/>
      <c r="H885" s="4"/>
    </row>
    <row r="886">
      <c r="D886" s="25"/>
      <c r="E886" s="25"/>
      <c r="F886" s="25"/>
      <c r="G886" s="26"/>
      <c r="H886" s="4"/>
    </row>
    <row r="887">
      <c r="D887" s="25"/>
      <c r="E887" s="25"/>
      <c r="F887" s="25"/>
      <c r="G887" s="26"/>
      <c r="H887" s="4"/>
    </row>
    <row r="888">
      <c r="D888" s="25"/>
      <c r="E888" s="25"/>
      <c r="F888" s="25"/>
      <c r="G888" s="26"/>
      <c r="H888" s="4"/>
    </row>
    <row r="889">
      <c r="D889" s="25"/>
      <c r="E889" s="25"/>
      <c r="F889" s="25"/>
      <c r="G889" s="26"/>
      <c r="H889" s="4"/>
    </row>
    <row r="890">
      <c r="D890" s="25"/>
      <c r="E890" s="25"/>
      <c r="F890" s="25"/>
      <c r="G890" s="26"/>
      <c r="H890" s="4"/>
    </row>
    <row r="891">
      <c r="D891" s="25"/>
      <c r="E891" s="25"/>
      <c r="F891" s="25"/>
      <c r="G891" s="26"/>
      <c r="H891" s="4"/>
    </row>
    <row r="892">
      <c r="D892" s="25"/>
      <c r="E892" s="25"/>
      <c r="F892" s="25"/>
      <c r="G892" s="26"/>
      <c r="H892" s="4"/>
    </row>
    <row r="893">
      <c r="D893" s="25"/>
      <c r="E893" s="25"/>
      <c r="F893" s="25"/>
      <c r="G893" s="26"/>
      <c r="H893" s="4"/>
    </row>
    <row r="894">
      <c r="D894" s="25"/>
      <c r="E894" s="25"/>
      <c r="F894" s="25"/>
      <c r="G894" s="26"/>
      <c r="H894" s="4"/>
    </row>
    <row r="895">
      <c r="D895" s="25"/>
      <c r="E895" s="25"/>
      <c r="F895" s="25"/>
      <c r="G895" s="26"/>
      <c r="H895" s="4"/>
    </row>
    <row r="896">
      <c r="D896" s="25"/>
      <c r="E896" s="25"/>
      <c r="F896" s="25"/>
      <c r="G896" s="26"/>
      <c r="H896" s="4"/>
    </row>
    <row r="897">
      <c r="D897" s="25"/>
      <c r="E897" s="25"/>
      <c r="F897" s="25"/>
      <c r="G897" s="26"/>
      <c r="H897" s="4"/>
    </row>
    <row r="898">
      <c r="D898" s="25"/>
      <c r="E898" s="25"/>
      <c r="F898" s="25"/>
      <c r="G898" s="26"/>
      <c r="H898" s="4"/>
    </row>
    <row r="899">
      <c r="D899" s="25"/>
      <c r="E899" s="25"/>
      <c r="F899" s="25"/>
      <c r="G899" s="26"/>
      <c r="H899" s="4"/>
    </row>
    <row r="900">
      <c r="D900" s="25"/>
      <c r="E900" s="25"/>
      <c r="F900" s="25"/>
      <c r="G900" s="26"/>
      <c r="H900" s="4"/>
    </row>
    <row r="901">
      <c r="D901" s="25"/>
      <c r="E901" s="25"/>
      <c r="F901" s="25"/>
      <c r="G901" s="26"/>
      <c r="H901" s="4"/>
    </row>
    <row r="902">
      <c r="D902" s="25"/>
      <c r="E902" s="25"/>
      <c r="F902" s="25"/>
      <c r="G902" s="26"/>
      <c r="H902" s="4"/>
    </row>
    <row r="903">
      <c r="D903" s="25"/>
      <c r="E903" s="25"/>
      <c r="F903" s="25"/>
      <c r="G903" s="26"/>
      <c r="H903" s="4"/>
    </row>
    <row r="904">
      <c r="D904" s="25"/>
      <c r="E904" s="25"/>
      <c r="F904" s="25"/>
      <c r="G904" s="26"/>
      <c r="H904" s="4"/>
    </row>
    <row r="905">
      <c r="D905" s="25"/>
      <c r="E905" s="25"/>
      <c r="F905" s="25"/>
      <c r="G905" s="26"/>
      <c r="H905" s="4"/>
    </row>
    <row r="906">
      <c r="D906" s="25"/>
      <c r="E906" s="25"/>
      <c r="F906" s="25"/>
      <c r="G906" s="26"/>
      <c r="H906" s="4"/>
    </row>
    <row r="907">
      <c r="D907" s="25"/>
      <c r="E907" s="25"/>
      <c r="F907" s="25"/>
      <c r="G907" s="26"/>
      <c r="H907" s="4"/>
    </row>
    <row r="908">
      <c r="D908" s="25"/>
      <c r="E908" s="25"/>
      <c r="F908" s="25"/>
      <c r="G908" s="26"/>
      <c r="H908" s="4"/>
    </row>
    <row r="909">
      <c r="D909" s="25"/>
      <c r="E909" s="25"/>
      <c r="F909" s="25"/>
      <c r="G909" s="26"/>
      <c r="H909" s="4"/>
    </row>
    <row r="910">
      <c r="D910" s="25"/>
      <c r="E910" s="25"/>
      <c r="F910" s="25"/>
      <c r="G910" s="26"/>
      <c r="H910" s="4"/>
    </row>
    <row r="911">
      <c r="D911" s="25"/>
      <c r="E911" s="25"/>
      <c r="F911" s="25"/>
      <c r="G911" s="26"/>
      <c r="H911" s="4"/>
    </row>
    <row r="912">
      <c r="D912" s="25"/>
      <c r="E912" s="25"/>
      <c r="F912" s="25"/>
      <c r="G912" s="26"/>
      <c r="H912" s="4"/>
    </row>
    <row r="913">
      <c r="D913" s="25"/>
      <c r="E913" s="25"/>
      <c r="F913" s="25"/>
      <c r="G913" s="26"/>
      <c r="H913" s="4"/>
    </row>
    <row r="914">
      <c r="D914" s="25"/>
      <c r="E914" s="25"/>
      <c r="F914" s="25"/>
      <c r="G914" s="26"/>
      <c r="H914" s="4"/>
    </row>
    <row r="915">
      <c r="D915" s="25"/>
      <c r="E915" s="25"/>
      <c r="F915" s="25"/>
      <c r="G915" s="26"/>
      <c r="H915" s="4"/>
    </row>
    <row r="916">
      <c r="D916" s="25"/>
      <c r="E916" s="25"/>
      <c r="F916" s="25"/>
      <c r="G916" s="26"/>
      <c r="H916" s="4"/>
    </row>
    <row r="917">
      <c r="D917" s="25"/>
      <c r="E917" s="25"/>
      <c r="F917" s="25"/>
      <c r="G917" s="26"/>
      <c r="H917" s="4"/>
    </row>
    <row r="918">
      <c r="D918" s="25"/>
      <c r="E918" s="25"/>
      <c r="F918" s="25"/>
      <c r="G918" s="26"/>
      <c r="H918" s="4"/>
    </row>
    <row r="919">
      <c r="D919" s="25"/>
      <c r="E919" s="25"/>
      <c r="F919" s="25"/>
      <c r="G919" s="26"/>
      <c r="H919" s="4"/>
    </row>
    <row r="920">
      <c r="D920" s="25"/>
      <c r="E920" s="25"/>
      <c r="F920" s="25"/>
      <c r="G920" s="26"/>
      <c r="H920" s="4"/>
    </row>
    <row r="921">
      <c r="D921" s="25"/>
      <c r="E921" s="25"/>
      <c r="F921" s="25"/>
      <c r="G921" s="26"/>
      <c r="H921" s="4"/>
    </row>
    <row r="922">
      <c r="D922" s="25"/>
      <c r="E922" s="25"/>
      <c r="F922" s="25"/>
      <c r="G922" s="26"/>
      <c r="H922" s="4"/>
    </row>
    <row r="923">
      <c r="D923" s="25"/>
      <c r="E923" s="25"/>
      <c r="F923" s="25"/>
      <c r="G923" s="26"/>
      <c r="H923" s="4"/>
    </row>
    <row r="924">
      <c r="D924" s="25"/>
      <c r="E924" s="25"/>
      <c r="F924" s="25"/>
      <c r="G924" s="26"/>
      <c r="H924" s="4"/>
    </row>
    <row r="925">
      <c r="D925" s="25"/>
      <c r="E925" s="25"/>
      <c r="F925" s="25"/>
      <c r="G925" s="26"/>
      <c r="H925" s="4"/>
    </row>
    <row r="926">
      <c r="D926" s="25"/>
      <c r="E926" s="25"/>
      <c r="F926" s="25"/>
      <c r="G926" s="26"/>
      <c r="H926" s="4"/>
    </row>
    <row r="927">
      <c r="D927" s="25"/>
      <c r="E927" s="25"/>
      <c r="F927" s="25"/>
      <c r="G927" s="26"/>
      <c r="H927" s="4"/>
    </row>
    <row r="928">
      <c r="D928" s="25"/>
      <c r="E928" s="25"/>
      <c r="F928" s="25"/>
      <c r="G928" s="26"/>
      <c r="H928" s="4"/>
    </row>
    <row r="929">
      <c r="D929" s="25"/>
      <c r="E929" s="25"/>
      <c r="F929" s="25"/>
      <c r="G929" s="26"/>
      <c r="H929" s="4"/>
    </row>
    <row r="930">
      <c r="D930" s="25"/>
      <c r="E930" s="25"/>
      <c r="F930" s="25"/>
      <c r="G930" s="26"/>
      <c r="H930" s="4"/>
    </row>
    <row r="931">
      <c r="D931" s="25"/>
      <c r="E931" s="25"/>
      <c r="F931" s="25"/>
      <c r="G931" s="26"/>
      <c r="H931" s="4"/>
    </row>
    <row r="932">
      <c r="D932" s="25"/>
      <c r="E932" s="25"/>
      <c r="F932" s="25"/>
      <c r="G932" s="26"/>
      <c r="H932" s="4"/>
    </row>
    <row r="933">
      <c r="D933" s="25"/>
      <c r="E933" s="25"/>
      <c r="F933" s="25"/>
      <c r="G933" s="26"/>
      <c r="H933" s="4"/>
    </row>
    <row r="934">
      <c r="D934" s="25"/>
      <c r="E934" s="25"/>
      <c r="F934" s="25"/>
      <c r="G934" s="26"/>
      <c r="H934" s="4"/>
    </row>
    <row r="935">
      <c r="D935" s="25"/>
      <c r="E935" s="25"/>
      <c r="F935" s="25"/>
      <c r="G935" s="26"/>
      <c r="H935" s="4"/>
    </row>
    <row r="936">
      <c r="D936" s="25"/>
      <c r="E936" s="25"/>
      <c r="F936" s="25"/>
      <c r="G936" s="26"/>
      <c r="H936" s="4"/>
    </row>
    <row r="937">
      <c r="D937" s="25"/>
      <c r="E937" s="25"/>
      <c r="F937" s="25"/>
      <c r="G937" s="26"/>
      <c r="H937" s="4"/>
    </row>
    <row r="938">
      <c r="D938" s="25"/>
      <c r="E938" s="25"/>
      <c r="F938" s="25"/>
      <c r="G938" s="26"/>
      <c r="H938" s="4"/>
    </row>
    <row r="939">
      <c r="D939" s="25"/>
      <c r="E939" s="25"/>
      <c r="F939" s="25"/>
      <c r="G939" s="26"/>
      <c r="H939" s="4"/>
    </row>
    <row r="940">
      <c r="D940" s="25"/>
      <c r="E940" s="25"/>
      <c r="F940" s="25"/>
      <c r="G940" s="26"/>
      <c r="H940" s="4"/>
    </row>
    <row r="941">
      <c r="D941" s="25"/>
      <c r="E941" s="25"/>
      <c r="F941" s="25"/>
      <c r="G941" s="26"/>
      <c r="H941" s="4"/>
    </row>
    <row r="942">
      <c r="D942" s="25"/>
      <c r="E942" s="25"/>
      <c r="F942" s="25"/>
      <c r="G942" s="26"/>
      <c r="H942" s="4"/>
    </row>
    <row r="943">
      <c r="D943" s="25"/>
      <c r="E943" s="25"/>
      <c r="F943" s="25"/>
      <c r="G943" s="26"/>
      <c r="H943" s="4"/>
    </row>
    <row r="944">
      <c r="D944" s="25"/>
      <c r="E944" s="25"/>
      <c r="F944" s="25"/>
      <c r="G944" s="26"/>
      <c r="H944" s="4"/>
    </row>
    <row r="945">
      <c r="D945" s="25"/>
      <c r="E945" s="25"/>
      <c r="F945" s="25"/>
      <c r="G945" s="26"/>
      <c r="H945" s="4"/>
    </row>
    <row r="946">
      <c r="D946" s="25"/>
      <c r="E946" s="25"/>
      <c r="F946" s="25"/>
      <c r="G946" s="26"/>
      <c r="H946" s="4"/>
    </row>
    <row r="947">
      <c r="D947" s="25"/>
      <c r="E947" s="25"/>
      <c r="F947" s="25"/>
      <c r="G947" s="26"/>
      <c r="H947" s="4"/>
    </row>
    <row r="948">
      <c r="D948" s="25"/>
      <c r="E948" s="25"/>
      <c r="F948" s="25"/>
      <c r="G948" s="26"/>
      <c r="H948" s="4"/>
    </row>
    <row r="949">
      <c r="D949" s="25"/>
      <c r="E949" s="25"/>
      <c r="F949" s="25"/>
      <c r="G949" s="26"/>
      <c r="H949" s="4"/>
    </row>
    <row r="950">
      <c r="D950" s="25"/>
      <c r="E950" s="25"/>
      <c r="F950" s="25"/>
      <c r="G950" s="26"/>
      <c r="H950" s="4"/>
    </row>
    <row r="951">
      <c r="D951" s="25"/>
      <c r="E951" s="25"/>
      <c r="F951" s="25"/>
      <c r="G951" s="26"/>
      <c r="H951" s="4"/>
    </row>
    <row r="952">
      <c r="D952" s="25"/>
      <c r="E952" s="25"/>
      <c r="F952" s="25"/>
      <c r="G952" s="26"/>
      <c r="H952" s="4"/>
    </row>
    <row r="953">
      <c r="D953" s="25"/>
      <c r="E953" s="25"/>
      <c r="F953" s="25"/>
      <c r="G953" s="26"/>
      <c r="H953" s="4"/>
    </row>
    <row r="954">
      <c r="D954" s="25"/>
      <c r="E954" s="25"/>
      <c r="F954" s="25"/>
      <c r="G954" s="26"/>
      <c r="H954" s="4"/>
    </row>
    <row r="955">
      <c r="D955" s="25"/>
      <c r="E955" s="25"/>
      <c r="F955" s="25"/>
      <c r="G955" s="26"/>
      <c r="H955" s="4"/>
    </row>
    <row r="956">
      <c r="D956" s="25"/>
      <c r="E956" s="25"/>
      <c r="F956" s="25"/>
      <c r="G956" s="26"/>
      <c r="H956" s="4"/>
    </row>
    <row r="957">
      <c r="D957" s="25"/>
      <c r="E957" s="25"/>
      <c r="F957" s="25"/>
      <c r="G957" s="26"/>
      <c r="H957" s="4"/>
    </row>
    <row r="958">
      <c r="D958" s="25"/>
      <c r="E958" s="25"/>
      <c r="F958" s="25"/>
      <c r="G958" s="26"/>
      <c r="H958" s="4"/>
    </row>
    <row r="959">
      <c r="D959" s="25"/>
      <c r="E959" s="25"/>
      <c r="F959" s="25"/>
      <c r="G959" s="26"/>
      <c r="H959" s="4"/>
    </row>
    <row r="960">
      <c r="D960" s="25"/>
      <c r="E960" s="25"/>
      <c r="F960" s="25"/>
      <c r="G960" s="26"/>
      <c r="H960" s="4"/>
    </row>
    <row r="961">
      <c r="D961" s="25"/>
      <c r="E961" s="25"/>
      <c r="F961" s="25"/>
      <c r="G961" s="26"/>
      <c r="H961" s="4"/>
    </row>
    <row r="962">
      <c r="D962" s="25"/>
      <c r="E962" s="25"/>
      <c r="F962" s="25"/>
      <c r="G962" s="26"/>
      <c r="H962" s="4"/>
    </row>
    <row r="963">
      <c r="D963" s="25"/>
      <c r="E963" s="25"/>
      <c r="F963" s="25"/>
      <c r="G963" s="26"/>
      <c r="H963" s="4"/>
    </row>
    <row r="964">
      <c r="D964" s="25"/>
      <c r="E964" s="25"/>
      <c r="F964" s="25"/>
      <c r="G964" s="26"/>
      <c r="H964" s="4"/>
    </row>
    <row r="965">
      <c r="D965" s="25"/>
      <c r="E965" s="25"/>
      <c r="F965" s="25"/>
      <c r="G965" s="26"/>
      <c r="H965" s="4"/>
    </row>
    <row r="966">
      <c r="D966" s="25"/>
      <c r="E966" s="25"/>
      <c r="F966" s="25"/>
      <c r="G966" s="26"/>
      <c r="H966" s="4"/>
    </row>
    <row r="967">
      <c r="D967" s="25"/>
      <c r="E967" s="25"/>
      <c r="F967" s="25"/>
      <c r="G967" s="26"/>
      <c r="H967" s="4"/>
    </row>
    <row r="968">
      <c r="D968" s="25"/>
      <c r="E968" s="25"/>
      <c r="F968" s="25"/>
      <c r="G968" s="26"/>
      <c r="H968" s="4"/>
    </row>
    <row r="969">
      <c r="D969" s="25"/>
      <c r="E969" s="25"/>
      <c r="F969" s="25"/>
      <c r="G969" s="26"/>
      <c r="H969" s="4"/>
    </row>
    <row r="970">
      <c r="D970" s="25"/>
      <c r="E970" s="25"/>
      <c r="F970" s="25"/>
      <c r="G970" s="26"/>
      <c r="H970" s="4"/>
    </row>
    <row r="971">
      <c r="D971" s="25"/>
      <c r="E971" s="25"/>
      <c r="F971" s="25"/>
      <c r="G971" s="26"/>
      <c r="H971" s="4"/>
    </row>
    <row r="972">
      <c r="D972" s="25"/>
      <c r="E972" s="25"/>
      <c r="F972" s="25"/>
      <c r="G972" s="26"/>
      <c r="H972" s="4"/>
    </row>
    <row r="973">
      <c r="D973" s="25"/>
      <c r="E973" s="25"/>
      <c r="F973" s="25"/>
      <c r="G973" s="26"/>
      <c r="H973" s="4"/>
    </row>
    <row r="974">
      <c r="D974" s="25"/>
      <c r="E974" s="25"/>
      <c r="F974" s="25"/>
      <c r="G974" s="26"/>
      <c r="H974" s="4"/>
    </row>
    <row r="975">
      <c r="D975" s="25"/>
      <c r="E975" s="25"/>
      <c r="F975" s="25"/>
      <c r="G975" s="26"/>
      <c r="H975" s="4"/>
    </row>
    <row r="976">
      <c r="D976" s="25"/>
      <c r="E976" s="25"/>
      <c r="F976" s="25"/>
      <c r="G976" s="26"/>
      <c r="H976" s="4"/>
    </row>
    <row r="977">
      <c r="D977" s="25"/>
      <c r="E977" s="25"/>
      <c r="F977" s="25"/>
      <c r="G977" s="26"/>
      <c r="H977" s="4"/>
    </row>
    <row r="978">
      <c r="D978" s="25"/>
      <c r="E978" s="25"/>
      <c r="F978" s="25"/>
      <c r="G978" s="26"/>
      <c r="H978" s="4"/>
    </row>
    <row r="979">
      <c r="D979" s="25"/>
      <c r="E979" s="25"/>
      <c r="F979" s="25"/>
      <c r="G979" s="26"/>
      <c r="H979" s="4"/>
    </row>
    <row r="980">
      <c r="D980" s="25"/>
      <c r="E980" s="25"/>
      <c r="F980" s="25"/>
      <c r="G980" s="26"/>
      <c r="H980" s="4"/>
    </row>
    <row r="981">
      <c r="D981" s="25"/>
      <c r="E981" s="25"/>
      <c r="F981" s="25"/>
      <c r="G981" s="26"/>
      <c r="H981" s="4"/>
    </row>
    <row r="982">
      <c r="D982" s="25"/>
      <c r="E982" s="25"/>
      <c r="F982" s="25"/>
      <c r="G982" s="26"/>
      <c r="H982" s="4"/>
    </row>
    <row r="983">
      <c r="D983" s="25"/>
      <c r="E983" s="25"/>
      <c r="F983" s="25"/>
      <c r="G983" s="26"/>
      <c r="H983" s="4"/>
    </row>
    <row r="984">
      <c r="D984" s="25"/>
      <c r="E984" s="25"/>
      <c r="F984" s="25"/>
      <c r="G984" s="26"/>
      <c r="H984" s="4"/>
    </row>
    <row r="985">
      <c r="D985" s="25"/>
      <c r="E985" s="25"/>
      <c r="F985" s="25"/>
      <c r="G985" s="26"/>
      <c r="H985" s="4"/>
    </row>
    <row r="986">
      <c r="D986" s="25"/>
      <c r="E986" s="25"/>
      <c r="F986" s="25"/>
      <c r="G986" s="26"/>
      <c r="H986" s="4"/>
    </row>
    <row r="987">
      <c r="D987" s="25"/>
      <c r="E987" s="25"/>
      <c r="F987" s="25"/>
      <c r="G987" s="26"/>
      <c r="H987" s="4"/>
    </row>
    <row r="988">
      <c r="D988" s="25"/>
      <c r="E988" s="25"/>
      <c r="F988" s="25"/>
      <c r="G988" s="26"/>
      <c r="H988" s="4"/>
    </row>
    <row r="989">
      <c r="D989" s="25"/>
      <c r="E989" s="25"/>
      <c r="F989" s="25"/>
      <c r="G989" s="26"/>
      <c r="H989" s="4"/>
    </row>
    <row r="990">
      <c r="D990" s="25"/>
      <c r="E990" s="25"/>
      <c r="F990" s="25"/>
      <c r="G990" s="26"/>
      <c r="H990" s="4"/>
    </row>
    <row r="991">
      <c r="D991" s="25"/>
      <c r="E991" s="25"/>
      <c r="F991" s="25"/>
      <c r="G991" s="26"/>
      <c r="H991" s="4"/>
    </row>
    <row r="992">
      <c r="D992" s="25"/>
      <c r="E992" s="25"/>
      <c r="F992" s="25"/>
      <c r="G992" s="26"/>
      <c r="H992" s="4"/>
    </row>
    <row r="993">
      <c r="D993" s="25"/>
      <c r="E993" s="25"/>
      <c r="F993" s="25"/>
      <c r="G993" s="26"/>
      <c r="H993" s="4"/>
    </row>
    <row r="994">
      <c r="D994" s="25"/>
      <c r="E994" s="25"/>
      <c r="F994" s="25"/>
      <c r="G994" s="26"/>
      <c r="H994" s="4"/>
    </row>
    <row r="995">
      <c r="D995" s="25"/>
      <c r="E995" s="25"/>
      <c r="F995" s="25"/>
      <c r="G995" s="26"/>
      <c r="H995" s="4"/>
    </row>
    <row r="996">
      <c r="D996" s="25"/>
      <c r="E996" s="25"/>
      <c r="F996" s="25"/>
      <c r="G996" s="26"/>
      <c r="H996" s="4"/>
    </row>
    <row r="997">
      <c r="D997" s="25"/>
      <c r="E997" s="25"/>
      <c r="F997" s="25"/>
      <c r="G997" s="26"/>
      <c r="H997" s="4"/>
    </row>
    <row r="998">
      <c r="D998" s="25"/>
      <c r="E998" s="25"/>
      <c r="F998" s="25"/>
      <c r="G998" s="26"/>
      <c r="H998" s="4"/>
    </row>
    <row r="999">
      <c r="D999" s="25"/>
      <c r="E999" s="25"/>
      <c r="F999" s="25"/>
      <c r="G999" s="26"/>
      <c r="H999" s="4"/>
    </row>
    <row r="1000"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632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IFERROR(__xludf.DUMMYFUNCTION("IMPORTRANGE(""https://docs.google.com/spreadsheets/d/1DFRcGPovJgC9-GCiu8rRslhNRxqKKfun1os-t6SM3Ng/edit#gid=1120027332"",""Leaders!A3:G502"")"),"Luke Sikma")</f>
        <v>Luke Sikma</v>
      </c>
      <c r="B3" s="13" t="str">
        <f>IFERROR(__xludf.DUMMYFUNCTION("""COMPUTED_VALUE"""),"BER")</f>
        <v>BER</v>
      </c>
      <c r="C3" s="14">
        <f>IFERROR(__xludf.DUMMYFUNCTION("""COMPUTED_VALUE"""),1255.2)</f>
        <v>1255.2</v>
      </c>
      <c r="D3" s="15">
        <f>IFERROR(__xludf.DUMMYFUNCTION("""COMPUTED_VALUE"""),2.549280933102265)</f>
        <v>2.549280933</v>
      </c>
      <c r="E3" s="15">
        <f>IFERROR(__xludf.DUMMYFUNCTION("""COMPUTED_VALUE"""),7.1658808461101415)</f>
        <v>7.165880846</v>
      </c>
      <c r="F3" s="15">
        <f>IFERROR(__xludf.DUMMYFUNCTION("""COMPUTED_VALUE"""),9.715161779212407)</f>
        <v>9.715161779</v>
      </c>
      <c r="G3" s="17">
        <f>IFERROR(__xludf.DUMMYFUNCTION("""COMPUTED_VALUE"""),4.448034001531025)</f>
        <v>4.448034002</v>
      </c>
      <c r="H3" s="4"/>
      <c r="I3" s="5" t="s">
        <v>633</v>
      </c>
      <c r="J3" s="5" t="s">
        <v>634</v>
      </c>
      <c r="K3" s="24">
        <v>1051.0</v>
      </c>
      <c r="L3" s="5">
        <v>5.49757</v>
      </c>
      <c r="M3" s="5">
        <v>5.60863</v>
      </c>
      <c r="N3" s="5">
        <v>11.1062</v>
      </c>
      <c r="O3" s="5">
        <v>4.17182</v>
      </c>
    </row>
    <row r="4">
      <c r="A4" s="18" t="str">
        <f>IFERROR(__xludf.DUMMYFUNCTION("""COMPUTED_VALUE"""),"Thomas Walkup")</f>
        <v>Thomas Walkup</v>
      </c>
      <c r="B4" s="19" t="str">
        <f>IFERROR(__xludf.DUMMYFUNCTION("""COMPUTED_VALUE"""),"LUD")</f>
        <v>LUD</v>
      </c>
      <c r="C4" s="20">
        <f>IFERROR(__xludf.DUMMYFUNCTION("""COMPUTED_VALUE"""),1077.1)</f>
        <v>1077.1</v>
      </c>
      <c r="D4" s="21">
        <f>IFERROR(__xludf.DUMMYFUNCTION("""COMPUTED_VALUE"""),4.225814697948542)</f>
        <v>4.225814698</v>
      </c>
      <c r="E4" s="21">
        <f>IFERROR(__xludf.DUMMYFUNCTION("""COMPUTED_VALUE"""),4.923685880853385)</f>
        <v>4.923685881</v>
      </c>
      <c r="F4" s="21">
        <f>IFERROR(__xludf.DUMMYFUNCTION("""COMPUTED_VALUE"""),9.149500578801927)</f>
        <v>9.149500579</v>
      </c>
      <c r="G4" s="23">
        <f>IFERROR(__xludf.DUMMYFUNCTION("""COMPUTED_VALUE"""),3.7312648996345903)</f>
        <v>3.7312649</v>
      </c>
      <c r="H4" s="4"/>
      <c r="I4" s="5" t="s">
        <v>635</v>
      </c>
      <c r="J4" s="5" t="s">
        <v>636</v>
      </c>
      <c r="K4" s="24">
        <v>1019.0</v>
      </c>
      <c r="L4" s="5">
        <v>5.53427</v>
      </c>
      <c r="M4" s="5">
        <v>4.23846</v>
      </c>
      <c r="N4" s="5">
        <v>9.77273</v>
      </c>
      <c r="O4" s="5">
        <v>3.72577</v>
      </c>
    </row>
    <row r="5">
      <c r="A5" s="12" t="str">
        <f>IFERROR(__xludf.DUMMYFUNCTION("""COMPUTED_VALUE"""),"Marius Grigonis")</f>
        <v>Marius Grigonis</v>
      </c>
      <c r="B5" s="13" t="str">
        <f>IFERROR(__xludf.DUMMYFUNCTION("""COMPUTED_VALUE"""),"BER")</f>
        <v>BER</v>
      </c>
      <c r="C5" s="14">
        <f>IFERROR(__xludf.DUMMYFUNCTION("""COMPUTED_VALUE"""),1162.2)</f>
        <v>1162.2</v>
      </c>
      <c r="D5" s="15">
        <f>IFERROR(__xludf.DUMMYFUNCTION("""COMPUTED_VALUE"""),3.582716113570171)</f>
        <v>3.582716114</v>
      </c>
      <c r="E5" s="15">
        <f>IFERROR(__xludf.DUMMYFUNCTION("""COMPUTED_VALUE"""),3.2774815081006037)</f>
        <v>3.277481508</v>
      </c>
      <c r="F5" s="15">
        <f>IFERROR(__xludf.DUMMYFUNCTION("""COMPUTED_VALUE"""),6.860197621670775)</f>
        <v>6.860197622</v>
      </c>
      <c r="G5" s="17">
        <f>IFERROR(__xludf.DUMMYFUNCTION("""COMPUTED_VALUE"""),3.114807109551381)</f>
        <v>3.11480711</v>
      </c>
      <c r="H5" s="4"/>
      <c r="I5" s="5" t="s">
        <v>637</v>
      </c>
      <c r="J5" s="5" t="s">
        <v>634</v>
      </c>
      <c r="K5" s="5">
        <v>990.0</v>
      </c>
      <c r="L5" s="5">
        <v>5.66871</v>
      </c>
      <c r="M5" s="5">
        <v>1.75543</v>
      </c>
      <c r="N5" s="5">
        <v>7.42414</v>
      </c>
      <c r="O5" s="5">
        <v>2.82588</v>
      </c>
    </row>
    <row r="6">
      <c r="A6" s="18" t="str">
        <f>IFERROR(__xludf.DUMMYFUNCTION("""COMPUTED_VALUE"""),"Braydon Hobbs")</f>
        <v>Braydon Hobbs</v>
      </c>
      <c r="B6" s="19" t="str">
        <f>IFERROR(__xludf.DUMMYFUNCTION("""COMPUTED_VALUE"""),"BAY")</f>
        <v>BAY</v>
      </c>
      <c r="C6" s="20">
        <f>IFERROR(__xludf.DUMMYFUNCTION("""COMPUTED_VALUE"""),742.5)</f>
        <v>742.5</v>
      </c>
      <c r="D6" s="21">
        <f>IFERROR(__xludf.DUMMYFUNCTION("""COMPUTED_VALUE"""),3.6787648377715736)</f>
        <v>3.678764838</v>
      </c>
      <c r="E6" s="21">
        <f>IFERROR(__xludf.DUMMYFUNCTION("""COMPUTED_VALUE"""),3.053988876644675)</f>
        <v>3.053988877</v>
      </c>
      <c r="F6" s="21">
        <f>IFERROR(__xludf.DUMMYFUNCTION("""COMPUTED_VALUE"""),6.732753714416249)</f>
        <v>6.732753714</v>
      </c>
      <c r="G6" s="23">
        <f>IFERROR(__xludf.DUMMYFUNCTION("""COMPUTED_VALUE"""),3.953747510380291)</f>
        <v>3.95374751</v>
      </c>
      <c r="H6" s="4"/>
      <c r="I6" s="5" t="s">
        <v>640</v>
      </c>
      <c r="J6" s="5" t="s">
        <v>636</v>
      </c>
      <c r="K6" s="5">
        <v>608.0</v>
      </c>
      <c r="L6" s="5">
        <v>1.33762</v>
      </c>
      <c r="M6" s="5">
        <v>5.6872</v>
      </c>
      <c r="N6" s="5">
        <v>7.02482</v>
      </c>
      <c r="O6" s="5">
        <v>1.70369</v>
      </c>
    </row>
    <row r="7">
      <c r="A7" s="12" t="str">
        <f>IFERROR(__xludf.DUMMYFUNCTION("""COMPUTED_VALUE"""),"Dorell Wright")</f>
        <v>Dorell Wright</v>
      </c>
      <c r="B7" s="13" t="str">
        <f>IFERROR(__xludf.DUMMYFUNCTION("""COMPUTED_VALUE"""),"BRO")</f>
        <v>BRO</v>
      </c>
      <c r="C7" s="14">
        <f>IFERROR(__xludf.DUMMYFUNCTION("""COMPUTED_VALUE"""),888.4)</f>
        <v>888.4</v>
      </c>
      <c r="D7" s="15">
        <f>IFERROR(__xludf.DUMMYFUNCTION("""COMPUTED_VALUE"""),4.079808112899703)</f>
        <v>4.079808113</v>
      </c>
      <c r="E7" s="15">
        <f>IFERROR(__xludf.DUMMYFUNCTION("""COMPUTED_VALUE"""),2.6427487900226447)</f>
        <v>2.64274879</v>
      </c>
      <c r="F7" s="15">
        <f>IFERROR(__xludf.DUMMYFUNCTION("""COMPUTED_VALUE"""),6.7225569029223475)</f>
        <v>6.722556903</v>
      </c>
      <c r="G7" s="17">
        <f>IFERROR(__xludf.DUMMYFUNCTION("""COMPUTED_VALUE"""),2.3742338939887415)</f>
        <v>2.374233894</v>
      </c>
      <c r="H7" s="4"/>
      <c r="I7" s="5" t="s">
        <v>643</v>
      </c>
      <c r="J7" s="5" t="s">
        <v>644</v>
      </c>
      <c r="K7" s="24">
        <v>684.0</v>
      </c>
      <c r="L7" s="5">
        <v>4.81978</v>
      </c>
      <c r="M7" s="5">
        <v>2.12186</v>
      </c>
      <c r="N7" s="5">
        <v>6.94164</v>
      </c>
      <c r="O7" s="5">
        <v>3.73379</v>
      </c>
    </row>
    <row r="8">
      <c r="A8" s="18" t="str">
        <f>IFERROR(__xludf.DUMMYFUNCTION("""COMPUTED_VALUE"""),"Justin Sears")</f>
        <v>Justin Sears</v>
      </c>
      <c r="B8" s="19" t="str">
        <f>IFERROR(__xludf.DUMMYFUNCTION("""COMPUTED_VALUE"""),"LUD")</f>
        <v>LUD</v>
      </c>
      <c r="C8" s="20">
        <f>IFERROR(__xludf.DUMMYFUNCTION("""COMPUTED_VALUE"""),607.6)</f>
        <v>607.6</v>
      </c>
      <c r="D8" s="21">
        <f>IFERROR(__xludf.DUMMYFUNCTION("""COMPUTED_VALUE"""),0.18435887028168052)</f>
        <v>0.1843588703</v>
      </c>
      <c r="E8" s="21">
        <f>IFERROR(__xludf.DUMMYFUNCTION("""COMPUTED_VALUE"""),6.4640697702181935)</f>
        <v>6.46406977</v>
      </c>
      <c r="F8" s="21">
        <f>IFERROR(__xludf.DUMMYFUNCTION("""COMPUTED_VALUE"""),6.6484286404998745)</f>
        <v>6.64842864</v>
      </c>
      <c r="G8" s="23">
        <f>IFERROR(__xludf.DUMMYFUNCTION("""COMPUTED_VALUE"""),1.6326745156903348)</f>
        <v>1.632674516</v>
      </c>
      <c r="H8" s="4"/>
      <c r="I8" s="5" t="s">
        <v>71</v>
      </c>
      <c r="J8" s="5" t="s">
        <v>72</v>
      </c>
      <c r="K8" s="5">
        <v>801.0</v>
      </c>
      <c r="L8" s="5">
        <v>4.91695</v>
      </c>
      <c r="M8" s="5">
        <v>2.01224</v>
      </c>
      <c r="N8" s="5">
        <v>6.92919</v>
      </c>
      <c r="O8" s="5">
        <v>2.19277</v>
      </c>
    </row>
    <row r="9">
      <c r="A9" s="12" t="str">
        <f>IFERROR(__xludf.DUMMYFUNCTION("""COMPUTED_VALUE"""),"Devin Booker")</f>
        <v>Devin Booker</v>
      </c>
      <c r="B9" s="13" t="str">
        <f>IFERROR(__xludf.DUMMYFUNCTION("""COMPUTED_VALUE"""),"BAY")</f>
        <v>BAY</v>
      </c>
      <c r="C9" s="14">
        <f>IFERROR(__xludf.DUMMYFUNCTION("""COMPUTED_VALUE"""),1072.3)</f>
        <v>1072.3</v>
      </c>
      <c r="D9" s="15">
        <f>IFERROR(__xludf.DUMMYFUNCTION("""COMPUTED_VALUE"""),2.3455755341689977)</f>
        <v>2.345575534</v>
      </c>
      <c r="E9" s="15">
        <f>IFERROR(__xludf.DUMMYFUNCTION("""COMPUTED_VALUE"""),3.2611076432323833)</f>
        <v>3.261107643</v>
      </c>
      <c r="F9" s="15">
        <f>IFERROR(__xludf.DUMMYFUNCTION("""COMPUTED_VALUE"""),5.606683177401381)</f>
        <v>5.606683177</v>
      </c>
      <c r="G9" s="17">
        <f>IFERROR(__xludf.DUMMYFUNCTION("""COMPUTED_VALUE"""),4.973623373659759)</f>
        <v>4.973623374</v>
      </c>
      <c r="H9" s="4"/>
      <c r="I9" s="5" t="s">
        <v>651</v>
      </c>
      <c r="J9" s="5" t="s">
        <v>634</v>
      </c>
      <c r="K9" s="5">
        <v>726.0</v>
      </c>
      <c r="L9" s="5">
        <v>4.20909</v>
      </c>
      <c r="M9" s="5">
        <v>2.11039</v>
      </c>
      <c r="N9" s="5">
        <v>6.31948</v>
      </c>
      <c r="O9" s="5">
        <v>1.83065</v>
      </c>
    </row>
    <row r="10">
      <c r="A10" s="18" t="str">
        <f>IFERROR(__xludf.DUMMYFUNCTION("""COMPUTED_VALUE"""),"Rasid Mahalbasic")</f>
        <v>Rasid Mahalbasic</v>
      </c>
      <c r="B10" s="19" t="str">
        <f>IFERROR(__xludf.DUMMYFUNCTION("""COMPUTED_VALUE"""),"EWE")</f>
        <v>EWE</v>
      </c>
      <c r="C10" s="20">
        <f>IFERROR(__xludf.DUMMYFUNCTION("""COMPUTED_VALUE"""),1009.2)</f>
        <v>1009.2</v>
      </c>
      <c r="D10" s="21">
        <f>IFERROR(__xludf.DUMMYFUNCTION("""COMPUTED_VALUE"""),2.1301845178662826)</f>
        <v>2.130184518</v>
      </c>
      <c r="E10" s="21">
        <f>IFERROR(__xludf.DUMMYFUNCTION("""COMPUTED_VALUE"""),3.422226646333266)</f>
        <v>3.422226646</v>
      </c>
      <c r="F10" s="21">
        <f>IFERROR(__xludf.DUMMYFUNCTION("""COMPUTED_VALUE"""),5.552411164199548)</f>
        <v>5.552411164</v>
      </c>
      <c r="G10" s="23">
        <f>IFERROR(__xludf.DUMMYFUNCTION("""COMPUTED_VALUE"""),2.3162942554891157)</f>
        <v>2.316294255</v>
      </c>
      <c r="H10" s="4"/>
      <c r="I10" s="5" t="s">
        <v>652</v>
      </c>
      <c r="J10" s="5" t="s">
        <v>644</v>
      </c>
      <c r="K10" s="24">
        <v>883.0</v>
      </c>
      <c r="L10" s="5">
        <v>4.1358</v>
      </c>
      <c r="M10" s="5">
        <v>2.13027</v>
      </c>
      <c r="N10" s="5">
        <v>6.26607</v>
      </c>
      <c r="O10" s="5">
        <v>4.45787</v>
      </c>
    </row>
    <row r="11">
      <c r="A11" s="12" t="str">
        <f>IFERROR(__xludf.DUMMYFUNCTION("""COMPUTED_VALUE"""),"Reggie Redding")</f>
        <v>Reggie Redding</v>
      </c>
      <c r="B11" s="13" t="str">
        <f>IFERROR(__xludf.DUMMYFUNCTION("""COMPUTED_VALUE"""),"BAY")</f>
        <v>BAY</v>
      </c>
      <c r="C11" s="14">
        <f>IFERROR(__xludf.DUMMYFUNCTION("""COMPUTED_VALUE"""),1002.6)</f>
        <v>1002.6</v>
      </c>
      <c r="D11" s="15">
        <f>IFERROR(__xludf.DUMMYFUNCTION("""COMPUTED_VALUE"""),1.067388086056442)</f>
        <v>1.067388086</v>
      </c>
      <c r="E11" s="15">
        <f>IFERROR(__xludf.DUMMYFUNCTION("""COMPUTED_VALUE"""),4.168871622171563)</f>
        <v>4.168871622</v>
      </c>
      <c r="F11" s="15">
        <f>IFERROR(__xludf.DUMMYFUNCTION("""COMPUTED_VALUE"""),5.236259708228006)</f>
        <v>5.236259708</v>
      </c>
      <c r="G11" s="17">
        <f>IFERROR(__xludf.DUMMYFUNCTION("""COMPUTED_VALUE"""),4.4238776452958195)</f>
        <v>4.423877645</v>
      </c>
      <c r="H11" s="4"/>
      <c r="I11" s="5" t="s">
        <v>653</v>
      </c>
      <c r="J11" s="5" t="s">
        <v>654</v>
      </c>
      <c r="K11" s="24">
        <v>1009.0</v>
      </c>
      <c r="L11" s="5">
        <v>3.8704</v>
      </c>
      <c r="M11" s="5">
        <v>1.68272</v>
      </c>
      <c r="N11" s="5">
        <v>5.55311</v>
      </c>
      <c r="O11" s="5">
        <v>2.31651</v>
      </c>
    </row>
    <row r="12">
      <c r="A12" s="18" t="str">
        <f>IFERROR(__xludf.DUMMYFUNCTION("""COMPUTED_VALUE"""),"Assem Marei")</f>
        <v>Assem Marei</v>
      </c>
      <c r="B12" s="19" t="str">
        <f>IFERROR(__xludf.DUMMYFUNCTION("""COMPUTED_VALUE"""),"BAY")</f>
        <v>BAY</v>
      </c>
      <c r="C12" s="20">
        <f>IFERROR(__xludf.DUMMYFUNCTION("""COMPUTED_VALUE"""),639.0)</f>
        <v>639</v>
      </c>
      <c r="D12" s="21">
        <f>IFERROR(__xludf.DUMMYFUNCTION("""COMPUTED_VALUE"""),1.0445053420462713)</f>
        <v>1.044505342</v>
      </c>
      <c r="E12" s="21">
        <f>IFERROR(__xludf.DUMMYFUNCTION("""COMPUTED_VALUE"""),4.101575405653373)</f>
        <v>4.101575406</v>
      </c>
      <c r="F12" s="21">
        <f>IFERROR(__xludf.DUMMYFUNCTION("""COMPUTED_VALUE"""),5.146080747699644)</f>
        <v>5.146080748</v>
      </c>
      <c r="G12" s="23">
        <f>IFERROR(__xludf.DUMMYFUNCTION("""COMPUTED_VALUE"""),2.784389829344522)</f>
        <v>2.784389829</v>
      </c>
      <c r="H12" s="4"/>
      <c r="I12" s="5" t="s">
        <v>656</v>
      </c>
      <c r="J12" s="5" t="s">
        <v>644</v>
      </c>
      <c r="K12" s="24">
        <v>639.0</v>
      </c>
      <c r="L12" s="5">
        <v>2.40443</v>
      </c>
      <c r="M12" s="5">
        <v>2.96649</v>
      </c>
      <c r="N12" s="5">
        <v>5.37092</v>
      </c>
      <c r="O12" s="5">
        <v>2.87667</v>
      </c>
    </row>
    <row r="13">
      <c r="A13" s="12" t="str">
        <f>IFERROR(__xludf.DUMMYFUNCTION("""COMPUTED_VALUE"""),"Vladimir Lucic")</f>
        <v>Vladimir Lucic</v>
      </c>
      <c r="B13" s="13" t="str">
        <f>IFERROR(__xludf.DUMMYFUNCTION("""COMPUTED_VALUE"""),"BAY")</f>
        <v>BAY</v>
      </c>
      <c r="C13" s="14">
        <f>IFERROR(__xludf.DUMMYFUNCTION("""COMPUTED_VALUE"""),543.5)</f>
        <v>543.5</v>
      </c>
      <c r="D13" s="15">
        <f>IFERROR(__xludf.DUMMYFUNCTION("""COMPUTED_VALUE"""),2.7495234065413405)</f>
        <v>2.749523407</v>
      </c>
      <c r="E13" s="15">
        <f>IFERROR(__xludf.DUMMYFUNCTION("""COMPUTED_VALUE"""),2.2135889210214743)</f>
        <v>2.213588921</v>
      </c>
      <c r="F13" s="15">
        <f>IFERROR(__xludf.DUMMYFUNCTION("""COMPUTED_VALUE"""),4.963112327562815)</f>
        <v>4.963112328</v>
      </c>
      <c r="G13" s="17">
        <f>IFERROR(__xludf.DUMMYFUNCTION("""COMPUTED_VALUE"""),2.3076195570204927)</f>
        <v>2.307619557</v>
      </c>
      <c r="H13" s="4"/>
      <c r="I13" s="5" t="s">
        <v>657</v>
      </c>
      <c r="J13" s="5" t="s">
        <v>644</v>
      </c>
      <c r="K13" s="24">
        <v>824.0</v>
      </c>
      <c r="L13" s="5">
        <v>2.72121</v>
      </c>
      <c r="M13" s="5">
        <v>2.56428</v>
      </c>
      <c r="N13" s="5">
        <v>5.28549</v>
      </c>
      <c r="O13" s="5">
        <v>3.66652</v>
      </c>
    </row>
    <row r="14">
      <c r="A14" s="18" t="str">
        <f>IFERROR(__xludf.DUMMYFUNCTION("""COMPUTED_VALUE"""),"Joshiko Saibou")</f>
        <v>Joshiko Saibou</v>
      </c>
      <c r="B14" s="19" t="str">
        <f>IFERROR(__xludf.DUMMYFUNCTION("""COMPUTED_VALUE"""),"BER")</f>
        <v>BER</v>
      </c>
      <c r="C14" s="20">
        <f>IFERROR(__xludf.DUMMYFUNCTION("""COMPUTED_VALUE"""),861.6)</f>
        <v>861.6</v>
      </c>
      <c r="D14" s="21">
        <f>IFERROR(__xludf.DUMMYFUNCTION("""COMPUTED_VALUE"""),1.3455023021070454)</f>
        <v>1.345502302</v>
      </c>
      <c r="E14" s="21">
        <f>IFERROR(__xludf.DUMMYFUNCTION("""COMPUTED_VALUE"""),3.606076124243875)</f>
        <v>3.606076124</v>
      </c>
      <c r="F14" s="21">
        <f>IFERROR(__xludf.DUMMYFUNCTION("""COMPUTED_VALUE"""),4.95157842635092)</f>
        <v>4.951578426</v>
      </c>
      <c r="G14" s="23">
        <f>IFERROR(__xludf.DUMMYFUNCTION("""COMPUTED_VALUE"""),1.8117405075731563)</f>
        <v>1.811740508</v>
      </c>
      <c r="H14" s="4"/>
      <c r="I14" s="5" t="s">
        <v>661</v>
      </c>
      <c r="J14" s="5" t="s">
        <v>644</v>
      </c>
      <c r="K14" s="5">
        <v>432.0</v>
      </c>
      <c r="L14" s="5">
        <v>3.82338</v>
      </c>
      <c r="M14" s="5">
        <v>1.40888</v>
      </c>
      <c r="N14" s="5">
        <v>5.23226</v>
      </c>
      <c r="O14" s="5">
        <v>1.90776</v>
      </c>
    </row>
    <row r="15">
      <c r="A15" s="12" t="str">
        <f>IFERROR(__xludf.DUMMYFUNCTION("""COMPUTED_VALUE"""),"Danilo Barthel")</f>
        <v>Danilo Barthel</v>
      </c>
      <c r="B15" s="13" t="str">
        <f>IFERROR(__xludf.DUMMYFUNCTION("""COMPUTED_VALUE"""),"BAY")</f>
        <v>BAY</v>
      </c>
      <c r="C15" s="14">
        <f>IFERROR(__xludf.DUMMYFUNCTION("""COMPUTED_VALUE"""),984.9)</f>
        <v>984.9</v>
      </c>
      <c r="D15" s="15">
        <f>IFERROR(__xludf.DUMMYFUNCTION("""COMPUTED_VALUE"""),1.4835723231609934)</f>
        <v>1.483572323</v>
      </c>
      <c r="E15" s="15">
        <f>IFERROR(__xludf.DUMMYFUNCTION("""COMPUTED_VALUE"""),3.2344318103888074)</f>
        <v>3.23443181</v>
      </c>
      <c r="F15" s="15">
        <f>IFERROR(__xludf.DUMMYFUNCTION("""COMPUTED_VALUE"""),4.718004133549801)</f>
        <v>4.718004134</v>
      </c>
      <c r="G15" s="17">
        <f>IFERROR(__xludf.DUMMYFUNCTION("""COMPUTED_VALUE"""),4.034536654852482)</f>
        <v>4.034536655</v>
      </c>
      <c r="H15" s="4"/>
      <c r="I15" s="5" t="s">
        <v>662</v>
      </c>
      <c r="J15" s="5" t="s">
        <v>636</v>
      </c>
      <c r="K15" s="5">
        <v>638.0</v>
      </c>
      <c r="L15" s="5">
        <v>2.50176</v>
      </c>
      <c r="M15" s="5">
        <v>2.4921</v>
      </c>
      <c r="N15" s="5">
        <v>4.99386</v>
      </c>
      <c r="O15" s="5">
        <v>1.38591</v>
      </c>
    </row>
    <row r="16">
      <c r="A16" s="18" t="str">
        <f>IFERROR(__xludf.DUMMYFUNCTION("""COMPUTED_VALUE"""),"Julian Gamble")</f>
        <v>Julian Gamble</v>
      </c>
      <c r="B16" s="19" t="str">
        <f>IFERROR(__xludf.DUMMYFUNCTION("""COMPUTED_VALUE"""),"TBB")</f>
        <v>TBB</v>
      </c>
      <c r="C16" s="20">
        <f>IFERROR(__xludf.DUMMYFUNCTION("""COMPUTED_VALUE"""),977.7)</f>
        <v>977.7</v>
      </c>
      <c r="D16" s="21">
        <f>IFERROR(__xludf.DUMMYFUNCTION("""COMPUTED_VALUE"""),-0.8637919518886366)</f>
        <v>-0.8637919519</v>
      </c>
      <c r="E16" s="21">
        <f>IFERROR(__xludf.DUMMYFUNCTION("""COMPUTED_VALUE"""),5.580729455401697)</f>
        <v>5.580729455</v>
      </c>
      <c r="F16" s="21">
        <f>IFERROR(__xludf.DUMMYFUNCTION("""COMPUTED_VALUE"""),4.71693750351306)</f>
        <v>4.716937504</v>
      </c>
      <c r="G16" s="23">
        <f>IFERROR(__xludf.DUMMYFUNCTION("""COMPUTED_VALUE"""),1.9964064246624516)</f>
        <v>1.996406425</v>
      </c>
      <c r="H16" s="4"/>
      <c r="I16" s="5" t="s">
        <v>664</v>
      </c>
      <c r="J16" s="5" t="s">
        <v>634</v>
      </c>
      <c r="K16" s="24">
        <v>797.0</v>
      </c>
      <c r="L16" s="5">
        <v>3.83017</v>
      </c>
      <c r="M16" s="5">
        <v>0.98641</v>
      </c>
      <c r="N16" s="5">
        <v>4.81658</v>
      </c>
      <c r="O16" s="5">
        <v>1.64639</v>
      </c>
    </row>
    <row r="17">
      <c r="A17" s="12" t="str">
        <f>IFERROR(__xludf.DUMMYFUNCTION("""COMPUTED_VALUE"""),"Dwayne Evans")</f>
        <v>Dwayne Evans</v>
      </c>
      <c r="B17" s="13" t="str">
        <f>IFERROR(__xludf.DUMMYFUNCTION("""COMPUTED_VALUE"""),"LUD")</f>
        <v>LUD</v>
      </c>
      <c r="C17" s="14">
        <f>IFERROR(__xludf.DUMMYFUNCTION("""COMPUTED_VALUE"""),685.1)</f>
        <v>685.1</v>
      </c>
      <c r="D17" s="15">
        <f>IFERROR(__xludf.DUMMYFUNCTION("""COMPUTED_VALUE"""),1.364751101339573)</f>
        <v>1.364751101</v>
      </c>
      <c r="E17" s="15">
        <f>IFERROR(__xludf.DUMMYFUNCTION("""COMPUTED_VALUE"""),3.2836335199535682)</f>
        <v>3.28363352</v>
      </c>
      <c r="F17" s="15">
        <f>IFERROR(__xludf.DUMMYFUNCTION("""COMPUTED_VALUE"""),4.6483846212931414)</f>
        <v>4.648384621</v>
      </c>
      <c r="G17" s="17">
        <f>IFERROR(__xludf.DUMMYFUNCTION("""COMPUTED_VALUE"""),1.4151899838801154)</f>
        <v>1.415189984</v>
      </c>
      <c r="H17" s="4"/>
      <c r="I17" s="5" t="s">
        <v>666</v>
      </c>
      <c r="J17" s="5" t="s">
        <v>644</v>
      </c>
      <c r="K17" s="24">
        <v>797.0</v>
      </c>
      <c r="L17" s="5">
        <v>2.34008</v>
      </c>
      <c r="M17" s="5">
        <v>2.40165</v>
      </c>
      <c r="N17" s="5">
        <v>4.74173</v>
      </c>
      <c r="O17" s="5">
        <v>3.28127</v>
      </c>
    </row>
    <row r="18">
      <c r="A18" s="18" t="str">
        <f>IFERROR(__xludf.DUMMYFUNCTION("""COMPUTED_VALUE"""),"Spencer Butterfield")</f>
        <v>Spencer Butterfield</v>
      </c>
      <c r="B18" s="19" t="str">
        <f>IFERROR(__xludf.DUMMYFUNCTION("""COMPUTED_VALUE"""),"BER")</f>
        <v>BER</v>
      </c>
      <c r="C18" s="20">
        <f>IFERROR(__xludf.DUMMYFUNCTION("""COMPUTED_VALUE"""),988.7)</f>
        <v>988.7</v>
      </c>
      <c r="D18" s="21">
        <f>IFERROR(__xludf.DUMMYFUNCTION("""COMPUTED_VALUE"""),1.8788450012923037)</f>
        <v>1.878845001</v>
      </c>
      <c r="E18" s="21">
        <f>IFERROR(__xludf.DUMMYFUNCTION("""COMPUTED_VALUE"""),2.764057043986208)</f>
        <v>2.764057044</v>
      </c>
      <c r="F18" s="21">
        <f>IFERROR(__xludf.DUMMYFUNCTION("""COMPUTED_VALUE"""),4.642902045278512)</f>
        <v>4.642902045</v>
      </c>
      <c r="G18" s="23">
        <f>IFERROR(__xludf.DUMMYFUNCTION("""COMPUTED_VALUE"""),1.9866861317242732)</f>
        <v>1.986686132</v>
      </c>
      <c r="H18" s="4"/>
      <c r="I18" s="5" t="s">
        <v>668</v>
      </c>
      <c r="J18" s="5" t="s">
        <v>669</v>
      </c>
      <c r="K18" s="24">
        <v>978.0</v>
      </c>
      <c r="L18" s="5">
        <v>-0.16448</v>
      </c>
      <c r="M18" s="5">
        <v>4.88177</v>
      </c>
      <c r="N18" s="5">
        <v>4.7173</v>
      </c>
      <c r="O18" s="5">
        <v>1.99651</v>
      </c>
    </row>
    <row r="19">
      <c r="A19" s="12" t="str">
        <f>IFERROR(__xludf.DUMMYFUNCTION("""COMPUTED_VALUE"""),"John Bryant")</f>
        <v>John Bryant</v>
      </c>
      <c r="B19" s="13" t="str">
        <f>IFERROR(__xludf.DUMMYFUNCTION("""COMPUTED_VALUE"""),"GIE")</f>
        <v>GIE</v>
      </c>
      <c r="C19" s="14">
        <f>IFERROR(__xludf.DUMMYFUNCTION("""COMPUTED_VALUE"""),1056.7)</f>
        <v>1056.7</v>
      </c>
      <c r="D19" s="15">
        <f>IFERROR(__xludf.DUMMYFUNCTION("""COMPUTED_VALUE"""),1.6170061136101448)</f>
        <v>1.617006114</v>
      </c>
      <c r="E19" s="15">
        <f>IFERROR(__xludf.DUMMYFUNCTION("""COMPUTED_VALUE"""),2.9854667600011786)</f>
        <v>2.98546676</v>
      </c>
      <c r="F19" s="15">
        <f>IFERROR(__xludf.DUMMYFUNCTION("""COMPUTED_VALUE"""),4.602472873611323)</f>
        <v>4.602472874</v>
      </c>
      <c r="G19" s="17">
        <f>IFERROR(__xludf.DUMMYFUNCTION("""COMPUTED_VALUE"""),2.1402711047423573)</f>
        <v>2.140271105</v>
      </c>
      <c r="H19" s="4"/>
      <c r="I19" s="5" t="s">
        <v>672</v>
      </c>
      <c r="J19" s="5" t="s">
        <v>673</v>
      </c>
      <c r="K19" s="24">
        <v>1057.0</v>
      </c>
      <c r="L19" s="5">
        <v>1.41367</v>
      </c>
      <c r="M19" s="5">
        <v>3.1896</v>
      </c>
      <c r="N19" s="5">
        <v>4.60327</v>
      </c>
      <c r="O19" s="5">
        <v>2.14053</v>
      </c>
    </row>
    <row r="20">
      <c r="A20" s="18" t="str">
        <f>IFERROR(__xludf.DUMMYFUNCTION("""COMPUTED_VALUE"""),"Scott Eatherton")</f>
        <v>Scott Eatherton</v>
      </c>
      <c r="B20" s="19" t="str">
        <f>IFERROR(__xludf.DUMMYFUNCTION("""COMPUTED_VALUE"""),"BLB")</f>
        <v>BLB</v>
      </c>
      <c r="C20" s="20">
        <f>IFERROR(__xludf.DUMMYFUNCTION("""COMPUTED_VALUE"""),1044.7)</f>
        <v>1044.7</v>
      </c>
      <c r="D20" s="21">
        <f>IFERROR(__xludf.DUMMYFUNCTION("""COMPUTED_VALUE"""),3.60843719445943)</f>
        <v>3.608437194</v>
      </c>
      <c r="E20" s="21">
        <f>IFERROR(__xludf.DUMMYFUNCTION("""COMPUTED_VALUE"""),0.6135585609560565)</f>
        <v>0.613558561</v>
      </c>
      <c r="F20" s="21">
        <f>IFERROR(__xludf.DUMMYFUNCTION("""COMPUTED_VALUE"""),4.221995755415486)</f>
        <v>4.221995755</v>
      </c>
      <c r="G20" s="23">
        <f>IFERROR(__xludf.DUMMYFUNCTION("""COMPUTED_VALUE"""),2.0082794560879744)</f>
        <v>2.008279456</v>
      </c>
      <c r="H20" s="4"/>
      <c r="I20" s="5" t="s">
        <v>161</v>
      </c>
      <c r="J20" s="5" t="s">
        <v>72</v>
      </c>
      <c r="K20" s="5">
        <v>780.0</v>
      </c>
      <c r="L20" s="5">
        <v>2.82277</v>
      </c>
      <c r="M20" s="5">
        <v>1.54588</v>
      </c>
      <c r="N20" s="5">
        <v>4.36865</v>
      </c>
      <c r="O20" s="5">
        <v>1.52298</v>
      </c>
    </row>
    <row r="21">
      <c r="A21" s="12" t="str">
        <f>IFERROR(__xludf.DUMMYFUNCTION("""COMPUTED_VALUE"""),"Jordan Hulls")</f>
        <v>Jordan Hulls</v>
      </c>
      <c r="B21" s="13" t="str">
        <f>IFERROR(__xludf.DUMMYFUNCTION("""COMPUTED_VALUE"""),"EIS")</f>
        <v>EIS</v>
      </c>
      <c r="C21" s="14">
        <f>IFERROR(__xludf.DUMMYFUNCTION("""COMPUTED_VALUE"""),1079.6)</f>
        <v>1079.6</v>
      </c>
      <c r="D21" s="15">
        <f>IFERROR(__xludf.DUMMYFUNCTION("""COMPUTED_VALUE"""),6.321656328261907)</f>
        <v>6.321656328</v>
      </c>
      <c r="E21" s="15">
        <f>IFERROR(__xludf.DUMMYFUNCTION("""COMPUTED_VALUE"""),-2.137431997354228)</f>
        <v>-2.137431997</v>
      </c>
      <c r="F21" s="15">
        <f>IFERROR(__xludf.DUMMYFUNCTION("""COMPUTED_VALUE"""),4.184224330907679)</f>
        <v>4.184224331</v>
      </c>
      <c r="G21" s="17">
        <f>IFERROR(__xludf.DUMMYFUNCTION("""COMPUTED_VALUE"""),2.0211291295031857)</f>
        <v>2.02112913</v>
      </c>
      <c r="H21" s="4"/>
      <c r="I21" s="5" t="s">
        <v>678</v>
      </c>
      <c r="J21" s="5" t="s">
        <v>644</v>
      </c>
      <c r="K21" s="5">
        <v>673.0</v>
      </c>
      <c r="L21" s="5">
        <v>2.20286</v>
      </c>
      <c r="M21" s="5">
        <v>2.09352</v>
      </c>
      <c r="N21" s="5">
        <v>4.29639</v>
      </c>
      <c r="O21" s="5">
        <v>2.58767</v>
      </c>
    </row>
    <row r="22">
      <c r="A22" s="18" t="str">
        <f>IFERROR(__xludf.DUMMYFUNCTION("""COMPUTED_VALUE"""),"Isaac Fotu")</f>
        <v>Isaac Fotu</v>
      </c>
      <c r="B22" s="19" t="str">
        <f>IFERROR(__xludf.DUMMYFUNCTION("""COMPUTED_VALUE"""),"RUL")</f>
        <v>RUL</v>
      </c>
      <c r="C22" s="20">
        <f>IFERROR(__xludf.DUMMYFUNCTION("""COMPUTED_VALUE"""),838.8)</f>
        <v>838.8</v>
      </c>
      <c r="D22" s="21">
        <f>IFERROR(__xludf.DUMMYFUNCTION("""COMPUTED_VALUE"""),3.7846583440966177)</f>
        <v>3.784658344</v>
      </c>
      <c r="E22" s="21">
        <f>IFERROR(__xludf.DUMMYFUNCTION("""COMPUTED_VALUE"""),0.16601104926466048)</f>
        <v>0.1660110493</v>
      </c>
      <c r="F22" s="21">
        <f>IFERROR(__xludf.DUMMYFUNCTION("""COMPUTED_VALUE"""),3.950669393361278)</f>
        <v>3.950669393</v>
      </c>
      <c r="G22" s="23">
        <f>IFERROR(__xludf.DUMMYFUNCTION("""COMPUTED_VALUE"""),1.5163561005198152)</f>
        <v>1.516356101</v>
      </c>
      <c r="H22" s="4"/>
      <c r="I22" s="5" t="s">
        <v>680</v>
      </c>
      <c r="J22" s="5" t="s">
        <v>681</v>
      </c>
      <c r="K22" s="24">
        <v>1045.0</v>
      </c>
      <c r="L22" s="5">
        <v>1.37545</v>
      </c>
      <c r="M22" s="5">
        <v>2.84705</v>
      </c>
      <c r="N22" s="5">
        <v>4.2225</v>
      </c>
      <c r="O22" s="5">
        <v>2.00844</v>
      </c>
    </row>
    <row r="23">
      <c r="A23" s="12" t="str">
        <f>IFERROR(__xludf.DUMMYFUNCTION("""COMPUTED_VALUE"""),"Philip Scrubb")</f>
        <v>Philip Scrubb</v>
      </c>
      <c r="B23" s="13" t="str">
        <f>IFERROR(__xludf.DUMMYFUNCTION("""COMPUTED_VALUE"""),"FRA")</f>
        <v>FRA</v>
      </c>
      <c r="C23" s="14">
        <f>IFERROR(__xludf.DUMMYFUNCTION("""COMPUTED_VALUE"""),1074.5)</f>
        <v>1074.5</v>
      </c>
      <c r="D23" s="15">
        <f>IFERROR(__xludf.DUMMYFUNCTION("""COMPUTED_VALUE"""),5.518332961085383)</f>
        <v>5.518332961</v>
      </c>
      <c r="E23" s="15">
        <f>IFERROR(__xludf.DUMMYFUNCTION("""COMPUTED_VALUE"""),-1.6551885525767922)</f>
        <v>-1.655188553</v>
      </c>
      <c r="F23" s="15">
        <f>IFERROR(__xludf.DUMMYFUNCTION("""COMPUTED_VALUE"""),3.8631444085085906)</f>
        <v>3.863144409</v>
      </c>
      <c r="G23" s="17">
        <f>IFERROR(__xludf.DUMMYFUNCTION("""COMPUTED_VALUE"""),1.9272638122542405)</f>
        <v>1.927263812</v>
      </c>
      <c r="H23" s="4"/>
      <c r="I23" s="5" t="s">
        <v>683</v>
      </c>
      <c r="J23" s="5" t="s">
        <v>684</v>
      </c>
      <c r="K23" s="24">
        <v>1080.0</v>
      </c>
      <c r="L23" s="5">
        <v>5.53336</v>
      </c>
      <c r="M23" s="5">
        <v>-1.34911</v>
      </c>
      <c r="N23" s="5">
        <v>4.18425</v>
      </c>
      <c r="O23" s="5">
        <v>2.02114</v>
      </c>
    </row>
    <row r="24">
      <c r="A24" s="18" t="str">
        <f>IFERROR(__xludf.DUMMYFUNCTION("""COMPUTED_VALUE"""),"Luka Mitrovic")</f>
        <v>Luka Mitrovic</v>
      </c>
      <c r="B24" s="19" t="str">
        <f>IFERROR(__xludf.DUMMYFUNCTION("""COMPUTED_VALUE"""),"BRO")</f>
        <v>BRO</v>
      </c>
      <c r="C24" s="20">
        <f>IFERROR(__xludf.DUMMYFUNCTION("""COMPUTED_VALUE"""),370.2)</f>
        <v>370.2</v>
      </c>
      <c r="D24" s="21">
        <f>IFERROR(__xludf.DUMMYFUNCTION("""COMPUTED_VALUE"""),1.0160013200359672)</f>
        <v>1.01600132</v>
      </c>
      <c r="E24" s="21">
        <f>IFERROR(__xludf.DUMMYFUNCTION("""COMPUTED_VALUE"""),2.656095826875466)</f>
        <v>2.656095827</v>
      </c>
      <c r="F24" s="21">
        <f>IFERROR(__xludf.DUMMYFUNCTION("""COMPUTED_VALUE"""),3.672097146911433)</f>
        <v>3.672097147</v>
      </c>
      <c r="G24" s="23">
        <f>IFERROR(__xludf.DUMMYFUNCTION("""COMPUTED_VALUE"""),0.6433557906596563)</f>
        <v>0.6433557907</v>
      </c>
      <c r="H24" s="4"/>
      <c r="I24" s="5" t="s">
        <v>687</v>
      </c>
      <c r="J24" s="5" t="s">
        <v>636</v>
      </c>
      <c r="K24" s="5">
        <v>852.0</v>
      </c>
      <c r="L24" s="5">
        <v>2.50282</v>
      </c>
      <c r="M24" s="5">
        <v>1.60299</v>
      </c>
      <c r="N24" s="5">
        <v>4.10582</v>
      </c>
      <c r="O24" s="5">
        <v>1.61553</v>
      </c>
    </row>
    <row r="25">
      <c r="A25" s="12" t="str">
        <f>IFERROR(__xludf.DUMMYFUNCTION("""COMPUTED_VALUE"""),"Milan Macvan")</f>
        <v>Milan Macvan</v>
      </c>
      <c r="B25" s="13" t="str">
        <f>IFERROR(__xludf.DUMMYFUNCTION("""COMPUTED_VALUE"""),"BAY")</f>
        <v>BAY</v>
      </c>
      <c r="C25" s="14">
        <f>IFERROR(__xludf.DUMMYFUNCTION("""COMPUTED_VALUE"""),360.0)</f>
        <v>360</v>
      </c>
      <c r="D25" s="15">
        <f>IFERROR(__xludf.DUMMYFUNCTION("""COMPUTED_VALUE"""),1.8333939666862291)</f>
        <v>1.833393967</v>
      </c>
      <c r="E25" s="15">
        <f>IFERROR(__xludf.DUMMYFUNCTION("""COMPUTED_VALUE"""),1.8197375758575178)</f>
        <v>1.819737576</v>
      </c>
      <c r="F25" s="15">
        <f>IFERROR(__xludf.DUMMYFUNCTION("""COMPUTED_VALUE"""),3.653131542543747)</f>
        <v>3.653131543</v>
      </c>
      <c r="G25" s="17">
        <f>IFERROR(__xludf.DUMMYFUNCTION("""COMPUTED_VALUE"""),1.2409459135806093)</f>
        <v>1.240945914</v>
      </c>
      <c r="H25" s="4"/>
      <c r="I25" s="5" t="s">
        <v>690</v>
      </c>
      <c r="J25" s="5" t="s">
        <v>634</v>
      </c>
      <c r="K25" s="5">
        <v>864.0</v>
      </c>
      <c r="L25" s="5">
        <v>3.60481</v>
      </c>
      <c r="M25" s="5">
        <v>0.41837</v>
      </c>
      <c r="N25" s="5">
        <v>4.02317</v>
      </c>
      <c r="O25" s="5">
        <v>1.57722</v>
      </c>
    </row>
    <row r="26">
      <c r="A26" s="18" t="str">
        <f>IFERROR(__xludf.DUMMYFUNCTION("""COMPUTED_VALUE"""),"Tomislav Zubcic")</f>
        <v>Tomislav Zubcic</v>
      </c>
      <c r="B26" s="19" t="str">
        <f>IFERROR(__xludf.DUMMYFUNCTION("""COMPUTED_VALUE"""),"TBB")</f>
        <v>TBB</v>
      </c>
      <c r="C26" s="20">
        <f>IFERROR(__xludf.DUMMYFUNCTION("""COMPUTED_VALUE"""),621.9)</f>
        <v>621.9</v>
      </c>
      <c r="D26" s="21">
        <f>IFERROR(__xludf.DUMMYFUNCTION("""COMPUTED_VALUE"""),4.493284030180243)</f>
        <v>4.49328403</v>
      </c>
      <c r="E26" s="21">
        <f>IFERROR(__xludf.DUMMYFUNCTION("""COMPUTED_VALUE"""),-0.8450424642901373)</f>
        <v>-0.8450424643</v>
      </c>
      <c r="F26" s="21">
        <f>IFERROR(__xludf.DUMMYFUNCTION("""COMPUTED_VALUE"""),3.648241565890106)</f>
        <v>3.648241566</v>
      </c>
      <c r="G26" s="23">
        <f>IFERROR(__xludf.DUMMYFUNCTION("""COMPUTED_VALUE"""),1.067839189696648)</f>
        <v>1.06783919</v>
      </c>
      <c r="H26" s="4"/>
      <c r="I26" s="5" t="s">
        <v>450</v>
      </c>
      <c r="J26" s="5" t="s">
        <v>72</v>
      </c>
      <c r="K26" s="24">
        <v>370.0</v>
      </c>
      <c r="L26" s="5">
        <v>1.97324</v>
      </c>
      <c r="M26" s="5">
        <v>1.99767</v>
      </c>
      <c r="N26" s="5">
        <v>3.97091</v>
      </c>
      <c r="O26" s="5">
        <v>0.67751</v>
      </c>
    </row>
    <row r="27">
      <c r="A27" s="12" t="str">
        <f>IFERROR(__xludf.DUMMYFUNCTION("""COMPUTED_VALUE"""),"Stefan Jovic")</f>
        <v>Stefan Jovic</v>
      </c>
      <c r="B27" s="13" t="str">
        <f>IFERROR(__xludf.DUMMYFUNCTION("""COMPUTED_VALUE"""),"BAY")</f>
        <v>BAY</v>
      </c>
      <c r="C27" s="14">
        <f>IFERROR(__xludf.DUMMYFUNCTION("""COMPUTED_VALUE"""),873.3)</f>
        <v>873.3</v>
      </c>
      <c r="D27" s="15">
        <f>IFERROR(__xludf.DUMMYFUNCTION("""COMPUTED_VALUE"""),0.3563409381881205)</f>
        <v>0.3563409382</v>
      </c>
      <c r="E27" s="15">
        <f>IFERROR(__xludf.DUMMYFUNCTION("""COMPUTED_VALUE"""),3.2374073945029966)</f>
        <v>3.237407395</v>
      </c>
      <c r="F27" s="15">
        <f>IFERROR(__xludf.DUMMYFUNCTION("""COMPUTED_VALUE"""),3.593748332691117)</f>
        <v>3.593748333</v>
      </c>
      <c r="G27" s="17">
        <f>IFERROR(__xludf.DUMMYFUNCTION("""COMPUTED_VALUE"""),2.9787060307583824)</f>
        <v>2.978706031</v>
      </c>
      <c r="H27" s="4"/>
      <c r="I27" s="5" t="s">
        <v>692</v>
      </c>
      <c r="J27" s="5" t="s">
        <v>693</v>
      </c>
      <c r="K27" s="24">
        <v>839.0</v>
      </c>
      <c r="L27" s="5">
        <v>3.98814</v>
      </c>
      <c r="M27" s="5">
        <v>-0.0371</v>
      </c>
      <c r="N27" s="5">
        <v>3.95103</v>
      </c>
      <c r="O27" s="5">
        <v>1.51645</v>
      </c>
    </row>
    <row r="28">
      <c r="A28" s="18" t="str">
        <f>IFERROR(__xludf.DUMMYFUNCTION("""COMPUTED_VALUE"""),"Elgin Cook")</f>
        <v>Elgin Cook</v>
      </c>
      <c r="B28" s="19" t="str">
        <f>IFERROR(__xludf.DUMMYFUNCTION("""COMPUTED_VALUE"""),"LUD")</f>
        <v>LUD</v>
      </c>
      <c r="C28" s="20">
        <f>IFERROR(__xludf.DUMMYFUNCTION("""COMPUTED_VALUE"""),903.5)</f>
        <v>903.5</v>
      </c>
      <c r="D28" s="21">
        <f>IFERROR(__xludf.DUMMYFUNCTION("""COMPUTED_VALUE"""),1.4245255743775163)</f>
        <v>1.424525574</v>
      </c>
      <c r="E28" s="21">
        <f>IFERROR(__xludf.DUMMYFUNCTION("""COMPUTED_VALUE"""),2.168128002158178)</f>
        <v>2.168128002</v>
      </c>
      <c r="F28" s="21">
        <f>IFERROR(__xludf.DUMMYFUNCTION("""COMPUTED_VALUE"""),3.592653576535694)</f>
        <v>3.592653577</v>
      </c>
      <c r="G28" s="23">
        <f>IFERROR(__xludf.DUMMYFUNCTION("""COMPUTED_VALUE"""),1.5699677024001035)</f>
        <v>1.569967702</v>
      </c>
      <c r="H28" s="4"/>
      <c r="I28" s="5" t="s">
        <v>694</v>
      </c>
      <c r="J28" s="5" t="s">
        <v>644</v>
      </c>
      <c r="K28" s="5">
        <v>360.0</v>
      </c>
      <c r="L28" s="5">
        <v>3.1849</v>
      </c>
      <c r="M28" s="5">
        <v>0.68464</v>
      </c>
      <c r="N28" s="5">
        <v>3.86955</v>
      </c>
      <c r="O28" s="5">
        <v>1.29055</v>
      </c>
    </row>
    <row r="29">
      <c r="A29" s="12" t="str">
        <f>IFERROR(__xludf.DUMMYFUNCTION("""COMPUTED_VALUE"""),"Niels Giffey")</f>
        <v>Niels Giffey</v>
      </c>
      <c r="B29" s="13" t="str">
        <f>IFERROR(__xludf.DUMMYFUNCTION("""COMPUTED_VALUE"""),"BER")</f>
        <v>BER</v>
      </c>
      <c r="C29" s="14">
        <f>IFERROR(__xludf.DUMMYFUNCTION("""COMPUTED_VALUE"""),785.5)</f>
        <v>785.5</v>
      </c>
      <c r="D29" s="15">
        <f>IFERROR(__xludf.DUMMYFUNCTION("""COMPUTED_VALUE"""),-0.9878046828010305)</f>
        <v>-0.9878046828</v>
      </c>
      <c r="E29" s="15">
        <f>IFERROR(__xludf.DUMMYFUNCTION("""COMPUTED_VALUE"""),4.464561891652716)</f>
        <v>4.464561892</v>
      </c>
      <c r="F29" s="15">
        <f>IFERROR(__xludf.DUMMYFUNCTION("""COMPUTED_VALUE"""),3.476757208851685)</f>
        <v>3.476757209</v>
      </c>
      <c r="G29" s="17">
        <f>IFERROR(__xludf.DUMMYFUNCTION("""COMPUTED_VALUE"""),1.301297380197668)</f>
        <v>1.30129738</v>
      </c>
      <c r="H29" s="4"/>
      <c r="I29" s="5" t="s">
        <v>696</v>
      </c>
      <c r="J29" s="5" t="s">
        <v>697</v>
      </c>
      <c r="K29" s="24">
        <v>1075.0</v>
      </c>
      <c r="L29" s="5">
        <v>4.81004</v>
      </c>
      <c r="M29" s="5">
        <v>-0.94627</v>
      </c>
      <c r="N29" s="5">
        <v>3.86376</v>
      </c>
      <c r="O29" s="5">
        <v>1.92747</v>
      </c>
    </row>
    <row r="30">
      <c r="A30" s="18" t="str">
        <f>IFERROR(__xludf.DUMMYFUNCTION("""COMPUTED_VALUE"""),"Philipp Schwethelm")</f>
        <v>Philipp Schwethelm</v>
      </c>
      <c r="B30" s="19" t="str">
        <f>IFERROR(__xludf.DUMMYFUNCTION("""COMPUTED_VALUE"""),"EWE")</f>
        <v>EWE</v>
      </c>
      <c r="C30" s="20">
        <f>IFERROR(__xludf.DUMMYFUNCTION("""COMPUTED_VALUE"""),780.1)</f>
        <v>780.1</v>
      </c>
      <c r="D30" s="21">
        <f>IFERROR(__xludf.DUMMYFUNCTION("""COMPUTED_VALUE"""),2.7424842180372653)</f>
        <v>2.742484218</v>
      </c>
      <c r="E30" s="21">
        <f>IFERROR(__xludf.DUMMYFUNCTION("""COMPUTED_VALUE"""),0.7030728565413584)</f>
        <v>0.7030728565</v>
      </c>
      <c r="F30" s="21">
        <f>IFERROR(__xludf.DUMMYFUNCTION("""COMPUTED_VALUE"""),3.4455570745786237)</f>
        <v>3.445557075</v>
      </c>
      <c r="G30" s="23">
        <f>IFERROR(__xludf.DUMMYFUNCTION("""COMPUTED_VALUE"""),1.2909917139785059)</f>
        <v>1.290991714</v>
      </c>
      <c r="H30" s="4"/>
      <c r="I30" s="5" t="s">
        <v>700</v>
      </c>
      <c r="J30" s="5" t="s">
        <v>669</v>
      </c>
      <c r="K30" s="5">
        <v>622.0</v>
      </c>
      <c r="L30" s="5">
        <v>5.19268</v>
      </c>
      <c r="M30" s="5">
        <v>-1.54401</v>
      </c>
      <c r="N30" s="5">
        <v>3.64867</v>
      </c>
      <c r="O30" s="5">
        <v>1.06792</v>
      </c>
    </row>
    <row r="31">
      <c r="A31" s="12" t="str">
        <f>IFERROR(__xludf.DUMMYFUNCTION("""COMPUTED_VALUE"""),"Daniel Hackett")</f>
        <v>Daniel Hackett</v>
      </c>
      <c r="B31" s="13" t="str">
        <f>IFERROR(__xludf.DUMMYFUNCTION("""COMPUTED_VALUE"""),"BRO")</f>
        <v>BRO</v>
      </c>
      <c r="C31" s="14">
        <f>IFERROR(__xludf.DUMMYFUNCTION("""COMPUTED_VALUE"""),872.6)</f>
        <v>872.6</v>
      </c>
      <c r="D31" s="15">
        <f>IFERROR(__xludf.DUMMYFUNCTION("""COMPUTED_VALUE"""),1.2135425909476425)</f>
        <v>1.213542591</v>
      </c>
      <c r="E31" s="15">
        <f>IFERROR(__xludf.DUMMYFUNCTION("""COMPUTED_VALUE"""),2.1656188902339837)</f>
        <v>2.16561889</v>
      </c>
      <c r="F31" s="15">
        <f>IFERROR(__xludf.DUMMYFUNCTION("""COMPUTED_VALUE"""),3.3791614811816264)</f>
        <v>3.379161481</v>
      </c>
      <c r="G31" s="17">
        <f>IFERROR(__xludf.DUMMYFUNCTION("""COMPUTED_VALUE"""),1.438139218981043)</f>
        <v>1.438139219</v>
      </c>
      <c r="H31" s="4"/>
      <c r="I31" s="5" t="s">
        <v>702</v>
      </c>
      <c r="J31" s="5" t="s">
        <v>636</v>
      </c>
      <c r="K31" s="24">
        <v>751.0</v>
      </c>
      <c r="L31" s="5">
        <v>0.30373</v>
      </c>
      <c r="M31" s="5">
        <v>3.21114</v>
      </c>
      <c r="N31" s="5">
        <v>3.51487</v>
      </c>
      <c r="O31" s="5">
        <v>1.28628</v>
      </c>
    </row>
    <row r="32">
      <c r="A32" s="18" t="str">
        <f>IFERROR(__xludf.DUMMYFUNCTION("""COMPUTED_VALUE"""),"Vytenis Lipkevicius")</f>
        <v>Vytenis Lipkevicius</v>
      </c>
      <c r="B32" s="19" t="str">
        <f>IFERROR(__xludf.DUMMYFUNCTION("""COMPUTED_VALUE"""),"OLI")</f>
        <v>OLI</v>
      </c>
      <c r="C32" s="20">
        <f>IFERROR(__xludf.DUMMYFUNCTION("""COMPUTED_VALUE"""),671.3)</f>
        <v>671.3</v>
      </c>
      <c r="D32" s="21">
        <f>IFERROR(__xludf.DUMMYFUNCTION("""COMPUTED_VALUE"""),0.6804030122163869)</f>
        <v>0.6804030122</v>
      </c>
      <c r="E32" s="21">
        <f>IFERROR(__xludf.DUMMYFUNCTION("""COMPUTED_VALUE"""),2.5678260704163565)</f>
        <v>2.56782607</v>
      </c>
      <c r="F32" s="21">
        <f>IFERROR(__xludf.DUMMYFUNCTION("""COMPUTED_VALUE"""),3.2482290826327436)</f>
        <v>3.248229083</v>
      </c>
      <c r="G32" s="23">
        <f>IFERROR(__xludf.DUMMYFUNCTION("""COMPUTED_VALUE"""),1.0715425765462552)</f>
        <v>1.071542577</v>
      </c>
      <c r="H32" s="4"/>
      <c r="I32" s="5" t="s">
        <v>706</v>
      </c>
      <c r="J32" s="5" t="s">
        <v>654</v>
      </c>
      <c r="K32" s="24">
        <v>780.0</v>
      </c>
      <c r="L32" s="5">
        <v>4.48128</v>
      </c>
      <c r="M32" s="5">
        <v>-1.03618</v>
      </c>
      <c r="N32" s="5">
        <v>3.4451</v>
      </c>
      <c r="O32" s="5">
        <v>1.29088</v>
      </c>
    </row>
    <row r="33">
      <c r="A33" s="12" t="str">
        <f>IFERROR(__xludf.DUMMYFUNCTION("""COMPUTED_VALUE"""),"Adam Waleskowski")</f>
        <v>Adam Waleskowski</v>
      </c>
      <c r="B33" s="13" t="str">
        <f>IFERROR(__xludf.DUMMYFUNCTION("""COMPUTED_VALUE"""),"LUD")</f>
        <v>LUD</v>
      </c>
      <c r="C33" s="14">
        <f>IFERROR(__xludf.DUMMYFUNCTION("""COMPUTED_VALUE"""),794.2)</f>
        <v>794.2</v>
      </c>
      <c r="D33" s="15">
        <f>IFERROR(__xludf.DUMMYFUNCTION("""COMPUTED_VALUE"""),-0.9196420777216019)</f>
        <v>-0.9196420777</v>
      </c>
      <c r="E33" s="15">
        <f>IFERROR(__xludf.DUMMYFUNCTION("""COMPUTED_VALUE"""),4.012347596956685)</f>
        <v>4.012347597</v>
      </c>
      <c r="F33" s="15">
        <f>IFERROR(__xludf.DUMMYFUNCTION("""COMPUTED_VALUE"""),3.0927055192350834)</f>
        <v>3.092705519</v>
      </c>
      <c r="G33" s="17">
        <f>IFERROR(__xludf.DUMMYFUNCTION("""COMPUTED_VALUE"""),1.2566753297541289)</f>
        <v>1.25667533</v>
      </c>
      <c r="H33" s="4"/>
      <c r="I33" s="5" t="s">
        <v>708</v>
      </c>
      <c r="J33" s="5" t="s">
        <v>634</v>
      </c>
      <c r="K33" s="24">
        <v>659.0</v>
      </c>
      <c r="L33" s="5">
        <v>0.81643</v>
      </c>
      <c r="M33" s="5">
        <v>2.53852</v>
      </c>
      <c r="N33" s="5">
        <v>3.35496</v>
      </c>
      <c r="O33" s="5">
        <v>1.06994</v>
      </c>
    </row>
    <row r="34">
      <c r="A34" s="18" t="str">
        <f>IFERROR(__xludf.DUMMYFUNCTION("""COMPUTED_VALUE"""),"Peyton Siva")</f>
        <v>Peyton Siva</v>
      </c>
      <c r="B34" s="19" t="str">
        <f>IFERROR(__xludf.DUMMYFUNCTION("""COMPUTED_VALUE"""),"BER")</f>
        <v>BER</v>
      </c>
      <c r="C34" s="20">
        <f>IFERROR(__xludf.DUMMYFUNCTION("""COMPUTED_VALUE"""),1029.5)</f>
        <v>1029.5</v>
      </c>
      <c r="D34" s="21">
        <f>IFERROR(__xludf.DUMMYFUNCTION("""COMPUTED_VALUE"""),0.5014504404404911)</f>
        <v>0.5014504404</v>
      </c>
      <c r="E34" s="21">
        <f>IFERROR(__xludf.DUMMYFUNCTION("""COMPUTED_VALUE"""),2.445070237646976)</f>
        <v>2.445070238</v>
      </c>
      <c r="F34" s="21">
        <f>IFERROR(__xludf.DUMMYFUNCTION("""COMPUTED_VALUE"""),2.946520678087467)</f>
        <v>2.946520678</v>
      </c>
      <c r="G34" s="23">
        <f>IFERROR(__xludf.DUMMYFUNCTION("""COMPUTED_VALUE"""),1.540398394773481)</f>
        <v>1.540398395</v>
      </c>
      <c r="H34" s="4"/>
      <c r="I34" s="5" t="s">
        <v>710</v>
      </c>
      <c r="J34" s="5" t="s">
        <v>711</v>
      </c>
      <c r="K34" s="24">
        <v>671.0</v>
      </c>
      <c r="L34" s="5">
        <v>0.77129</v>
      </c>
      <c r="M34" s="5">
        <v>2.4761</v>
      </c>
      <c r="N34" s="5">
        <v>3.24739</v>
      </c>
      <c r="O34" s="5">
        <v>1.07137</v>
      </c>
    </row>
    <row r="35">
      <c r="A35" s="12" t="str">
        <f>IFERROR(__xludf.DUMMYFUNCTION("""COMPUTED_VALUE"""),"Josh Mayo")</f>
        <v>Josh Mayo</v>
      </c>
      <c r="B35" s="13" t="str">
        <f>IFERROR(__xludf.DUMMYFUNCTION("""COMPUTED_VALUE"""),"TBB")</f>
        <v>TBB</v>
      </c>
      <c r="C35" s="14">
        <f>IFERROR(__xludf.DUMMYFUNCTION("""COMPUTED_VALUE"""),986.8)</f>
        <v>986.8</v>
      </c>
      <c r="D35" s="15">
        <f>IFERROR(__xludf.DUMMYFUNCTION("""COMPUTED_VALUE"""),4.34160993109159)</f>
        <v>4.341609931</v>
      </c>
      <c r="E35" s="15">
        <f>IFERROR(__xludf.DUMMYFUNCTION("""COMPUTED_VALUE"""),-1.452427703140346)</f>
        <v>-1.452427703</v>
      </c>
      <c r="F35" s="15">
        <f>IFERROR(__xludf.DUMMYFUNCTION("""COMPUTED_VALUE"""),2.8891822279512436)</f>
        <v>2.889182228</v>
      </c>
      <c r="G35" s="17">
        <f>IFERROR(__xludf.DUMMYFUNCTION("""COMPUTED_VALUE"""),1.4666868606908092)</f>
        <v>1.466686861</v>
      </c>
      <c r="H35" s="4"/>
      <c r="I35" s="5" t="s">
        <v>713</v>
      </c>
      <c r="J35" s="5" t="s">
        <v>644</v>
      </c>
      <c r="K35" s="5">
        <v>729.0</v>
      </c>
      <c r="L35" s="5">
        <v>0.72277</v>
      </c>
      <c r="M35" s="5">
        <v>2.25024</v>
      </c>
      <c r="N35" s="5">
        <v>2.97301</v>
      </c>
      <c r="O35" s="5">
        <v>2.21419</v>
      </c>
    </row>
    <row r="36">
      <c r="A36" s="18" t="str">
        <f>IFERROR(__xludf.DUMMYFUNCTION("""COMPUTED_VALUE"""),"Andreas Seiferth")</f>
        <v>Andreas Seiferth</v>
      </c>
      <c r="B36" s="19" t="str">
        <f>IFERROR(__xludf.DUMMYFUNCTION("""COMPUTED_VALUE"""),"BAY")</f>
        <v>BAY</v>
      </c>
      <c r="C36" s="20">
        <f>IFERROR(__xludf.DUMMYFUNCTION("""COMPUTED_VALUE"""),729.0)</f>
        <v>729</v>
      </c>
      <c r="D36" s="21">
        <f>IFERROR(__xludf.DUMMYFUNCTION("""COMPUTED_VALUE"""),-0.634110788684959)</f>
        <v>-0.6341107887</v>
      </c>
      <c r="E36" s="21">
        <f>IFERROR(__xludf.DUMMYFUNCTION("""COMPUTED_VALUE"""),3.385622097873458)</f>
        <v>3.385622098</v>
      </c>
      <c r="F36" s="21">
        <f>IFERROR(__xludf.DUMMYFUNCTION("""COMPUTED_VALUE"""),2.751511309188499)</f>
        <v>2.751511309</v>
      </c>
      <c r="G36" s="23">
        <f>IFERROR(__xludf.DUMMYFUNCTION("""COMPUTED_VALUE"""),2.112129570777342)</f>
        <v>2.112129571</v>
      </c>
      <c r="H36" s="4"/>
      <c r="I36" s="5" t="s">
        <v>716</v>
      </c>
      <c r="J36" s="5" t="s">
        <v>669</v>
      </c>
      <c r="K36" s="5">
        <v>987.0</v>
      </c>
      <c r="L36" s="5">
        <v>5.04094</v>
      </c>
      <c r="M36" s="5">
        <v>-2.15139</v>
      </c>
      <c r="N36" s="5">
        <v>2.88955</v>
      </c>
      <c r="O36" s="5">
        <v>1.4668</v>
      </c>
    </row>
    <row r="37">
      <c r="A37" s="12" t="str">
        <f>IFERROR(__xludf.DUMMYFUNCTION("""COMPUTED_VALUE"""),"Steve Wachalski")</f>
        <v>Steve Wachalski</v>
      </c>
      <c r="B37" s="13" t="str">
        <f>IFERROR(__xludf.DUMMYFUNCTION("""COMPUTED_VALUE"""),"BAY")</f>
        <v>BAY</v>
      </c>
      <c r="C37" s="14">
        <f>IFERROR(__xludf.DUMMYFUNCTION("""COMPUTED_VALUE"""),656.8)</f>
        <v>656.8</v>
      </c>
      <c r="D37" s="15">
        <f>IFERROR(__xludf.DUMMYFUNCTION("""COMPUTED_VALUE"""),1.1886347351976065)</f>
        <v>1.188634735</v>
      </c>
      <c r="E37" s="15">
        <f>IFERROR(__xludf.DUMMYFUNCTION("""COMPUTED_VALUE"""),1.458203875029129)</f>
        <v>1.458203875</v>
      </c>
      <c r="F37" s="15">
        <f>IFERROR(__xludf.DUMMYFUNCTION("""COMPUTED_VALUE"""),2.6468386102267356)</f>
        <v>2.64683861</v>
      </c>
      <c r="G37" s="17">
        <f>IFERROR(__xludf.DUMMYFUNCTION("""COMPUTED_VALUE"""),1.8610240890333158)</f>
        <v>1.861024089</v>
      </c>
      <c r="H37" s="4"/>
      <c r="I37" s="5" t="s">
        <v>718</v>
      </c>
      <c r="J37" s="5" t="s">
        <v>634</v>
      </c>
      <c r="K37" s="5">
        <v>466.0</v>
      </c>
      <c r="L37" s="5">
        <v>1.77653</v>
      </c>
      <c r="M37" s="5">
        <v>1.07824</v>
      </c>
      <c r="N37" s="5">
        <v>2.85477</v>
      </c>
      <c r="O37" s="5">
        <v>0.68491</v>
      </c>
    </row>
    <row r="38">
      <c r="A38" s="18" t="str">
        <f>IFERROR(__xludf.DUMMYFUNCTION("""COMPUTED_VALUE"""),"Kyle Weaver")</f>
        <v>Kyle Weaver</v>
      </c>
      <c r="B38" s="19" t="str">
        <f>IFERROR(__xludf.DUMMYFUNCTION("""COMPUTED_VALUE"""),"SCJ")</f>
        <v>SCJ</v>
      </c>
      <c r="C38" s="20">
        <f>IFERROR(__xludf.DUMMYFUNCTION("""COMPUTED_VALUE"""),476.5)</f>
        <v>476.5</v>
      </c>
      <c r="D38" s="21">
        <f>IFERROR(__xludf.DUMMYFUNCTION("""COMPUTED_VALUE"""),0.9292174167816873)</f>
        <v>0.9292174168</v>
      </c>
      <c r="E38" s="21">
        <f>IFERROR(__xludf.DUMMYFUNCTION("""COMPUTED_VALUE"""),1.711581860300837)</f>
        <v>1.71158186</v>
      </c>
      <c r="F38" s="21">
        <f>IFERROR(__xludf.DUMMYFUNCTION("""COMPUTED_VALUE"""),2.6407992770825244)</f>
        <v>2.640799277</v>
      </c>
      <c r="G38" s="23">
        <f>IFERROR(__xludf.DUMMYFUNCTION("""COMPUTED_VALUE"""),0.671503272133971)</f>
        <v>0.6715032721</v>
      </c>
      <c r="H38" s="4"/>
      <c r="I38" s="5" t="s">
        <v>721</v>
      </c>
      <c r="J38" s="5" t="s">
        <v>644</v>
      </c>
      <c r="K38" s="5">
        <v>657.0</v>
      </c>
      <c r="L38" s="5">
        <v>2.53165</v>
      </c>
      <c r="M38" s="5">
        <v>0.32261</v>
      </c>
      <c r="N38" s="5">
        <v>2.85426</v>
      </c>
      <c r="O38" s="5">
        <v>1.94726</v>
      </c>
    </row>
    <row r="39">
      <c r="A39" s="12" t="str">
        <f>IFERROR(__xludf.DUMMYFUNCTION("""COMPUTED_VALUE"""),"Geoff Groselle")</f>
        <v>Geoff Groselle</v>
      </c>
      <c r="B39" s="13" t="str">
        <f>IFERROR(__xludf.DUMMYFUNCTION("""COMPUTED_VALUE"""),"EIS")</f>
        <v>EIS</v>
      </c>
      <c r="C39" s="14">
        <f>IFERROR(__xludf.DUMMYFUNCTION("""COMPUTED_VALUE"""),757.5)</f>
        <v>757.5</v>
      </c>
      <c r="D39" s="15">
        <f>IFERROR(__xludf.DUMMYFUNCTION("""COMPUTED_VALUE"""),2.4096965471399256)</f>
        <v>2.409696547</v>
      </c>
      <c r="E39" s="15">
        <f>IFERROR(__xludf.DUMMYFUNCTION("""COMPUTED_VALUE"""),0.21156413251821204)</f>
        <v>0.2115641325</v>
      </c>
      <c r="F39" s="15">
        <f>IFERROR(__xludf.DUMMYFUNCTION("""COMPUTED_VALUE"""),2.6212606796581377)</f>
        <v>2.62126068</v>
      </c>
      <c r="G39" s="17">
        <f>IFERROR(__xludf.DUMMYFUNCTION("""COMPUTED_VALUE"""),1.0597149343463825)</f>
        <v>1.059714934</v>
      </c>
      <c r="H39" s="4"/>
      <c r="I39" s="5" t="s">
        <v>723</v>
      </c>
      <c r="J39" s="5" t="s">
        <v>724</v>
      </c>
      <c r="K39" s="5">
        <v>477.0</v>
      </c>
      <c r="L39" s="5">
        <v>0.39192</v>
      </c>
      <c r="M39" s="5">
        <v>2.24908</v>
      </c>
      <c r="N39" s="5">
        <v>2.641</v>
      </c>
      <c r="O39" s="5">
        <v>0.67153</v>
      </c>
    </row>
    <row r="40">
      <c r="A40" s="18" t="str">
        <f>IFERROR(__xludf.DUMMYFUNCTION("""COMPUTED_VALUE"""),"Quantez Robertson")</f>
        <v>Quantez Robertson</v>
      </c>
      <c r="B40" s="19" t="str">
        <f>IFERROR(__xludf.DUMMYFUNCTION("""COMPUTED_VALUE"""),"FRA")</f>
        <v>FRA</v>
      </c>
      <c r="C40" s="20">
        <f>IFERROR(__xludf.DUMMYFUNCTION("""COMPUTED_VALUE"""),1288.5)</f>
        <v>1288.5</v>
      </c>
      <c r="D40" s="21">
        <f>IFERROR(__xludf.DUMMYFUNCTION("""COMPUTED_VALUE"""),1.1074239348095785)</f>
        <v>1.107423935</v>
      </c>
      <c r="E40" s="21">
        <f>IFERROR(__xludf.DUMMYFUNCTION("""COMPUTED_VALUE"""),1.4828501328686117)</f>
        <v>1.482850133</v>
      </c>
      <c r="F40" s="21">
        <f>IFERROR(__xludf.DUMMYFUNCTION("""COMPUTED_VALUE"""),2.59027406767819)</f>
        <v>2.590274068</v>
      </c>
      <c r="G40" s="23">
        <f>IFERROR(__xludf.DUMMYFUNCTION("""COMPUTED_VALUE"""),1.8093692086460926)</f>
        <v>1.809369209</v>
      </c>
      <c r="H40" s="4"/>
      <c r="I40" s="5" t="s">
        <v>726</v>
      </c>
      <c r="J40" s="5" t="s">
        <v>684</v>
      </c>
      <c r="K40" s="5">
        <v>758.0</v>
      </c>
      <c r="L40" s="5">
        <v>1.62176</v>
      </c>
      <c r="M40" s="5">
        <v>0.99982</v>
      </c>
      <c r="N40" s="5">
        <v>2.62158</v>
      </c>
      <c r="O40" s="5">
        <v>1.05979</v>
      </c>
    </row>
    <row r="41">
      <c r="A41" s="12" t="str">
        <f>IFERROR(__xludf.DUMMYFUNCTION("""COMPUTED_VALUE"""),"Brion Rush")</f>
        <v>Brion Rush</v>
      </c>
      <c r="B41" s="13" t="str">
        <f>IFERROR(__xludf.DUMMYFUNCTION("""COMPUTED_VALUE"""),"GOE")</f>
        <v>GOE</v>
      </c>
      <c r="C41" s="14">
        <f>IFERROR(__xludf.DUMMYFUNCTION("""COMPUTED_VALUE"""),751.5)</f>
        <v>751.5</v>
      </c>
      <c r="D41" s="15">
        <f>IFERROR(__xludf.DUMMYFUNCTION("""COMPUTED_VALUE"""),6.759463091500573)</f>
        <v>6.759463092</v>
      </c>
      <c r="E41" s="15">
        <f>IFERROR(__xludf.DUMMYFUNCTION("""COMPUTED_VALUE"""),-4.242794768477549)</f>
        <v>-4.242794768</v>
      </c>
      <c r="F41" s="15">
        <f>IFERROR(__xludf.DUMMYFUNCTION("""COMPUTED_VALUE"""),2.5166683230230236)</f>
        <v>2.516668323</v>
      </c>
      <c r="G41" s="17">
        <f>IFERROR(__xludf.DUMMYFUNCTION("""COMPUTED_VALUE"""),1.0234270996410895)</f>
        <v>1.0234271</v>
      </c>
      <c r="H41" s="4"/>
      <c r="I41" s="5" t="s">
        <v>729</v>
      </c>
      <c r="J41" s="5" t="s">
        <v>697</v>
      </c>
      <c r="K41" s="24">
        <v>1289.0</v>
      </c>
      <c r="L41" s="5">
        <v>0.398</v>
      </c>
      <c r="M41" s="5">
        <v>2.19196</v>
      </c>
      <c r="N41" s="5">
        <v>2.58997</v>
      </c>
      <c r="O41" s="5">
        <v>1.80925</v>
      </c>
    </row>
    <row r="42">
      <c r="A42" s="18" t="str">
        <f>IFERROR(__xludf.DUMMYFUNCTION("""COMPUTED_VALUE"""),"Djordje Pantelic")</f>
        <v>Djordje Pantelic</v>
      </c>
      <c r="B42" s="19" t="str">
        <f>IFERROR(__xludf.DUMMYFUNCTION("""COMPUTED_VALUE"""),"BC")</f>
        <v>BC</v>
      </c>
      <c r="C42" s="20">
        <f>IFERROR(__xludf.DUMMYFUNCTION("""COMPUTED_VALUE"""),863.4)</f>
        <v>863.4</v>
      </c>
      <c r="D42" s="21">
        <f>IFERROR(__xludf.DUMMYFUNCTION("""COMPUTED_VALUE"""),-0.7894282684756055)</f>
        <v>-0.7894282685</v>
      </c>
      <c r="E42" s="21">
        <f>IFERROR(__xludf.DUMMYFUNCTION("""COMPUTED_VALUE"""),3.2431234251676155)</f>
        <v>3.243123425</v>
      </c>
      <c r="F42" s="21">
        <f>IFERROR(__xludf.DUMMYFUNCTION("""COMPUTED_VALUE"""),2.45369515669201)</f>
        <v>2.453695157</v>
      </c>
      <c r="G42" s="23">
        <f>IFERROR(__xludf.DUMMYFUNCTION("""COMPUTED_VALUE"""),1.2698806108815182)</f>
        <v>1.269880611</v>
      </c>
      <c r="H42" s="4"/>
      <c r="I42" s="5" t="s">
        <v>180</v>
      </c>
      <c r="J42" s="5" t="s">
        <v>72</v>
      </c>
      <c r="K42" s="5">
        <v>244.0</v>
      </c>
      <c r="L42" s="5">
        <v>2.68178</v>
      </c>
      <c r="M42" s="5">
        <v>-0.09249</v>
      </c>
      <c r="N42" s="5">
        <v>2.58929</v>
      </c>
      <c r="O42" s="5">
        <v>0.34379</v>
      </c>
    </row>
    <row r="43">
      <c r="A43" s="12" t="str">
        <f>IFERROR(__xludf.DUMMYFUNCTION("""COMPUTED_VALUE"""),"Jerrelle Benimon")</f>
        <v>Jerrelle Benimon</v>
      </c>
      <c r="B43" s="13" t="str">
        <f>IFERROR(__xludf.DUMMYFUNCTION("""COMPUTED_VALUE"""),"RUL")</f>
        <v>RUL</v>
      </c>
      <c r="C43" s="14">
        <f>IFERROR(__xludf.DUMMYFUNCTION("""COMPUTED_VALUE"""),460.6)</f>
        <v>460.6</v>
      </c>
      <c r="D43" s="15">
        <f>IFERROR(__xludf.DUMMYFUNCTION("""COMPUTED_VALUE"""),-0.3885130927152719)</f>
        <v>-0.3885130927</v>
      </c>
      <c r="E43" s="15">
        <f>IFERROR(__xludf.DUMMYFUNCTION("""COMPUTED_VALUE"""),2.8336871052545693)</f>
        <v>2.833687105</v>
      </c>
      <c r="F43" s="15">
        <f>IFERROR(__xludf.DUMMYFUNCTION("""COMPUTED_VALUE"""),2.4451740125392973)</f>
        <v>2.445174013</v>
      </c>
      <c r="G43" s="17">
        <f>IFERROR(__xludf.DUMMYFUNCTION("""COMPUTED_VALUE"""),0.6219989605471052)</f>
        <v>0.6219989605</v>
      </c>
      <c r="H43" s="4"/>
      <c r="I43" s="5" t="s">
        <v>733</v>
      </c>
      <c r="J43" s="5" t="s">
        <v>734</v>
      </c>
      <c r="K43" s="5">
        <v>752.0</v>
      </c>
      <c r="L43" s="5">
        <v>5.66014</v>
      </c>
      <c r="M43" s="5">
        <v>-3.14329</v>
      </c>
      <c r="N43" s="5">
        <v>2.51685</v>
      </c>
      <c r="O43" s="5">
        <v>1.02404</v>
      </c>
    </row>
    <row r="44">
      <c r="A44" s="18" t="str">
        <f>IFERROR(__xludf.DUMMYFUNCTION("""COMPUTED_VALUE"""),"Julius Jenkins")</f>
        <v>Julius Jenkins</v>
      </c>
      <c r="B44" s="19" t="str">
        <f>IFERROR(__xludf.DUMMYFUNCTION("""COMPUTED_VALUE"""),"SCJ")</f>
        <v>SCJ</v>
      </c>
      <c r="C44" s="20">
        <f>IFERROR(__xludf.DUMMYFUNCTION("""COMPUTED_VALUE"""),860.6)</f>
        <v>860.6</v>
      </c>
      <c r="D44" s="21">
        <f>IFERROR(__xludf.DUMMYFUNCTION("""COMPUTED_VALUE"""),5.205616891184626)</f>
        <v>5.205616891</v>
      </c>
      <c r="E44" s="21">
        <f>IFERROR(__xludf.DUMMYFUNCTION("""COMPUTED_VALUE"""),-2.760995151467934)</f>
        <v>-2.760995151</v>
      </c>
      <c r="F44" s="21">
        <f>IFERROR(__xludf.DUMMYFUNCTION("""COMPUTED_VALUE"""),2.4446217397166916)</f>
        <v>2.44462174</v>
      </c>
      <c r="G44" s="23">
        <f>IFERROR(__xludf.DUMMYFUNCTION("""COMPUTED_VALUE"""),1.1615250793169347)</f>
        <v>1.161525079</v>
      </c>
      <c r="H44" s="4"/>
      <c r="I44" s="5" t="s">
        <v>736</v>
      </c>
      <c r="J44" s="5" t="s">
        <v>737</v>
      </c>
      <c r="K44" s="5">
        <v>863.0</v>
      </c>
      <c r="L44" s="5">
        <v>-1.37086</v>
      </c>
      <c r="M44" s="5">
        <v>3.82383</v>
      </c>
      <c r="N44" s="5">
        <v>2.45297</v>
      </c>
      <c r="O44" s="5">
        <v>1.26967</v>
      </c>
    </row>
    <row r="45">
      <c r="A45" s="12" t="str">
        <f>IFERROR(__xludf.DUMMYFUNCTION("""COMPUTED_VALUE"""),"Tim Schneider")</f>
        <v>Tim Schneider</v>
      </c>
      <c r="B45" s="13" t="str">
        <f>IFERROR(__xludf.DUMMYFUNCTION("""COMPUTED_VALUE"""),"BER")</f>
        <v>BER</v>
      </c>
      <c r="C45" s="14">
        <f>IFERROR(__xludf.DUMMYFUNCTION("""COMPUTED_VALUE"""),465.6)</f>
        <v>465.6</v>
      </c>
      <c r="D45" s="15">
        <f>IFERROR(__xludf.DUMMYFUNCTION("""COMPUTED_VALUE"""),-0.5570805880910714)</f>
        <v>-0.5570805881</v>
      </c>
      <c r="E45" s="15">
        <f>IFERROR(__xludf.DUMMYFUNCTION("""COMPUTED_VALUE"""),2.8820820408924708)</f>
        <v>2.882082041</v>
      </c>
      <c r="F45" s="15">
        <f>IFERROR(__xludf.DUMMYFUNCTION("""COMPUTED_VALUE"""),2.3250014528013994)</f>
        <v>2.325001453</v>
      </c>
      <c r="G45" s="17">
        <f>IFERROR(__xludf.DUMMYFUNCTION("""COMPUTED_VALUE"""),0.609124554616324)</f>
        <v>0.6091245546</v>
      </c>
      <c r="H45" s="4"/>
      <c r="I45" s="5" t="s">
        <v>739</v>
      </c>
      <c r="J45" s="5" t="s">
        <v>724</v>
      </c>
      <c r="K45" s="24">
        <v>861.0</v>
      </c>
      <c r="L45" s="5">
        <v>4.66862</v>
      </c>
      <c r="M45" s="5">
        <v>-2.22355</v>
      </c>
      <c r="N45" s="5">
        <v>2.44506</v>
      </c>
      <c r="O45" s="5">
        <v>1.16164</v>
      </c>
    </row>
    <row r="46">
      <c r="A46" s="18" t="str">
        <f>IFERROR(__xludf.DUMMYFUNCTION("""COMPUTED_VALUE"""),"Bryce Taylor")</f>
        <v>Bryce Taylor</v>
      </c>
      <c r="B46" s="19" t="str">
        <f>IFERROR(__xludf.DUMMYFUNCTION("""COMPUTED_VALUE"""),"BRO")</f>
        <v>BRO</v>
      </c>
      <c r="C46" s="20">
        <f>IFERROR(__xludf.DUMMYFUNCTION("""COMPUTED_VALUE"""),244.4)</f>
        <v>244.4</v>
      </c>
      <c r="D46" s="21">
        <f>IFERROR(__xludf.DUMMYFUNCTION("""COMPUTED_VALUE"""),1.8798343568781077)</f>
        <v>1.879834357</v>
      </c>
      <c r="E46" s="21">
        <f>IFERROR(__xludf.DUMMYFUNCTION("""COMPUTED_VALUE"""),0.444013135447042)</f>
        <v>0.4440131354</v>
      </c>
      <c r="F46" s="21">
        <f>IFERROR(__xludf.DUMMYFUNCTION("""COMPUTED_VALUE"""),2.3238474923251498)</f>
        <v>2.323847492</v>
      </c>
      <c r="G46" s="23">
        <f>IFERROR(__xludf.DUMMYFUNCTION("""COMPUTED_VALUE"""),0.32377454995473637)</f>
        <v>0.32377455</v>
      </c>
      <c r="H46" s="4"/>
      <c r="I46" s="5" t="s">
        <v>742</v>
      </c>
      <c r="J46" s="5" t="s">
        <v>693</v>
      </c>
      <c r="K46" s="5">
        <v>461.0</v>
      </c>
      <c r="L46" s="5">
        <v>-0.18569</v>
      </c>
      <c r="M46" s="5">
        <v>2.63069</v>
      </c>
      <c r="N46" s="5">
        <v>2.445</v>
      </c>
      <c r="O46" s="5">
        <v>0.62197</v>
      </c>
    </row>
    <row r="47">
      <c r="A47" s="12" t="str">
        <f>IFERROR(__xludf.DUMMYFUNCTION("""COMPUTED_VALUE"""),"Maurice Stuckey")</f>
        <v>Maurice Stuckey</v>
      </c>
      <c r="B47" s="13" t="str">
        <f>IFERROR(__xludf.DUMMYFUNCTION("""COMPUTED_VALUE"""),"OLI")</f>
        <v>OLI</v>
      </c>
      <c r="C47" s="14">
        <f>IFERROR(__xludf.DUMMYFUNCTION("""COMPUTED_VALUE"""),841.6)</f>
        <v>841.6</v>
      </c>
      <c r="D47" s="15">
        <f>IFERROR(__xludf.DUMMYFUNCTION("""COMPUTED_VALUE"""),2.114883394731785)</f>
        <v>2.114883395</v>
      </c>
      <c r="E47" s="15">
        <f>IFERROR(__xludf.DUMMYFUNCTION("""COMPUTED_VALUE"""),0.19076868685245518)</f>
        <v>0.1907686869</v>
      </c>
      <c r="F47" s="15">
        <f>IFERROR(__xludf.DUMMYFUNCTION("""COMPUTED_VALUE"""),2.30565208158424)</f>
        <v>2.305652082</v>
      </c>
      <c r="G47" s="17">
        <f>IFERROR(__xludf.DUMMYFUNCTION("""COMPUTED_VALUE"""),1.1021092863131037)</f>
        <v>1.102109286</v>
      </c>
      <c r="H47" s="4"/>
      <c r="I47" s="5" t="s">
        <v>744</v>
      </c>
      <c r="J47" s="5" t="s">
        <v>634</v>
      </c>
      <c r="K47" s="24">
        <v>892.0</v>
      </c>
      <c r="L47" s="5">
        <v>-0.12804</v>
      </c>
      <c r="M47" s="5">
        <v>2.51587</v>
      </c>
      <c r="N47" s="5">
        <v>2.38783</v>
      </c>
      <c r="O47" s="5">
        <v>1.18555</v>
      </c>
    </row>
    <row r="48">
      <c r="A48" s="18" t="str">
        <f>IFERROR(__xludf.DUMMYFUNCTION("""COMPUTED_VALUE"""),"Cliff Hammonds")</f>
        <v>Cliff Hammonds</v>
      </c>
      <c r="B48" s="19" t="str">
        <f>IFERROR(__xludf.DUMMYFUNCTION("""COMPUTED_VALUE"""),"OLI")</f>
        <v>OLI</v>
      </c>
      <c r="C48" s="20">
        <f>IFERROR(__xludf.DUMMYFUNCTION("""COMPUTED_VALUE"""),1004.8)</f>
        <v>1004.8</v>
      </c>
      <c r="D48" s="21">
        <f>IFERROR(__xludf.DUMMYFUNCTION("""COMPUTED_VALUE"""),1.1025750301004689)</f>
        <v>1.10257503</v>
      </c>
      <c r="E48" s="21">
        <f>IFERROR(__xludf.DUMMYFUNCTION("""COMPUTED_VALUE"""),1.1385917049274512)</f>
        <v>1.138591705</v>
      </c>
      <c r="F48" s="21">
        <f>IFERROR(__xludf.DUMMYFUNCTION("""COMPUTED_VALUE"""),2.24116673502792)</f>
        <v>2.241166735</v>
      </c>
      <c r="G48" s="23">
        <f>IFERROR(__xludf.DUMMYFUNCTION("""COMPUTED_VALUE"""),1.2961192894370412)</f>
        <v>1.296119289</v>
      </c>
      <c r="H48" s="4"/>
      <c r="I48" s="5" t="s">
        <v>746</v>
      </c>
      <c r="J48" s="5" t="s">
        <v>636</v>
      </c>
      <c r="K48" s="5">
        <v>127.0</v>
      </c>
      <c r="L48" s="5">
        <v>0.96752</v>
      </c>
      <c r="M48" s="5">
        <v>1.40079</v>
      </c>
      <c r="N48" s="5">
        <v>2.36831</v>
      </c>
      <c r="O48" s="5">
        <v>0.17264</v>
      </c>
    </row>
    <row r="49">
      <c r="A49" s="12" t="str">
        <f>IFERROR(__xludf.DUMMYFUNCTION("""COMPUTED_VALUE"""),"Augustine Rubit")</f>
        <v>Augustine Rubit</v>
      </c>
      <c r="B49" s="13" t="str">
        <f>IFERROR(__xludf.DUMMYFUNCTION("""COMPUTED_VALUE"""),"BRO")</f>
        <v>BRO</v>
      </c>
      <c r="C49" s="14">
        <f>IFERROR(__xludf.DUMMYFUNCTION("""COMPUTED_VALUE"""),846.6)</f>
        <v>846.6</v>
      </c>
      <c r="D49" s="15">
        <f>IFERROR(__xludf.DUMMYFUNCTION("""COMPUTED_VALUE"""),0.3623737707642287)</f>
        <v>0.3623737708</v>
      </c>
      <c r="E49" s="15">
        <f>IFERROR(__xludf.DUMMYFUNCTION("""COMPUTED_VALUE"""),1.8685680186889755)</f>
        <v>1.868568019</v>
      </c>
      <c r="F49" s="15">
        <f>IFERROR(__xludf.DUMMYFUNCTION("""COMPUTED_VALUE"""),2.230941789453204)</f>
        <v>2.230941789</v>
      </c>
      <c r="G49" s="17">
        <f>IFERROR(__xludf.DUMMYFUNCTION("""COMPUTED_VALUE"""),1.097454323419985)</f>
        <v>1.097454323</v>
      </c>
      <c r="H49" s="4"/>
      <c r="I49" s="5" t="s">
        <v>748</v>
      </c>
      <c r="J49" s="5" t="s">
        <v>711</v>
      </c>
      <c r="K49" s="5">
        <v>842.0</v>
      </c>
      <c r="L49" s="5">
        <v>2.20733</v>
      </c>
      <c r="M49" s="5">
        <v>0.09876</v>
      </c>
      <c r="N49" s="5">
        <v>2.30609</v>
      </c>
      <c r="O49" s="5">
        <v>1.10222</v>
      </c>
    </row>
    <row r="50">
      <c r="A50" s="18" t="str">
        <f>IFERROR(__xludf.DUMMYFUNCTION("""COMPUTED_VALUE"""),"Rocky Trice")</f>
        <v>Rocky Trice</v>
      </c>
      <c r="B50" s="19" t="str">
        <f>IFERROR(__xludf.DUMMYFUNCTION("""COMPUTED_VALUE"""),"LUD")</f>
        <v>LUD</v>
      </c>
      <c r="C50" s="20">
        <f>IFERROR(__xludf.DUMMYFUNCTION("""COMPUTED_VALUE"""),127.2)</f>
        <v>127.2</v>
      </c>
      <c r="D50" s="21">
        <f>IFERROR(__xludf.DUMMYFUNCTION("""COMPUTED_VALUE"""),0.4690181201840449)</f>
        <v>0.4690181202</v>
      </c>
      <c r="E50" s="21">
        <f>IFERROR(__xludf.DUMMYFUNCTION("""COMPUTED_VALUE"""),1.7298263596472354)</f>
        <v>1.72982636</v>
      </c>
      <c r="F50" s="21">
        <f>IFERROR(__xludf.DUMMYFUNCTION("""COMPUTED_VALUE"""),2.1988444798312803)</f>
        <v>2.19884448</v>
      </c>
      <c r="G50" s="23">
        <f>IFERROR(__xludf.DUMMYFUNCTION("""COMPUTED_VALUE"""),0.1659439956294128)</f>
        <v>0.1659439956</v>
      </c>
      <c r="H50" s="4"/>
      <c r="I50" s="5" t="s">
        <v>751</v>
      </c>
      <c r="J50" s="5" t="s">
        <v>711</v>
      </c>
      <c r="K50" s="24">
        <v>1005.0</v>
      </c>
      <c r="L50" s="5">
        <v>1.19361</v>
      </c>
      <c r="M50" s="5">
        <v>1.04684</v>
      </c>
      <c r="N50" s="5">
        <v>2.24045</v>
      </c>
      <c r="O50" s="5">
        <v>1.2959</v>
      </c>
    </row>
    <row r="51">
      <c r="A51" s="12" t="str">
        <f>IFERROR(__xludf.DUMMYFUNCTION("""COMPUTED_VALUE"""),"Nihad Djedovic")</f>
        <v>Nihad Djedovic</v>
      </c>
      <c r="B51" s="13" t="str">
        <f>IFERROR(__xludf.DUMMYFUNCTION("""COMPUTED_VALUE"""),"BAY")</f>
        <v>BAY</v>
      </c>
      <c r="C51" s="14">
        <f>IFERROR(__xludf.DUMMYFUNCTION("""COMPUTED_VALUE"""),1000.5)</f>
        <v>1000.5</v>
      </c>
      <c r="D51" s="15">
        <f>IFERROR(__xludf.DUMMYFUNCTION("""COMPUTED_VALUE"""),1.2426921507635875)</f>
        <v>1.242692151</v>
      </c>
      <c r="E51" s="15">
        <f>IFERROR(__xludf.DUMMYFUNCTION("""COMPUTED_VALUE"""),0.6085337496045693)</f>
        <v>0.6085337496</v>
      </c>
      <c r="F51" s="15">
        <f>IFERROR(__xludf.DUMMYFUNCTION("""COMPUTED_VALUE"""),1.8512259003681568)</f>
        <v>1.8512259</v>
      </c>
      <c r="G51" s="17">
        <f>IFERROR(__xludf.DUMMYFUNCTION("""COMPUTED_VALUE"""),2.3495102713694695)</f>
        <v>2.349510271</v>
      </c>
      <c r="H51" s="4"/>
      <c r="I51" s="5" t="s">
        <v>752</v>
      </c>
      <c r="J51" s="5" t="s">
        <v>644</v>
      </c>
      <c r="K51" s="5">
        <v>809.0</v>
      </c>
      <c r="L51" s="5">
        <v>2.57959</v>
      </c>
      <c r="M51" s="5">
        <v>-0.4795</v>
      </c>
      <c r="N51" s="5">
        <v>2.10009</v>
      </c>
      <c r="O51" s="5">
        <v>2.02636</v>
      </c>
    </row>
    <row r="52">
      <c r="A52" s="18" t="str">
        <f>IFERROR(__xludf.DUMMYFUNCTION("""COMPUTED_VALUE"""),"Jeremy Senglin")</f>
        <v>Jeremy Senglin</v>
      </c>
      <c r="B52" s="19" t="str">
        <f>IFERROR(__xludf.DUMMYFUNCTION("""COMPUTED_VALUE"""),"LUD")</f>
        <v>LUD</v>
      </c>
      <c r="C52" s="20">
        <f>IFERROR(__xludf.DUMMYFUNCTION("""COMPUTED_VALUE"""),237.4)</f>
        <v>237.4</v>
      </c>
      <c r="D52" s="21">
        <f>IFERROR(__xludf.DUMMYFUNCTION("""COMPUTED_VALUE"""),0.35850209206503797)</f>
        <v>0.3585020921</v>
      </c>
      <c r="E52" s="21">
        <f>IFERROR(__xludf.DUMMYFUNCTION("""COMPUTED_VALUE"""),1.4612317901748426)</f>
        <v>1.46123179</v>
      </c>
      <c r="F52" s="21">
        <f>IFERROR(__xludf.DUMMYFUNCTION("""COMPUTED_VALUE"""),1.8197338822398805)</f>
        <v>1.819733882</v>
      </c>
      <c r="G52" s="23">
        <f>IFERROR(__xludf.DUMMYFUNCTION("""COMPUTED_VALUE"""),0.28174645738972504)</f>
        <v>0.2817464574</v>
      </c>
      <c r="H52" s="4"/>
      <c r="I52" s="5" t="s">
        <v>469</v>
      </c>
      <c r="J52" s="5" t="s">
        <v>72</v>
      </c>
      <c r="K52" s="5">
        <v>214.0</v>
      </c>
      <c r="L52" s="5">
        <v>0.92552</v>
      </c>
      <c r="M52" s="5">
        <v>1.10951</v>
      </c>
      <c r="N52" s="5">
        <v>2.03504</v>
      </c>
      <c r="O52" s="5">
        <v>0.26417</v>
      </c>
    </row>
    <row r="53">
      <c r="A53" s="12" t="str">
        <f>IFERROR(__xludf.DUMMYFUNCTION("""COMPUTED_VALUE"""),"Kameron Taylor")</f>
        <v>Kameron Taylor</v>
      </c>
      <c r="B53" s="13" t="str">
        <f>IFERROR(__xludf.DUMMYFUNCTION("""COMPUTED_VALUE"""),"OLI")</f>
        <v>OLI</v>
      </c>
      <c r="C53" s="14">
        <f>IFERROR(__xludf.DUMMYFUNCTION("""COMPUTED_VALUE"""),132.7)</f>
        <v>132.7</v>
      </c>
      <c r="D53" s="15">
        <f>IFERROR(__xludf.DUMMYFUNCTION("""COMPUTED_VALUE"""),0.2010798960975058)</f>
        <v>0.2010798961</v>
      </c>
      <c r="E53" s="15">
        <f>IFERROR(__xludf.DUMMYFUNCTION("""COMPUTED_VALUE"""),1.5907280105707056)</f>
        <v>1.590728011</v>
      </c>
      <c r="F53" s="15">
        <f>IFERROR(__xludf.DUMMYFUNCTION("""COMPUTED_VALUE"""),1.7918079066682113)</f>
        <v>1.791807907</v>
      </c>
      <c r="G53" s="17">
        <f>IFERROR(__xludf.DUMMYFUNCTION("""COMPUTED_VALUE"""),0.15303728483837434)</f>
        <v>0.1530372848</v>
      </c>
      <c r="H53" s="4"/>
      <c r="I53" s="5" t="s">
        <v>756</v>
      </c>
      <c r="J53" s="5" t="s">
        <v>636</v>
      </c>
      <c r="K53" s="5">
        <v>207.0</v>
      </c>
      <c r="L53" s="5">
        <v>1.24387</v>
      </c>
      <c r="M53" s="5">
        <v>0.6433</v>
      </c>
      <c r="N53" s="5">
        <v>1.88717</v>
      </c>
      <c r="O53" s="5">
        <v>0.24976</v>
      </c>
    </row>
    <row r="54">
      <c r="A54" s="18" t="str">
        <f>IFERROR(__xludf.DUMMYFUNCTION("""COMPUTED_VALUE"""),"Patrick Heckmann")</f>
        <v>Patrick Heckmann</v>
      </c>
      <c r="B54" s="19" t="str">
        <f>IFERROR(__xludf.DUMMYFUNCTION("""COMPUTED_VALUE"""),"BRO")</f>
        <v>BRO</v>
      </c>
      <c r="C54" s="20">
        <f>IFERROR(__xludf.DUMMYFUNCTION("""COMPUTED_VALUE"""),213.6)</f>
        <v>213.6</v>
      </c>
      <c r="D54" s="21">
        <f>IFERROR(__xludf.DUMMYFUNCTION("""COMPUTED_VALUE"""),0.21031692396967203)</f>
        <v>0.210316924</v>
      </c>
      <c r="E54" s="21">
        <f>IFERROR(__xludf.DUMMYFUNCTION("""COMPUTED_VALUE"""),1.5778016825795544)</f>
        <v>1.577801683</v>
      </c>
      <c r="F54" s="21">
        <f>IFERROR(__xludf.DUMMYFUNCTION("""COMPUTED_VALUE"""),1.7881186065492265)</f>
        <v>1.788118607</v>
      </c>
      <c r="G54" s="23">
        <f>IFERROR(__xludf.DUMMYFUNCTION("""COMPUTED_VALUE"""),0.24791109072715417)</f>
        <v>0.2479110907</v>
      </c>
      <c r="H54" s="4"/>
      <c r="I54" s="5" t="s">
        <v>758</v>
      </c>
      <c r="J54" s="5" t="s">
        <v>634</v>
      </c>
      <c r="K54" s="5">
        <v>304.0</v>
      </c>
      <c r="L54" s="5">
        <v>1.0645</v>
      </c>
      <c r="M54" s="5">
        <v>0.75973</v>
      </c>
      <c r="N54" s="5">
        <v>1.82422</v>
      </c>
      <c r="O54" s="5">
        <v>0.35273</v>
      </c>
    </row>
    <row r="55">
      <c r="A55" s="12" t="str">
        <f>IFERROR(__xludf.DUMMYFUNCTION("""COMPUTED_VALUE"""),"Skyler Bowlin")</f>
        <v>Skyler Bowlin</v>
      </c>
      <c r="B55" s="13" t="str">
        <f>IFERROR(__xludf.DUMMYFUNCTION("""COMPUTED_VALUE"""),"SCJ")</f>
        <v>SCJ</v>
      </c>
      <c r="C55" s="14">
        <f>IFERROR(__xludf.DUMMYFUNCTION("""COMPUTED_VALUE"""),909.0)</f>
        <v>909</v>
      </c>
      <c r="D55" s="15">
        <f>IFERROR(__xludf.DUMMYFUNCTION("""COMPUTED_VALUE"""),2.9661098328918167)</f>
        <v>2.966109833</v>
      </c>
      <c r="E55" s="15">
        <f>IFERROR(__xludf.DUMMYFUNCTION("""COMPUTED_VALUE"""),-1.183594724114787)</f>
        <v>-1.183594724</v>
      </c>
      <c r="F55" s="15">
        <f>IFERROR(__xludf.DUMMYFUNCTION("""COMPUTED_VALUE"""),1.7825151087770297)</f>
        <v>1.782515109</v>
      </c>
      <c r="G55" s="17">
        <f>IFERROR(__xludf.DUMMYFUNCTION("""COMPUTED_VALUE"""),1.0440877447157468)</f>
        <v>1.044087745</v>
      </c>
      <c r="H55" s="4"/>
      <c r="I55" s="5" t="s">
        <v>760</v>
      </c>
      <c r="J55" s="5" t="s">
        <v>711</v>
      </c>
      <c r="K55" s="5">
        <v>133.0</v>
      </c>
      <c r="L55" s="5">
        <v>0.24208</v>
      </c>
      <c r="M55" s="5">
        <v>1.55001</v>
      </c>
      <c r="N55" s="5">
        <v>1.79209</v>
      </c>
      <c r="O55" s="5">
        <v>0.15305</v>
      </c>
    </row>
    <row r="56">
      <c r="A56" s="18" t="str">
        <f>IFERROR(__xludf.DUMMYFUNCTION("""COMPUTED_VALUE"""),"Yorman Polas")</f>
        <v>Yorman Polas</v>
      </c>
      <c r="B56" s="19" t="str">
        <f>IFERROR(__xludf.DUMMYFUNCTION("""COMPUTED_VALUE"""),"TBB")</f>
        <v>TBB</v>
      </c>
      <c r="C56" s="20">
        <f>IFERROR(__xludf.DUMMYFUNCTION("""COMPUTED_VALUE"""),829.0)</f>
        <v>829</v>
      </c>
      <c r="D56" s="21">
        <f>IFERROR(__xludf.DUMMYFUNCTION("""COMPUTED_VALUE"""),-0.3556908692568093)</f>
        <v>-0.3556908693</v>
      </c>
      <c r="E56" s="21">
        <f>IFERROR(__xludf.DUMMYFUNCTION("""COMPUTED_VALUE"""),2.125678195982653)</f>
        <v>2.125678196</v>
      </c>
      <c r="F56" s="21">
        <f>IFERROR(__xludf.DUMMYFUNCTION("""COMPUTED_VALUE"""),1.7699873267258437)</f>
        <v>1.769987327</v>
      </c>
      <c r="G56" s="23">
        <f>IFERROR(__xludf.DUMMYFUNCTION("""COMPUTED_VALUE"""),0.9500937407170384)</f>
        <v>0.9500937407</v>
      </c>
      <c r="H56" s="4"/>
      <c r="I56" s="5" t="s">
        <v>521</v>
      </c>
      <c r="J56" s="5" t="s">
        <v>72</v>
      </c>
      <c r="K56" s="5">
        <v>291.0</v>
      </c>
      <c r="L56" s="5">
        <v>0.17104</v>
      </c>
      <c r="M56" s="5">
        <v>1.61407</v>
      </c>
      <c r="N56" s="5">
        <v>1.78511</v>
      </c>
      <c r="O56" s="5">
        <v>0.33714</v>
      </c>
    </row>
    <row r="57">
      <c r="A57" s="12" t="str">
        <f>IFERROR(__xludf.DUMMYFUNCTION("""COMPUTED_VALUE"""),"Jared Cunningham")</f>
        <v>Jared Cunningham</v>
      </c>
      <c r="B57" s="13" t="str">
        <f>IFERROR(__xludf.DUMMYFUNCTION("""COMPUTED_VALUE"""),"BAY")</f>
        <v>BAY</v>
      </c>
      <c r="C57" s="14">
        <f>IFERROR(__xludf.DUMMYFUNCTION("""COMPUTED_VALUE"""),986.1)</f>
        <v>986.1</v>
      </c>
      <c r="D57" s="15">
        <f>IFERROR(__xludf.DUMMYFUNCTION("""COMPUTED_VALUE"""),0.6584775768254156)</f>
        <v>0.6584775768</v>
      </c>
      <c r="E57" s="15">
        <f>IFERROR(__xludf.DUMMYFUNCTION("""COMPUTED_VALUE"""),1.0861644226674538)</f>
        <v>1.086164423</v>
      </c>
      <c r="F57" s="15">
        <f>IFERROR(__xludf.DUMMYFUNCTION("""COMPUTED_VALUE"""),1.7446419994928695)</f>
        <v>1.744641999</v>
      </c>
      <c r="G57" s="17">
        <f>IFERROR(__xludf.DUMMYFUNCTION("""COMPUTED_VALUE"""),2.251606657599796)</f>
        <v>2.251606658</v>
      </c>
      <c r="H57" s="4"/>
      <c r="I57" s="5" t="s">
        <v>765</v>
      </c>
      <c r="J57" s="5" t="s">
        <v>724</v>
      </c>
      <c r="K57" s="24">
        <v>909.0</v>
      </c>
      <c r="L57" s="5">
        <v>2.42872</v>
      </c>
      <c r="M57" s="5">
        <v>-0.64608</v>
      </c>
      <c r="N57" s="5">
        <v>1.78263</v>
      </c>
      <c r="O57" s="5">
        <v>1.04412</v>
      </c>
    </row>
    <row r="58">
      <c r="A58" s="18" t="str">
        <f>IFERROR(__xludf.DUMMYFUNCTION("""COMPUTED_VALUE"""),"Adika Peter-McNeilly")</f>
        <v>Adika Peter-McNeilly</v>
      </c>
      <c r="B58" s="19" t="str">
        <f>IFERROR(__xludf.DUMMYFUNCTION("""COMPUTED_VALUE"""),"LUD")</f>
        <v>LUD</v>
      </c>
      <c r="C58" s="20">
        <f>IFERROR(__xludf.DUMMYFUNCTION("""COMPUTED_VALUE"""),788.9)</f>
        <v>788.9</v>
      </c>
      <c r="D58" s="21">
        <f>IFERROR(__xludf.DUMMYFUNCTION("""COMPUTED_VALUE"""),-0.8359409306708347)</f>
        <v>-0.8359409307</v>
      </c>
      <c r="E58" s="21">
        <f>IFERROR(__xludf.DUMMYFUNCTION("""COMPUTED_VALUE"""),2.5209431600236583)</f>
        <v>2.52094316</v>
      </c>
      <c r="F58" s="21">
        <f>IFERROR(__xludf.DUMMYFUNCTION("""COMPUTED_VALUE"""),1.6850022293528237)</f>
        <v>1.685002229</v>
      </c>
      <c r="G58" s="23">
        <f>IFERROR(__xludf.DUMMYFUNCTION("""COMPUTED_VALUE"""),0.903242477682952)</f>
        <v>0.9032424777</v>
      </c>
      <c r="H58" s="4"/>
      <c r="I58" s="5" t="s">
        <v>768</v>
      </c>
      <c r="J58" s="5" t="s">
        <v>669</v>
      </c>
      <c r="K58" s="24">
        <v>829.0</v>
      </c>
      <c r="L58" s="5">
        <v>0.34314</v>
      </c>
      <c r="M58" s="5">
        <v>1.42681</v>
      </c>
      <c r="N58" s="5">
        <v>1.76995</v>
      </c>
      <c r="O58" s="5">
        <v>0.95008</v>
      </c>
    </row>
    <row r="59">
      <c r="A59" s="12" t="str">
        <f>IFERROR(__xludf.DUMMYFUNCTION("""COMPUTED_VALUE"""),"Leon Radosevic")</f>
        <v>Leon Radosevic</v>
      </c>
      <c r="B59" s="13" t="str">
        <f>IFERROR(__xludf.DUMMYFUNCTION("""COMPUTED_VALUE"""),"BRO")</f>
        <v>BRO</v>
      </c>
      <c r="C59" s="14">
        <f>IFERROR(__xludf.DUMMYFUNCTION("""COMPUTED_VALUE"""),769.4)</f>
        <v>769.4</v>
      </c>
      <c r="D59" s="15">
        <f>IFERROR(__xludf.DUMMYFUNCTION("""COMPUTED_VALUE"""),-1.4459474823465113)</f>
        <v>-1.445947482</v>
      </c>
      <c r="E59" s="15">
        <f>IFERROR(__xludf.DUMMYFUNCTION("""COMPUTED_VALUE"""),3.0862493306993075)</f>
        <v>3.086249331</v>
      </c>
      <c r="F59" s="15">
        <f>IFERROR(__xludf.DUMMYFUNCTION("""COMPUTED_VALUE"""),1.6403018483527965)</f>
        <v>1.640301848</v>
      </c>
      <c r="G59" s="17">
        <f>IFERROR(__xludf.DUMMYFUNCTION("""COMPUTED_VALUE"""),0.858145081291559)</f>
        <v>0.8581450813</v>
      </c>
      <c r="H59" s="4"/>
      <c r="I59" s="5" t="s">
        <v>447</v>
      </c>
      <c r="J59" s="5" t="s">
        <v>72</v>
      </c>
      <c r="K59" s="5">
        <v>725.0</v>
      </c>
      <c r="L59" s="5">
        <v>-0.60946</v>
      </c>
      <c r="M59" s="5">
        <v>2.36242</v>
      </c>
      <c r="N59" s="5">
        <v>1.75296</v>
      </c>
      <c r="O59" s="5">
        <v>0.83421</v>
      </c>
    </row>
    <row r="60">
      <c r="A60" s="18" t="str">
        <f>IFERROR(__xludf.DUMMYFUNCTION("""COMPUTED_VALUE"""),"Dennis Clifford")</f>
        <v>Dennis Clifford</v>
      </c>
      <c r="B60" s="19" t="str">
        <f>IFERROR(__xludf.DUMMYFUNCTION("""COMPUTED_VALUE"""),"BER")</f>
        <v>BER</v>
      </c>
      <c r="C60" s="20">
        <f>IFERROR(__xludf.DUMMYFUNCTION("""COMPUTED_VALUE"""),1029.5)</f>
        <v>1029.5</v>
      </c>
      <c r="D60" s="21">
        <f>IFERROR(__xludf.DUMMYFUNCTION("""COMPUTED_VALUE"""),-2.892041915416302)</f>
        <v>-2.892041915</v>
      </c>
      <c r="E60" s="21">
        <f>IFERROR(__xludf.DUMMYFUNCTION("""COMPUTED_VALUE"""),4.4779211988509795)</f>
        <v>4.477921199</v>
      </c>
      <c r="F60" s="21">
        <f>IFERROR(__xludf.DUMMYFUNCTION("""COMPUTED_VALUE"""),1.5858792834346773)</f>
        <v>1.585879283</v>
      </c>
      <c r="G60" s="23">
        <f>IFERROR(__xludf.DUMMYFUNCTION("""COMPUTED_VALUE"""),1.1166804005335615)</f>
        <v>1.116680401</v>
      </c>
      <c r="H60" s="4"/>
      <c r="I60" s="5" t="s">
        <v>773</v>
      </c>
      <c r="J60" s="5" t="s">
        <v>636</v>
      </c>
      <c r="K60" s="5">
        <v>749.0</v>
      </c>
      <c r="L60" s="5">
        <v>-0.16765</v>
      </c>
      <c r="M60" s="5">
        <v>1.73368</v>
      </c>
      <c r="N60" s="5">
        <v>1.56602</v>
      </c>
      <c r="O60" s="5">
        <v>0.83007</v>
      </c>
    </row>
    <row r="61">
      <c r="A61" s="12" t="str">
        <f>IFERROR(__xludf.DUMMYFUNCTION("""COMPUTED_VALUE"""),"Miles Jackson-Cartwright")</f>
        <v>Miles Jackson-Cartwright</v>
      </c>
      <c r="B61" s="13" t="str">
        <f>IFERROR(__xludf.DUMMYFUNCTION("""COMPUTED_VALUE"""),"OLI")</f>
        <v>OLI</v>
      </c>
      <c r="C61" s="14">
        <f>IFERROR(__xludf.DUMMYFUNCTION("""COMPUTED_VALUE"""),80.0)</f>
        <v>80</v>
      </c>
      <c r="D61" s="15">
        <f>IFERROR(__xludf.DUMMYFUNCTION("""COMPUTED_VALUE"""),1.2490249386415597)</f>
        <v>1.249024939</v>
      </c>
      <c r="E61" s="15">
        <f>IFERROR(__xludf.DUMMYFUNCTION("""COMPUTED_VALUE"""),0.30431856757924836)</f>
        <v>0.3043185676</v>
      </c>
      <c r="F61" s="15">
        <f>IFERROR(__xludf.DUMMYFUNCTION("""COMPUTED_VALUE"""),1.553343506220808)</f>
        <v>1.553343506</v>
      </c>
      <c r="G61" s="17">
        <f>IFERROR(__xludf.DUMMYFUNCTION("""COMPUTED_VALUE"""),0.08645839747431766)</f>
        <v>0.08645839747</v>
      </c>
      <c r="H61" s="4"/>
      <c r="I61" s="5" t="s">
        <v>775</v>
      </c>
      <c r="J61" s="5" t="s">
        <v>711</v>
      </c>
      <c r="K61" s="5">
        <v>80.0</v>
      </c>
      <c r="L61" s="5">
        <v>1.27371</v>
      </c>
      <c r="M61" s="5">
        <v>0.27978</v>
      </c>
      <c r="N61" s="5">
        <v>1.55349</v>
      </c>
      <c r="O61" s="5">
        <v>0.08646</v>
      </c>
    </row>
    <row r="62">
      <c r="A62" s="18" t="str">
        <f>IFERROR(__xludf.DUMMYFUNCTION("""COMPUTED_VALUE"""),"Malcolm Hill")</f>
        <v>Malcolm Hill</v>
      </c>
      <c r="B62" s="19" t="str">
        <f>IFERROR(__xludf.DUMMYFUNCTION("""COMPUTED_VALUE"""),"TBB")</f>
        <v>TBB</v>
      </c>
      <c r="C62" s="20">
        <f>IFERROR(__xludf.DUMMYFUNCTION("""COMPUTED_VALUE"""),730.9)</f>
        <v>730.9</v>
      </c>
      <c r="D62" s="21">
        <f>IFERROR(__xludf.DUMMYFUNCTION("""COMPUTED_VALUE"""),0.09924667102675794)</f>
        <v>0.09924667103</v>
      </c>
      <c r="E62" s="21">
        <f>IFERROR(__xludf.DUMMYFUNCTION("""COMPUTED_VALUE"""),1.2604934525887772)</f>
        <v>1.260493453</v>
      </c>
      <c r="F62" s="21">
        <f>IFERROR(__xludf.DUMMYFUNCTION("""COMPUTED_VALUE"""),1.359740123615535)</f>
        <v>1.359740124</v>
      </c>
      <c r="G62" s="23">
        <f>IFERROR(__xludf.DUMMYFUNCTION("""COMPUTED_VALUE"""),0.7465100931335356)</f>
        <v>0.7465100931</v>
      </c>
      <c r="H62" s="4"/>
      <c r="I62" s="5" t="s">
        <v>778</v>
      </c>
      <c r="J62" s="5" t="s">
        <v>644</v>
      </c>
      <c r="K62" s="24">
        <v>1003.0</v>
      </c>
      <c r="L62" s="5">
        <v>-0.61906</v>
      </c>
      <c r="M62" s="5">
        <v>2.14342</v>
      </c>
      <c r="N62" s="5">
        <v>1.52436</v>
      </c>
      <c r="O62" s="5">
        <v>2.15984</v>
      </c>
    </row>
    <row r="63">
      <c r="A63" s="12" t="str">
        <f>IFERROR(__xludf.DUMMYFUNCTION("""COMPUTED_VALUE"""),"Robin Benzing")</f>
        <v>Robin Benzing</v>
      </c>
      <c r="B63" s="13" t="str">
        <f>IFERROR(__xludf.DUMMYFUNCTION("""COMPUTED_VALUE"""),"OLI")</f>
        <v>OLI</v>
      </c>
      <c r="C63" s="14">
        <f>IFERROR(__xludf.DUMMYFUNCTION("""COMPUTED_VALUE"""),849.4)</f>
        <v>849.4</v>
      </c>
      <c r="D63" s="15">
        <f>IFERROR(__xludf.DUMMYFUNCTION("""COMPUTED_VALUE"""),0.6138710239042923)</f>
        <v>0.6138710239</v>
      </c>
      <c r="E63" s="15">
        <f>IFERROR(__xludf.DUMMYFUNCTION("""COMPUTED_VALUE"""),0.7351469488583428)</f>
        <v>0.7351469489</v>
      </c>
      <c r="F63" s="15">
        <f>IFERROR(__xludf.DUMMYFUNCTION("""COMPUTED_VALUE"""),1.349017972762635)</f>
        <v>1.349017973</v>
      </c>
      <c r="G63" s="17">
        <f>IFERROR(__xludf.DUMMYFUNCTION("""COMPUTED_VALUE"""),0.8651865036242916)</f>
        <v>0.8651865036</v>
      </c>
      <c r="H63" s="4"/>
      <c r="I63" s="5" t="s">
        <v>105</v>
      </c>
      <c r="J63" s="5" t="s">
        <v>72</v>
      </c>
      <c r="K63" s="5">
        <v>763.0</v>
      </c>
      <c r="L63" s="5">
        <v>0.79275</v>
      </c>
      <c r="M63" s="5">
        <v>0.69768</v>
      </c>
      <c r="N63" s="5">
        <v>1.49042</v>
      </c>
      <c r="O63" s="5">
        <v>0.81661</v>
      </c>
    </row>
    <row r="64">
      <c r="A64" s="18" t="str">
        <f>IFERROR(__xludf.DUMMYFUNCTION("""COMPUTED_VALUE"""),"Nate Linhart")</f>
        <v>Nate Linhart</v>
      </c>
      <c r="B64" s="19" t="str">
        <f>IFERROR(__xludf.DUMMYFUNCTION("""COMPUTED_VALUE"""),"BAY")</f>
        <v>BAY</v>
      </c>
      <c r="C64" s="20">
        <f>IFERROR(__xludf.DUMMYFUNCTION("""COMPUTED_VALUE"""),1003.4)</f>
        <v>1003.4</v>
      </c>
      <c r="D64" s="21">
        <f>IFERROR(__xludf.DUMMYFUNCTION("""COMPUTED_VALUE"""),-1.9559192233966551)</f>
        <v>-1.955919223</v>
      </c>
      <c r="E64" s="21">
        <f>IFERROR(__xludf.DUMMYFUNCTION("""COMPUTED_VALUE"""),3.278218809647935)</f>
        <v>3.27821881</v>
      </c>
      <c r="F64" s="21">
        <f>IFERROR(__xludf.DUMMYFUNCTION("""COMPUTED_VALUE"""),1.32229958625128)</f>
        <v>1.322299586</v>
      </c>
      <c r="G64" s="23">
        <f>IFERROR(__xludf.DUMMYFUNCTION("""COMPUTED_VALUE"""),2.0327040390703695)</f>
        <v>2.032704039</v>
      </c>
      <c r="H64" s="4"/>
      <c r="I64" s="5" t="s">
        <v>782</v>
      </c>
      <c r="J64" s="5" t="s">
        <v>636</v>
      </c>
      <c r="K64" s="5">
        <v>955.0</v>
      </c>
      <c r="L64" s="5">
        <v>1.17516</v>
      </c>
      <c r="M64" s="5">
        <v>0.27364</v>
      </c>
      <c r="N64" s="5">
        <v>1.44881</v>
      </c>
      <c r="O64" s="5">
        <v>1.02331</v>
      </c>
    </row>
    <row r="65">
      <c r="A65" s="12" t="str">
        <f>IFERROR(__xludf.DUMMYFUNCTION("""COMPUTED_VALUE"""),"De'Mon Brooks")</f>
        <v>De'Mon Brooks</v>
      </c>
      <c r="B65" s="13" t="str">
        <f>IFERROR(__xludf.DUMMYFUNCTION("""COMPUTED_VALUE"""),"BAY")</f>
        <v>BAY</v>
      </c>
      <c r="C65" s="14">
        <f>IFERROR(__xludf.DUMMYFUNCTION("""COMPUTED_VALUE"""),711.4)</f>
        <v>711.4</v>
      </c>
      <c r="D65" s="15">
        <f>IFERROR(__xludf.DUMMYFUNCTION("""COMPUTED_VALUE"""),-0.8246385997717788)</f>
        <v>-0.8246385998</v>
      </c>
      <c r="E65" s="15">
        <f>IFERROR(__xludf.DUMMYFUNCTION("""COMPUTED_VALUE"""),2.0293298485323965)</f>
        <v>2.029329849</v>
      </c>
      <c r="F65" s="15">
        <f>IFERROR(__xludf.DUMMYFUNCTION("""COMPUTED_VALUE"""),1.2046912487606178)</f>
        <v>1.204691249</v>
      </c>
      <c r="G65" s="17">
        <f>IFERROR(__xludf.DUMMYFUNCTION("""COMPUTED_VALUE"""),1.3901488878442028)</f>
        <v>1.390148888</v>
      </c>
      <c r="H65" s="4"/>
      <c r="I65" s="5" t="s">
        <v>784</v>
      </c>
      <c r="J65" s="5" t="s">
        <v>644</v>
      </c>
      <c r="K65" s="5">
        <v>711.0</v>
      </c>
      <c r="L65" s="5">
        <v>0.52201</v>
      </c>
      <c r="M65" s="5">
        <v>0.89445</v>
      </c>
      <c r="N65" s="5">
        <v>1.41647</v>
      </c>
      <c r="O65" s="5">
        <v>1.48442</v>
      </c>
    </row>
    <row r="66">
      <c r="A66" s="18" t="str">
        <f>IFERROR(__xludf.DUMMYFUNCTION("""COMPUTED_VALUE"""),"Toure' Murry")</f>
        <v>Toure' Murry</v>
      </c>
      <c r="B66" s="19" t="str">
        <f>IFERROR(__xludf.DUMMYFUNCTION("""COMPUTED_VALUE"""),"RUL")</f>
        <v>RUL</v>
      </c>
      <c r="C66" s="20">
        <f>IFERROR(__xludf.DUMMYFUNCTION("""COMPUTED_VALUE"""),191.9)</f>
        <v>191.9</v>
      </c>
      <c r="D66" s="21">
        <f>IFERROR(__xludf.DUMMYFUNCTION("""COMPUTED_VALUE"""),0.13494955195608724)</f>
        <v>0.134949552</v>
      </c>
      <c r="E66" s="21">
        <f>IFERROR(__xludf.DUMMYFUNCTION("""COMPUTED_VALUE"""),1.0650375927644935)</f>
        <v>1.065037593</v>
      </c>
      <c r="F66" s="21">
        <f>IFERROR(__xludf.DUMMYFUNCTION("""COMPUTED_VALUE"""),1.1999871447205808)</f>
        <v>1.199987145</v>
      </c>
      <c r="G66" s="23">
        <f>IFERROR(__xludf.DUMMYFUNCTION("""COMPUTED_VALUE"""),0.18655211062873148)</f>
        <v>0.1865521106</v>
      </c>
      <c r="H66" s="4"/>
      <c r="I66" s="5" t="s">
        <v>787</v>
      </c>
      <c r="J66" s="5" t="s">
        <v>644</v>
      </c>
      <c r="K66" s="5">
        <v>831.0</v>
      </c>
      <c r="L66" s="5">
        <v>1.66723</v>
      </c>
      <c r="M66" s="5">
        <v>-0.26837</v>
      </c>
      <c r="N66" s="5">
        <v>1.39886</v>
      </c>
      <c r="O66" s="5">
        <v>1.72567</v>
      </c>
    </row>
    <row r="67">
      <c r="A67" s="12" t="str">
        <f>IFERROR(__xludf.DUMMYFUNCTION("""COMPUTED_VALUE"""),"Kerron Johnson")</f>
        <v>Kerron Johnson</v>
      </c>
      <c r="B67" s="13" t="str">
        <f>IFERROR(__xludf.DUMMYFUNCTION("""COMPUTED_VALUE"""),"LUD")</f>
        <v>LUD</v>
      </c>
      <c r="C67" s="14">
        <f>IFERROR(__xludf.DUMMYFUNCTION("""COMPUTED_VALUE"""),1009.0)</f>
        <v>1009</v>
      </c>
      <c r="D67" s="15">
        <f>IFERROR(__xludf.DUMMYFUNCTION("""COMPUTED_VALUE"""),-0.11437215124914457)</f>
        <v>-0.1143721512</v>
      </c>
      <c r="E67" s="15">
        <f>IFERROR(__xludf.DUMMYFUNCTION("""COMPUTED_VALUE"""),1.2687260083724445)</f>
        <v>1.268726008</v>
      </c>
      <c r="F67" s="15">
        <f>IFERROR(__xludf.DUMMYFUNCTION("""COMPUTED_VALUE"""),1.1543538571232999)</f>
        <v>1.154353857</v>
      </c>
      <c r="G67" s="17">
        <f>IFERROR(__xludf.DUMMYFUNCTION("""COMPUTED_VALUE"""),0.9888859801343322)</f>
        <v>0.9888859801</v>
      </c>
      <c r="H67" s="4"/>
      <c r="I67" s="5" t="s">
        <v>790</v>
      </c>
      <c r="J67" s="5" t="s">
        <v>669</v>
      </c>
      <c r="K67" s="5">
        <v>731.0</v>
      </c>
      <c r="L67" s="5">
        <v>0.79831</v>
      </c>
      <c r="M67" s="5">
        <v>0.56158</v>
      </c>
      <c r="N67" s="5">
        <v>1.35989</v>
      </c>
      <c r="O67" s="5">
        <v>0.74654</v>
      </c>
    </row>
    <row r="68">
      <c r="A68" s="18" t="str">
        <f>IFERROR(__xludf.DUMMYFUNCTION("""COMPUTED_VALUE"""),"Retin Obasohan")</f>
        <v>Retin Obasohan</v>
      </c>
      <c r="B68" s="19" t="str">
        <f>IFERROR(__xludf.DUMMYFUNCTION("""COMPUTED_VALUE"""),"BIG")</f>
        <v>BIG</v>
      </c>
      <c r="C68" s="20">
        <f>IFERROR(__xludf.DUMMYFUNCTION("""COMPUTED_VALUE"""),1056.7)</f>
        <v>1056.7</v>
      </c>
      <c r="D68" s="21">
        <f>IFERROR(__xludf.DUMMYFUNCTION("""COMPUTED_VALUE"""),1.1333719950098917)</f>
        <v>1.133371995</v>
      </c>
      <c r="E68" s="21">
        <f>IFERROR(__xludf.DUMMYFUNCTION("""COMPUTED_VALUE"""),-0.03468186105933069)</f>
        <v>-0.03468186106</v>
      </c>
      <c r="F68" s="21">
        <f>IFERROR(__xludf.DUMMYFUNCTION("""COMPUTED_VALUE"""),1.098690133950561)</f>
        <v>1.098690134</v>
      </c>
      <c r="G68" s="23">
        <f>IFERROR(__xludf.DUMMYFUNCTION("""COMPUTED_VALUE"""),1.0272476943679933)</f>
        <v>1.027247694</v>
      </c>
      <c r="H68" s="4"/>
      <c r="I68" s="5" t="s">
        <v>792</v>
      </c>
      <c r="J68" s="5" t="s">
        <v>711</v>
      </c>
      <c r="K68" s="5">
        <v>849.0</v>
      </c>
      <c r="L68" s="5">
        <v>0.70749</v>
      </c>
      <c r="M68" s="5">
        <v>0.64293</v>
      </c>
      <c r="N68" s="5">
        <v>1.35042</v>
      </c>
      <c r="O68" s="5">
        <v>0.86555</v>
      </c>
    </row>
    <row r="69">
      <c r="A69" s="12" t="str">
        <f>IFERROR(__xludf.DUMMYFUNCTION("""COMPUTED_VALUE"""),"Karsten Tadda")</f>
        <v>Karsten Tadda</v>
      </c>
      <c r="B69" s="13" t="str">
        <f>IFERROR(__xludf.DUMMYFUNCTION("""COMPUTED_VALUE"""),"EWE")</f>
        <v>EWE</v>
      </c>
      <c r="C69" s="14">
        <f>IFERROR(__xludf.DUMMYFUNCTION("""COMPUTED_VALUE"""),767.6)</f>
        <v>767.6</v>
      </c>
      <c r="D69" s="15">
        <f>IFERROR(__xludf.DUMMYFUNCTION("""COMPUTED_VALUE"""),-0.517896311400984)</f>
        <v>-0.5178963114</v>
      </c>
      <c r="E69" s="15">
        <f>IFERROR(__xludf.DUMMYFUNCTION("""COMPUTED_VALUE"""),1.5824352282981722)</f>
        <v>1.582435228</v>
      </c>
      <c r="F69" s="15">
        <f>IFERROR(__xludf.DUMMYFUNCTION("""COMPUTED_VALUE"""),1.0645389168971882)</f>
        <v>1.064538917</v>
      </c>
      <c r="G69" s="17">
        <f>IFERROR(__xludf.DUMMYFUNCTION("""COMPUTED_VALUE"""),0.714876415759987)</f>
        <v>0.7148764158</v>
      </c>
      <c r="H69" s="4"/>
      <c r="I69" s="5" t="s">
        <v>795</v>
      </c>
      <c r="J69" s="5" t="s">
        <v>693</v>
      </c>
      <c r="K69" s="5">
        <v>192.0</v>
      </c>
      <c r="L69" s="5">
        <v>0.26437</v>
      </c>
      <c r="M69" s="5">
        <v>0.93525</v>
      </c>
      <c r="N69" s="5">
        <v>1.19961</v>
      </c>
      <c r="O69" s="5">
        <v>0.18653</v>
      </c>
    </row>
    <row r="70">
      <c r="A70" s="18" t="str">
        <f>IFERROR(__xludf.DUMMYFUNCTION("""COMPUTED_VALUE"""),"Ricky Paulding")</f>
        <v>Ricky Paulding</v>
      </c>
      <c r="B70" s="19" t="str">
        <f>IFERROR(__xludf.DUMMYFUNCTION("""COMPUTED_VALUE"""),"EWE")</f>
        <v>EWE</v>
      </c>
      <c r="C70" s="20">
        <f>IFERROR(__xludf.DUMMYFUNCTION("""COMPUTED_VALUE"""),1234.8)</f>
        <v>1234.8</v>
      </c>
      <c r="D70" s="21">
        <f>IFERROR(__xludf.DUMMYFUNCTION("""COMPUTED_VALUE"""),1.0758783711356867)</f>
        <v>1.075878371</v>
      </c>
      <c r="E70" s="21">
        <f>IFERROR(__xludf.DUMMYFUNCTION("""COMPUTED_VALUE"""),-0.037699190266296645)</f>
        <v>-0.03769919027</v>
      </c>
      <c r="F70" s="21">
        <f>IFERROR(__xludf.DUMMYFUNCTION("""COMPUTED_VALUE"""),1.03817918086939)</f>
        <v>1.038179181</v>
      </c>
      <c r="G70" s="23">
        <f>IFERROR(__xludf.DUMMYFUNCTION("""COMPUTED_VALUE"""),1.1400945429277096)</f>
        <v>1.140094543</v>
      </c>
      <c r="H70" s="4"/>
      <c r="I70" s="5" t="s">
        <v>797</v>
      </c>
      <c r="J70" s="5" t="s">
        <v>798</v>
      </c>
      <c r="K70" s="24">
        <v>1057.0</v>
      </c>
      <c r="L70" s="5">
        <v>-0.91717</v>
      </c>
      <c r="M70" s="5">
        <v>2.01627</v>
      </c>
      <c r="N70" s="5">
        <v>1.09909</v>
      </c>
      <c r="O70" s="5">
        <v>1.02738</v>
      </c>
    </row>
    <row r="71">
      <c r="A71" s="12" t="str">
        <f>IFERROR(__xludf.DUMMYFUNCTION("""COMPUTED_VALUE"""),"E.J. Singler")</f>
        <v>E.J. Singler</v>
      </c>
      <c r="B71" s="13" t="str">
        <f>IFERROR(__xludf.DUMMYFUNCTION("""COMPUTED_VALUE"""),"OLI")</f>
        <v>OLI</v>
      </c>
      <c r="C71" s="14">
        <f>IFERROR(__xludf.DUMMYFUNCTION("""COMPUTED_VALUE"""),424.7)</f>
        <v>424.7</v>
      </c>
      <c r="D71" s="15">
        <f>IFERROR(__xludf.DUMMYFUNCTION("""COMPUTED_VALUE"""),0.018757615075122677)</f>
        <v>0.01875761508</v>
      </c>
      <c r="E71" s="15">
        <f>IFERROR(__xludf.DUMMYFUNCTION("""COMPUTED_VALUE"""),0.9354447222894392)</f>
        <v>0.9354447223</v>
      </c>
      <c r="F71" s="15">
        <f>IFERROR(__xludf.DUMMYFUNCTION("""COMPUTED_VALUE"""),0.9542023373645618)</f>
        <v>0.9542023374</v>
      </c>
      <c r="G71" s="17">
        <f>IFERROR(__xludf.DUMMYFUNCTION("""COMPUTED_VALUE"""),0.3815948454219164)</f>
        <v>0.3815948454</v>
      </c>
      <c r="H71" s="4"/>
      <c r="I71" s="5" t="s">
        <v>800</v>
      </c>
      <c r="J71" s="5" t="s">
        <v>654</v>
      </c>
      <c r="K71" s="5">
        <v>768.0</v>
      </c>
      <c r="L71" s="5">
        <v>1.22042</v>
      </c>
      <c r="M71" s="5">
        <v>-0.15674</v>
      </c>
      <c r="N71" s="5">
        <v>1.06368</v>
      </c>
      <c r="O71" s="5">
        <v>0.71468</v>
      </c>
    </row>
    <row r="72">
      <c r="A72" s="18" t="str">
        <f>IFERROR(__xludf.DUMMYFUNCTION("""COMPUTED_VALUE"""),"Abdul Gaddy")</f>
        <v>Abdul Gaddy</v>
      </c>
      <c r="B72" s="19" t="str">
        <f>IFERROR(__xludf.DUMMYFUNCTION("""COMPUTED_VALUE"""),"OLI")</f>
        <v>OLI</v>
      </c>
      <c r="C72" s="20">
        <f>IFERROR(__xludf.DUMMYFUNCTION("""COMPUTED_VALUE"""),848.0)</f>
        <v>848</v>
      </c>
      <c r="D72" s="21">
        <f>IFERROR(__xludf.DUMMYFUNCTION("""COMPUTED_VALUE"""),0.066865733852067)</f>
        <v>0.06686573385</v>
      </c>
      <c r="E72" s="21">
        <f>IFERROR(__xludf.DUMMYFUNCTION("""COMPUTED_VALUE"""),0.8364261577243436)</f>
        <v>0.8364261577</v>
      </c>
      <c r="F72" s="21">
        <f>IFERROR(__xludf.DUMMYFUNCTION("""COMPUTED_VALUE"""),0.9032918915764105)</f>
        <v>0.9032918916</v>
      </c>
      <c r="G72" s="23">
        <f>IFERROR(__xludf.DUMMYFUNCTION("""COMPUTED_VALUE"""),0.7488012395672262)</f>
        <v>0.7488012396</v>
      </c>
      <c r="H72" s="4"/>
      <c r="I72" s="5" t="s">
        <v>802</v>
      </c>
      <c r="J72" s="5" t="s">
        <v>654</v>
      </c>
      <c r="K72" s="24">
        <v>1235.0</v>
      </c>
      <c r="L72" s="5">
        <v>2.81555</v>
      </c>
      <c r="M72" s="5">
        <v>-1.77711</v>
      </c>
      <c r="N72" s="5">
        <v>1.03844</v>
      </c>
      <c r="O72" s="5">
        <v>1.14019</v>
      </c>
    </row>
    <row r="73">
      <c r="A73" s="12" t="str">
        <f>IFERROR(__xludf.DUMMYFUNCTION("""COMPUTED_VALUE"""),"Dejan Musli")</f>
        <v>Dejan Musli</v>
      </c>
      <c r="B73" s="13" t="str">
        <f>IFERROR(__xludf.DUMMYFUNCTION("""COMPUTED_VALUE"""),"BRO")</f>
        <v>BRO</v>
      </c>
      <c r="C73" s="14">
        <f>IFERROR(__xludf.DUMMYFUNCTION("""COMPUTED_VALUE"""),301.8)</f>
        <v>301.8</v>
      </c>
      <c r="D73" s="15">
        <f>IFERROR(__xludf.DUMMYFUNCTION("""COMPUTED_VALUE"""),-1.3769699137129878)</f>
        <v>-1.376969914</v>
      </c>
      <c r="E73" s="15">
        <f>IFERROR(__xludf.DUMMYFUNCTION("""COMPUTED_VALUE"""),2.2480385713092996)</f>
        <v>2.248038571</v>
      </c>
      <c r="F73" s="15">
        <f>IFERROR(__xludf.DUMMYFUNCTION("""COMPUTED_VALUE"""),0.871068657596312)</f>
        <v>0.8710686576</v>
      </c>
      <c r="G73" s="17">
        <f>IFERROR(__xludf.DUMMYFUNCTION("""COMPUTED_VALUE"""),0.2654813106226307)</f>
        <v>0.2654813106</v>
      </c>
      <c r="H73" s="4"/>
      <c r="I73" s="5" t="s">
        <v>805</v>
      </c>
      <c r="J73" s="5" t="s">
        <v>636</v>
      </c>
      <c r="K73" s="5">
        <v>657.0</v>
      </c>
      <c r="L73" s="5">
        <v>-2.25758</v>
      </c>
      <c r="M73" s="5">
        <v>3.26985</v>
      </c>
      <c r="N73" s="5">
        <v>1.01227</v>
      </c>
      <c r="O73" s="5">
        <v>0.61461</v>
      </c>
    </row>
    <row r="74">
      <c r="A74" s="18" t="str">
        <f>IFERROR(__xludf.DUMMYFUNCTION("""COMPUTED_VALUE"""),"Jahenns Manigat")</f>
        <v>Jahenns Manigat</v>
      </c>
      <c r="B74" s="19" t="str">
        <f>IFERROR(__xludf.DUMMYFUNCTION("""COMPUTED_VALUE"""),"GIE")</f>
        <v>GIE</v>
      </c>
      <c r="C74" s="20">
        <f>IFERROR(__xludf.DUMMYFUNCTION("""COMPUTED_VALUE"""),486.1)</f>
        <v>486.1</v>
      </c>
      <c r="D74" s="21">
        <f>IFERROR(__xludf.DUMMYFUNCTION("""COMPUTED_VALUE"""),0.7675933515234554)</f>
        <v>0.7675933515</v>
      </c>
      <c r="E74" s="21">
        <f>IFERROR(__xludf.DUMMYFUNCTION("""COMPUTED_VALUE"""),0.035275856384676674)</f>
        <v>0.03527585638</v>
      </c>
      <c r="F74" s="21">
        <f>IFERROR(__xludf.DUMMYFUNCTION("""COMPUTED_VALUE"""),0.8028692079081321)</f>
        <v>0.8028692079</v>
      </c>
      <c r="G74" s="23">
        <f>IFERROR(__xludf.DUMMYFUNCTION("""COMPUTED_VALUE"""),0.41796403075821986)</f>
        <v>0.4179640308</v>
      </c>
      <c r="H74" s="4"/>
      <c r="I74" s="5" t="s">
        <v>807</v>
      </c>
      <c r="J74" s="5" t="s">
        <v>711</v>
      </c>
      <c r="K74" s="5">
        <v>425.0</v>
      </c>
      <c r="L74" s="5">
        <v>0.11023</v>
      </c>
      <c r="M74" s="5">
        <v>0.84361</v>
      </c>
      <c r="N74" s="5">
        <v>0.95384</v>
      </c>
      <c r="O74" s="5">
        <v>0.38155</v>
      </c>
    </row>
    <row r="75">
      <c r="A75" s="12" t="str">
        <f>IFERROR(__xludf.DUMMYFUNCTION("""COMPUTED_VALUE"""),"T.J. DiLeo")</f>
        <v>T.J. DiLeo</v>
      </c>
      <c r="B75" s="13" t="str">
        <f>IFERROR(__xludf.DUMMYFUNCTION("""COMPUTED_VALUE"""),"TBB")</f>
        <v>TBB</v>
      </c>
      <c r="C75" s="14">
        <f>IFERROR(__xludf.DUMMYFUNCTION("""COMPUTED_VALUE"""),874.0)</f>
        <v>874</v>
      </c>
      <c r="D75" s="15">
        <f>IFERROR(__xludf.DUMMYFUNCTION("""COMPUTED_VALUE"""),0.22429932752940923)</f>
        <v>0.2242993275</v>
      </c>
      <c r="E75" s="15">
        <f>IFERROR(__xludf.DUMMYFUNCTION("""COMPUTED_VALUE"""),0.5445173863181885)</f>
        <v>0.5445173863</v>
      </c>
      <c r="F75" s="15">
        <f>IFERROR(__xludf.DUMMYFUNCTION("""COMPUTED_VALUE"""),0.7688167138475976)</f>
        <v>0.7688167138</v>
      </c>
      <c r="G75" s="17">
        <f>IFERROR(__xludf.DUMMYFUNCTION("""COMPUTED_VALUE"""),0.735660904263705)</f>
        <v>0.7356609043</v>
      </c>
      <c r="H75" s="4"/>
      <c r="I75" s="5" t="s">
        <v>464</v>
      </c>
      <c r="J75" s="5" t="s">
        <v>72</v>
      </c>
      <c r="K75" s="5">
        <v>771.0</v>
      </c>
      <c r="L75" s="5">
        <v>0.85802</v>
      </c>
      <c r="M75" s="5">
        <v>0.08768</v>
      </c>
      <c r="N75" s="5">
        <v>0.9457</v>
      </c>
      <c r="O75" s="5">
        <v>0.69594</v>
      </c>
    </row>
    <row r="76">
      <c r="A76" s="18" t="str">
        <f>IFERROR(__xludf.DUMMYFUNCTION("""COMPUTED_VALUE"""),"Luka Babic")</f>
        <v>Luka Babic</v>
      </c>
      <c r="B76" s="19" t="str">
        <f>IFERROR(__xludf.DUMMYFUNCTION("""COMPUTED_VALUE"""),"RUL")</f>
        <v>RUL</v>
      </c>
      <c r="C76" s="20">
        <f>IFERROR(__xludf.DUMMYFUNCTION("""COMPUTED_VALUE"""),312.9)</f>
        <v>312.9</v>
      </c>
      <c r="D76" s="21">
        <f>IFERROR(__xludf.DUMMYFUNCTION("""COMPUTED_VALUE"""),-0.524089113958137)</f>
        <v>-0.524089114</v>
      </c>
      <c r="E76" s="21">
        <f>IFERROR(__xludf.DUMMYFUNCTION("""COMPUTED_VALUE"""),1.2389964164785061)</f>
        <v>1.238996416</v>
      </c>
      <c r="F76" s="21">
        <f>IFERROR(__xludf.DUMMYFUNCTION("""COMPUTED_VALUE"""),0.7149073025203693)</f>
        <v>0.7149073025</v>
      </c>
      <c r="G76" s="23">
        <f>IFERROR(__xludf.DUMMYFUNCTION("""COMPUTED_VALUE"""),0.2580700033255729)</f>
        <v>0.2580700033</v>
      </c>
      <c r="H76" s="4"/>
      <c r="I76" s="5" t="s">
        <v>811</v>
      </c>
      <c r="J76" s="5" t="s">
        <v>711</v>
      </c>
      <c r="K76" s="24">
        <v>848.0</v>
      </c>
      <c r="L76" s="5">
        <v>0.1584</v>
      </c>
      <c r="M76" s="5">
        <v>0.74458</v>
      </c>
      <c r="N76" s="5">
        <v>0.90298</v>
      </c>
      <c r="O76" s="5">
        <v>0.74872</v>
      </c>
    </row>
    <row r="77">
      <c r="A77" s="12" t="str">
        <f>IFERROR(__xludf.DUMMYFUNCTION("""COMPUTED_VALUE"""),"Reggie Upshaw, Jr.")</f>
        <v>Reggie Upshaw, Jr.</v>
      </c>
      <c r="B77" s="13" t="str">
        <f>IFERROR(__xludf.DUMMYFUNCTION("""COMPUTED_VALUE"""),"TUB")</f>
        <v>TUB</v>
      </c>
      <c r="C77" s="14">
        <f>IFERROR(__xludf.DUMMYFUNCTION("""COMPUTED_VALUE"""),996.8)</f>
        <v>996.8</v>
      </c>
      <c r="D77" s="15">
        <f>IFERROR(__xludf.DUMMYFUNCTION("""COMPUTED_VALUE"""),3.326622475087309)</f>
        <v>3.326622475</v>
      </c>
      <c r="E77" s="15">
        <f>IFERROR(__xludf.DUMMYFUNCTION("""COMPUTED_VALUE"""),-2.6191853521635378)</f>
        <v>-2.619185352</v>
      </c>
      <c r="F77" s="15">
        <f>IFERROR(__xludf.DUMMYFUNCTION("""COMPUTED_VALUE"""),0.7074371229237713)</f>
        <v>0.7074371229</v>
      </c>
      <c r="G77" s="17">
        <f>IFERROR(__xludf.DUMMYFUNCTION("""COMPUTED_VALUE"""),0.8277878187749135)</f>
        <v>0.8277878188</v>
      </c>
      <c r="H77" s="4"/>
      <c r="I77" s="5" t="s">
        <v>813</v>
      </c>
      <c r="J77" s="5" t="s">
        <v>644</v>
      </c>
      <c r="K77" s="24">
        <v>1044.0</v>
      </c>
      <c r="L77" s="5">
        <v>1.30352</v>
      </c>
      <c r="M77" s="5">
        <v>-0.43481</v>
      </c>
      <c r="N77" s="5">
        <v>0.86871</v>
      </c>
      <c r="O77" s="5">
        <v>1.82987</v>
      </c>
    </row>
    <row r="78">
      <c r="A78" s="18" t="str">
        <f>IFERROR(__xludf.DUMMYFUNCTION("""COMPUTED_VALUE"""),"Marcus Hatten")</f>
        <v>Marcus Hatten</v>
      </c>
      <c r="B78" s="19" t="str">
        <f>IFERROR(__xludf.DUMMYFUNCTION("""COMPUTED_VALUE"""),"BC")</f>
        <v>BC</v>
      </c>
      <c r="C78" s="20">
        <f>IFERROR(__xludf.DUMMYFUNCTION("""COMPUTED_VALUE"""),928.9)</f>
        <v>928.9</v>
      </c>
      <c r="D78" s="21">
        <f>IFERROR(__xludf.DUMMYFUNCTION("""COMPUTED_VALUE"""),0.9510780372030722)</f>
        <v>0.9510780372</v>
      </c>
      <c r="E78" s="21">
        <f>IFERROR(__xludf.DUMMYFUNCTION("""COMPUTED_VALUE"""),-0.2653986239257048)</f>
        <v>-0.2653986239</v>
      </c>
      <c r="F78" s="21">
        <f>IFERROR(__xludf.DUMMYFUNCTION("""COMPUTED_VALUE"""),0.6856794132773674)</f>
        <v>0.6856794133</v>
      </c>
      <c r="G78" s="23">
        <f>IFERROR(__xludf.DUMMYFUNCTION("""COMPUTED_VALUE"""),0.8238601441279757)</f>
        <v>0.8238601441</v>
      </c>
      <c r="H78" s="4"/>
      <c r="I78" s="5" t="s">
        <v>816</v>
      </c>
      <c r="J78" s="5" t="s">
        <v>673</v>
      </c>
      <c r="K78" s="24">
        <v>486.0</v>
      </c>
      <c r="L78" s="5">
        <v>0.56299</v>
      </c>
      <c r="M78" s="5">
        <v>0.23963</v>
      </c>
      <c r="N78" s="5">
        <v>0.80262</v>
      </c>
      <c r="O78" s="5">
        <v>0.41793</v>
      </c>
    </row>
    <row r="79">
      <c r="A79" s="12" t="str">
        <f>IFERROR(__xludf.DUMMYFUNCTION("""COMPUTED_VALUE"""),"Gabe York")</f>
        <v>Gabe York</v>
      </c>
      <c r="B79" s="13" t="str">
        <f>IFERROR(__xludf.DUMMYFUNCTION("""COMPUTED_VALUE"""),"BAY")</f>
        <v>BAY</v>
      </c>
      <c r="C79" s="14">
        <f>IFERROR(__xludf.DUMMYFUNCTION("""COMPUTED_VALUE"""),1044.4)</f>
        <v>1044.4</v>
      </c>
      <c r="D79" s="15">
        <f>IFERROR(__xludf.DUMMYFUNCTION("""COMPUTED_VALUE"""),-0.03663342414305989)</f>
        <v>-0.03663342414</v>
      </c>
      <c r="E79" s="15">
        <f>IFERROR(__xludf.DUMMYFUNCTION("""COMPUTED_VALUE"""),0.6997616759784369)</f>
        <v>0.699761676</v>
      </c>
      <c r="F79" s="15">
        <f>IFERROR(__xludf.DUMMYFUNCTION("""COMPUTED_VALUE"""),0.6631282518353769)</f>
        <v>0.6631282518</v>
      </c>
      <c r="G79" s="17">
        <f>IFERROR(__xludf.DUMMYFUNCTION("""COMPUTED_VALUE"""),1.695977968667879)</f>
        <v>1.695977969</v>
      </c>
      <c r="H79" s="4"/>
      <c r="I79" s="5" t="s">
        <v>818</v>
      </c>
      <c r="J79" s="5" t="s">
        <v>669</v>
      </c>
      <c r="K79" s="5">
        <v>874.0</v>
      </c>
      <c r="L79" s="5">
        <v>0.92257</v>
      </c>
      <c r="M79" s="5">
        <v>-0.15425</v>
      </c>
      <c r="N79" s="5">
        <v>0.76832</v>
      </c>
      <c r="O79" s="5">
        <v>0.73553</v>
      </c>
    </row>
    <row r="80">
      <c r="A80" s="18" t="str">
        <f>IFERROR(__xludf.DUMMYFUNCTION("""COMPUTED_VALUE"""),"Kresimir Loncar")</f>
        <v>Kresimir Loncar</v>
      </c>
      <c r="B80" s="19" t="str">
        <f>IFERROR(__xludf.DUMMYFUNCTION("""COMPUTED_VALUE"""),"OLI")</f>
        <v>OLI</v>
      </c>
      <c r="C80" s="20">
        <f>IFERROR(__xludf.DUMMYFUNCTION("""COMPUTED_VALUE"""),437.9)</f>
        <v>437.9</v>
      </c>
      <c r="D80" s="21">
        <f>IFERROR(__xludf.DUMMYFUNCTION("""COMPUTED_VALUE"""),1.297246927746292)</f>
        <v>1.297246928</v>
      </c>
      <c r="E80" s="21">
        <f>IFERROR(__xludf.DUMMYFUNCTION("""COMPUTED_VALUE"""),-0.6548073126145151)</f>
        <v>-0.6548073126</v>
      </c>
      <c r="F80" s="21">
        <f>IFERROR(__xludf.DUMMYFUNCTION("""COMPUTED_VALUE"""),0.6424396151317768)</f>
        <v>0.6424396151</v>
      </c>
      <c r="G80" s="23">
        <f>IFERROR(__xludf.DUMMYFUNCTION("""COMPUTED_VALUE"""),0.35193302141688215)</f>
        <v>0.3519330214</v>
      </c>
      <c r="H80" s="4"/>
      <c r="I80" s="5" t="s">
        <v>820</v>
      </c>
      <c r="J80" s="5" t="s">
        <v>693</v>
      </c>
      <c r="K80" s="5">
        <v>313.0</v>
      </c>
      <c r="L80" s="5">
        <v>-0.32201</v>
      </c>
      <c r="M80" s="5">
        <v>1.03613</v>
      </c>
      <c r="N80" s="5">
        <v>0.71413</v>
      </c>
      <c r="O80" s="5">
        <v>0.258</v>
      </c>
    </row>
    <row r="81">
      <c r="A81" s="12" t="str">
        <f>IFERROR(__xludf.DUMMYFUNCTION("""COMPUTED_VALUE"""),"Deandre Lansdowne")</f>
        <v>Deandre Lansdowne</v>
      </c>
      <c r="B81" s="13" t="str">
        <f>IFERROR(__xludf.DUMMYFUNCTION("""COMPUTED_VALUE"""),"BLB")</f>
        <v>BLB</v>
      </c>
      <c r="C81" s="14">
        <f>IFERROR(__xludf.DUMMYFUNCTION("""COMPUTED_VALUE"""),1117.8)</f>
        <v>1117.8</v>
      </c>
      <c r="D81" s="15">
        <f>IFERROR(__xludf.DUMMYFUNCTION("""COMPUTED_VALUE"""),2.05103768848744)</f>
        <v>2.051037688</v>
      </c>
      <c r="E81" s="15">
        <f>IFERROR(__xludf.DUMMYFUNCTION("""COMPUTED_VALUE"""),-1.4547468788026579)</f>
        <v>-1.454746879</v>
      </c>
      <c r="F81" s="15">
        <f>IFERROR(__xludf.DUMMYFUNCTION("""COMPUTED_VALUE"""),0.5962908096847821)</f>
        <v>0.5962908097</v>
      </c>
      <c r="G81" s="17">
        <f>IFERROR(__xludf.DUMMYFUNCTION("""COMPUTED_VALUE"""),0.8966444852495217)</f>
        <v>0.8966444852</v>
      </c>
      <c r="H81" s="4"/>
      <c r="I81" s="5" t="s">
        <v>823</v>
      </c>
      <c r="J81" s="5" t="s">
        <v>824</v>
      </c>
      <c r="K81" s="5">
        <v>997.0</v>
      </c>
      <c r="L81" s="5">
        <v>1.48274</v>
      </c>
      <c r="M81" s="5">
        <v>-0.77524</v>
      </c>
      <c r="N81" s="5">
        <v>0.7075</v>
      </c>
      <c r="O81" s="5">
        <v>0.82781</v>
      </c>
    </row>
    <row r="82">
      <c r="A82" s="18" t="str">
        <f>IFERROR(__xludf.DUMMYFUNCTION("""COMPUTED_VALUE"""),"Armani Moore")</f>
        <v>Armani Moore</v>
      </c>
      <c r="B82" s="19" t="str">
        <f>IFERROR(__xludf.DUMMYFUNCTION("""COMPUTED_VALUE"""),"EWE")</f>
        <v>EWE</v>
      </c>
      <c r="C82" s="20">
        <f>IFERROR(__xludf.DUMMYFUNCTION("""COMPUTED_VALUE"""),442.3)</f>
        <v>442.3</v>
      </c>
      <c r="D82" s="21">
        <f>IFERROR(__xludf.DUMMYFUNCTION("""COMPUTED_VALUE"""),-1.3778109270661116)</f>
        <v>-1.377810927</v>
      </c>
      <c r="E82" s="21">
        <f>IFERROR(__xludf.DUMMYFUNCTION("""COMPUTED_VALUE"""),1.9710023899733624)</f>
        <v>1.97100239</v>
      </c>
      <c r="F82" s="21">
        <f>IFERROR(__xludf.DUMMYFUNCTION("""COMPUTED_VALUE"""),0.5931914629072509)</f>
        <v>0.5931914629</v>
      </c>
      <c r="G82" s="23">
        <f>IFERROR(__xludf.DUMMYFUNCTION("""COMPUTED_VALUE"""),0.34856388321470216)</f>
        <v>0.3485638832</v>
      </c>
      <c r="H82" s="4"/>
      <c r="I82" s="5" t="s">
        <v>826</v>
      </c>
      <c r="J82" s="5" t="s">
        <v>737</v>
      </c>
      <c r="K82" s="5">
        <v>929.0</v>
      </c>
      <c r="L82" s="5">
        <v>0.37006</v>
      </c>
      <c r="M82" s="5">
        <v>0.31523</v>
      </c>
      <c r="N82" s="5">
        <v>0.68529</v>
      </c>
      <c r="O82" s="5">
        <v>0.82374</v>
      </c>
    </row>
    <row r="83">
      <c r="A83" s="12" t="str">
        <f>IFERROR(__xludf.DUMMYFUNCTION("""COMPUTED_VALUE"""),"Till Pape")</f>
        <v>Till Pape</v>
      </c>
      <c r="B83" s="13" t="str">
        <f>IFERROR(__xludf.DUMMYFUNCTION("""COMPUTED_VALUE"""),"RUL")</f>
        <v>RUL</v>
      </c>
      <c r="C83" s="14">
        <f>IFERROR(__xludf.DUMMYFUNCTION("""COMPUTED_VALUE"""),52.6)</f>
        <v>52.6</v>
      </c>
      <c r="D83" s="15">
        <f>IFERROR(__xludf.DUMMYFUNCTION("""COMPUTED_VALUE"""),0.09529988262377674)</f>
        <v>0.09529988262</v>
      </c>
      <c r="E83" s="15">
        <f>IFERROR(__xludf.DUMMYFUNCTION("""COMPUTED_VALUE"""),0.47239540354586507)</f>
        <v>0.4723954035</v>
      </c>
      <c r="F83" s="15">
        <f>IFERROR(__xludf.DUMMYFUNCTION("""COMPUTED_VALUE"""),0.5676952861696418)</f>
        <v>0.5676952862</v>
      </c>
      <c r="G83" s="17">
        <f>IFERROR(__xludf.DUMMYFUNCTION("""COMPUTED_VALUE"""),0.04103044116188981)</f>
        <v>0.04103044116</v>
      </c>
      <c r="H83" s="4"/>
      <c r="I83" s="5" t="s">
        <v>828</v>
      </c>
      <c r="J83" s="5" t="s">
        <v>711</v>
      </c>
      <c r="K83" s="5">
        <v>438.0</v>
      </c>
      <c r="L83" s="5">
        <v>1.3903</v>
      </c>
      <c r="M83" s="5">
        <v>-0.74692</v>
      </c>
      <c r="N83" s="5">
        <v>0.64337</v>
      </c>
      <c r="O83" s="5">
        <v>0.35206</v>
      </c>
    </row>
    <row r="84">
      <c r="A84" s="18" t="str">
        <f>IFERROR(__xludf.DUMMYFUNCTION("""COMPUTED_VALUE"""),"Marvin Ogunsipe")</f>
        <v>Marvin Ogunsipe</v>
      </c>
      <c r="B84" s="19" t="str">
        <f>IFERROR(__xludf.DUMMYFUNCTION("""COMPUTED_VALUE"""),"BAY")</f>
        <v>BAY</v>
      </c>
      <c r="C84" s="20">
        <f>IFERROR(__xludf.DUMMYFUNCTION("""COMPUTED_VALUE"""),12.9)</f>
        <v>12.9</v>
      </c>
      <c r="D84" s="21">
        <f>IFERROR(__xludf.DUMMYFUNCTION("""COMPUTED_VALUE"""),0.30415107301137895)</f>
        <v>0.304151073</v>
      </c>
      <c r="E84" s="21">
        <f>IFERROR(__xludf.DUMMYFUNCTION("""COMPUTED_VALUE"""),0.25936586889160645)</f>
        <v>0.2593658689</v>
      </c>
      <c r="F84" s="21">
        <f>IFERROR(__xludf.DUMMYFUNCTION("""COMPUTED_VALUE"""),0.5635169419029854)</f>
        <v>0.5635169419</v>
      </c>
      <c r="G84" s="23">
        <f>IFERROR(__xludf.DUMMYFUNCTION("""COMPUTED_VALUE"""),0.020164486345439242)</f>
        <v>0.02016448635</v>
      </c>
      <c r="H84" s="4"/>
      <c r="I84" s="5" t="s">
        <v>830</v>
      </c>
      <c r="J84" s="5" t="s">
        <v>634</v>
      </c>
      <c r="K84" s="5">
        <v>38.0</v>
      </c>
      <c r="L84" s="5">
        <v>0.36182</v>
      </c>
      <c r="M84" s="5">
        <v>0.26478</v>
      </c>
      <c r="N84" s="5">
        <v>0.6266</v>
      </c>
      <c r="O84" s="5">
        <v>0.03016</v>
      </c>
    </row>
    <row r="85">
      <c r="A85" s="12" t="str">
        <f>IFERROR(__xludf.DUMMYFUNCTION("""COMPUTED_VALUE"""),"Jonas Mattisseck")</f>
        <v>Jonas Mattisseck</v>
      </c>
      <c r="B85" s="13" t="str">
        <f>IFERROR(__xludf.DUMMYFUNCTION("""COMPUTED_VALUE"""),"BER")</f>
        <v>BER</v>
      </c>
      <c r="C85" s="14">
        <f>IFERROR(__xludf.DUMMYFUNCTION("""COMPUTED_VALUE"""),37.9)</f>
        <v>37.9</v>
      </c>
      <c r="D85" s="15">
        <f>IFERROR(__xludf.DUMMYFUNCTION("""COMPUTED_VALUE"""),0.06801606533196349)</f>
        <v>0.06801606533</v>
      </c>
      <c r="E85" s="15">
        <f>IFERROR(__xludf.DUMMYFUNCTION("""COMPUTED_VALUE"""),0.4927507769666345)</f>
        <v>0.492750777</v>
      </c>
      <c r="F85" s="15">
        <f>IFERROR(__xludf.DUMMYFUNCTION("""COMPUTED_VALUE"""),0.560766842298598)</f>
        <v>0.5607668423</v>
      </c>
      <c r="G85" s="17">
        <f>IFERROR(__xludf.DUMMYFUNCTION("""COMPUTED_VALUE"""),0.02935730097175911)</f>
        <v>0.02935730097</v>
      </c>
      <c r="H85" s="4"/>
      <c r="I85" s="5" t="s">
        <v>831</v>
      </c>
      <c r="J85" s="5" t="s">
        <v>681</v>
      </c>
      <c r="K85" s="24">
        <v>1118.0</v>
      </c>
      <c r="L85" s="5">
        <v>-0.18203</v>
      </c>
      <c r="M85" s="5">
        <v>0.77876</v>
      </c>
      <c r="N85" s="5">
        <v>0.59673</v>
      </c>
      <c r="O85" s="5">
        <v>0.8968</v>
      </c>
    </row>
    <row r="86">
      <c r="A86" s="18" t="str">
        <f>IFERROR(__xludf.DUMMYFUNCTION("""COMPUTED_VALUE"""),"David McCray")</f>
        <v>David McCray</v>
      </c>
      <c r="B86" s="19" t="str">
        <f>IFERROR(__xludf.DUMMYFUNCTION("""COMPUTED_VALUE"""),"LUD")</f>
        <v>LUD</v>
      </c>
      <c r="C86" s="20">
        <f>IFERROR(__xludf.DUMMYFUNCTION("""COMPUTED_VALUE"""),694.9)</f>
        <v>694.9</v>
      </c>
      <c r="D86" s="21">
        <f>IFERROR(__xludf.DUMMYFUNCTION("""COMPUTED_VALUE"""),-3.491243532515835)</f>
        <v>-3.491243533</v>
      </c>
      <c r="E86" s="21">
        <f>IFERROR(__xludf.DUMMYFUNCTION("""COMPUTED_VALUE"""),4.014785695976762)</f>
        <v>4.014785696</v>
      </c>
      <c r="F86" s="21">
        <f>IFERROR(__xludf.DUMMYFUNCTION("""COMPUTED_VALUE"""),0.523542163460927)</f>
        <v>0.5235421635</v>
      </c>
      <c r="G86" s="23">
        <f>IFERROR(__xludf.DUMMYFUNCTION("""COMPUTED_VALUE"""),0.5448507078129536)</f>
        <v>0.5448507078</v>
      </c>
      <c r="H86" s="4"/>
      <c r="I86" s="5" t="s">
        <v>833</v>
      </c>
      <c r="J86" s="5" t="s">
        <v>654</v>
      </c>
      <c r="K86" s="24">
        <v>442.0</v>
      </c>
      <c r="L86" s="5">
        <v>0.36114</v>
      </c>
      <c r="M86" s="5">
        <v>0.23172</v>
      </c>
      <c r="N86" s="5">
        <v>0.59286</v>
      </c>
      <c r="O86" s="5">
        <v>0.34852</v>
      </c>
    </row>
    <row r="87">
      <c r="A87" s="12" t="str">
        <f>IFERROR(__xludf.DUMMYFUNCTION("""COMPUTED_VALUE"""),"Lucca Staiger")</f>
        <v>Lucca Staiger</v>
      </c>
      <c r="B87" s="13" t="str">
        <f>IFERROR(__xludf.DUMMYFUNCTION("""COMPUTED_VALUE"""),"BRO")</f>
        <v>BRO</v>
      </c>
      <c r="C87" s="14">
        <f>IFERROR(__xludf.DUMMYFUNCTION("""COMPUTED_VALUE"""),584.7)</f>
        <v>584.7</v>
      </c>
      <c r="D87" s="15">
        <f>IFERROR(__xludf.DUMMYFUNCTION("""COMPUTED_VALUE"""),0.40000243569655525)</f>
        <v>0.4000024357</v>
      </c>
      <c r="E87" s="15">
        <f>IFERROR(__xludf.DUMMYFUNCTION("""COMPUTED_VALUE"""),0.11844586487734765)</f>
        <v>0.1184458649</v>
      </c>
      <c r="F87" s="15">
        <f>IFERROR(__xludf.DUMMYFUNCTION("""COMPUTED_VALUE"""),0.5184483005739029)</f>
        <v>0.5184483006</v>
      </c>
      <c r="G87" s="17">
        <f>IFERROR(__xludf.DUMMYFUNCTION("""COMPUTED_VALUE"""),0.4511669448703249)</f>
        <v>0.4511669449</v>
      </c>
      <c r="H87" s="4"/>
      <c r="I87" s="5" t="s">
        <v>836</v>
      </c>
      <c r="J87" s="5" t="s">
        <v>693</v>
      </c>
      <c r="K87" s="5">
        <v>53.0</v>
      </c>
      <c r="L87" s="5">
        <v>0.13075</v>
      </c>
      <c r="M87" s="5">
        <v>0.43682</v>
      </c>
      <c r="N87" s="5">
        <v>0.56758</v>
      </c>
      <c r="O87" s="5">
        <v>0.04103</v>
      </c>
    </row>
    <row r="88">
      <c r="A88" s="18" t="str">
        <f>IFERROR(__xludf.DUMMYFUNCTION("""COMPUTED_VALUE"""),"Andrew Warren")</f>
        <v>Andrew Warren</v>
      </c>
      <c r="B88" s="19" t="str">
        <f>IFERROR(__xludf.DUMMYFUNCTION("""COMPUTED_VALUE"""),"BC")</f>
        <v>BC</v>
      </c>
      <c r="C88" s="20">
        <f>IFERROR(__xludf.DUMMYFUNCTION("""COMPUTED_VALUE"""),487.6)</f>
        <v>487.6</v>
      </c>
      <c r="D88" s="21">
        <f>IFERROR(__xludf.DUMMYFUNCTION("""COMPUTED_VALUE"""),4.206513774709453)</f>
        <v>4.206513775</v>
      </c>
      <c r="E88" s="21">
        <f>IFERROR(__xludf.DUMMYFUNCTION("""COMPUTED_VALUE"""),-3.6972383115700596)</f>
        <v>-3.697238312</v>
      </c>
      <c r="F88" s="21">
        <f>IFERROR(__xludf.DUMMYFUNCTION("""COMPUTED_VALUE"""),0.5092754631393936)</f>
        <v>0.5092754631</v>
      </c>
      <c r="G88" s="23">
        <f>IFERROR(__xludf.DUMMYFUNCTION("""COMPUTED_VALUE"""),0.40405677885600993)</f>
        <v>0.4040567789</v>
      </c>
      <c r="H88" s="4"/>
      <c r="I88" s="5" t="s">
        <v>839</v>
      </c>
      <c r="J88" s="5" t="s">
        <v>737</v>
      </c>
      <c r="K88" s="5">
        <v>488.0</v>
      </c>
      <c r="L88" s="5">
        <v>3.62609</v>
      </c>
      <c r="M88" s="5">
        <v>-3.11671</v>
      </c>
      <c r="N88" s="5">
        <v>0.50938</v>
      </c>
      <c r="O88" s="5">
        <v>0.40407</v>
      </c>
    </row>
    <row r="89">
      <c r="A89" s="12" t="str">
        <f>IFERROR(__xludf.DUMMYFUNCTION("""COMPUTED_VALUE"""),"Joschka Ferner")</f>
        <v>Joschka Ferner</v>
      </c>
      <c r="B89" s="13" t="str">
        <f>IFERROR(__xludf.DUMMYFUNCTION("""COMPUTED_VALUE"""),"RUL")</f>
        <v>RUL</v>
      </c>
      <c r="C89" s="14">
        <f>IFERROR(__xludf.DUMMYFUNCTION("""COMPUTED_VALUE"""),103.2)</f>
        <v>103.2</v>
      </c>
      <c r="D89" s="15">
        <f>IFERROR(__xludf.DUMMYFUNCTION("""COMPUTED_VALUE"""),0.8437705060761543)</f>
        <v>0.8437705061</v>
      </c>
      <c r="E89" s="15">
        <f>IFERROR(__xludf.DUMMYFUNCTION("""COMPUTED_VALUE"""),-0.35591387633434474)</f>
        <v>-0.3559138763</v>
      </c>
      <c r="F89" s="15">
        <f>IFERROR(__xludf.DUMMYFUNCTION("""COMPUTED_VALUE"""),0.4878566297418096)</f>
        <v>0.4878566297</v>
      </c>
      <c r="G89" s="17">
        <f>IFERROR(__xludf.DUMMYFUNCTION("""COMPUTED_VALUE"""),0.0779977374829301)</f>
        <v>0.07799773748</v>
      </c>
      <c r="H89" s="4"/>
      <c r="I89" s="5" t="s">
        <v>458</v>
      </c>
      <c r="J89" s="5" t="s">
        <v>72</v>
      </c>
      <c r="K89" s="5">
        <v>778.0</v>
      </c>
      <c r="L89" s="5">
        <v>0.59051</v>
      </c>
      <c r="M89" s="5">
        <v>-0.09568</v>
      </c>
      <c r="N89" s="5">
        <v>0.49482</v>
      </c>
      <c r="O89" s="5">
        <v>0.59515</v>
      </c>
    </row>
    <row r="90">
      <c r="A90" s="18" t="str">
        <f>IFERROR(__xludf.DUMMYFUNCTION("""COMPUTED_VALUE"""),"Jonas Niedermanner")</f>
        <v>Jonas Niedermanner</v>
      </c>
      <c r="B90" s="19" t="str">
        <f>IFERROR(__xludf.DUMMYFUNCTION("""COMPUTED_VALUE"""),"BC")</f>
        <v>BC</v>
      </c>
      <c r="C90" s="20">
        <f>IFERROR(__xludf.DUMMYFUNCTION("""COMPUTED_VALUE"""),11.2)</f>
        <v>11.2</v>
      </c>
      <c r="D90" s="21">
        <f>IFERROR(__xludf.DUMMYFUNCTION("""COMPUTED_VALUE"""),0.6415103533104238)</f>
        <v>0.6415103533</v>
      </c>
      <c r="E90" s="21">
        <f>IFERROR(__xludf.DUMMYFUNCTION("""COMPUTED_VALUE"""),-0.18629611174526867)</f>
        <v>-0.1862961117</v>
      </c>
      <c r="F90" s="21">
        <f>IFERROR(__xludf.DUMMYFUNCTION("""COMPUTED_VALUE"""),0.45521424156515516)</f>
        <v>0.4552142416</v>
      </c>
      <c r="G90" s="23">
        <f>IFERROR(__xludf.DUMMYFUNCTION("""COMPUTED_VALUE"""),0.009081085773215161)</f>
        <v>0.009081085773</v>
      </c>
      <c r="H90" s="4"/>
      <c r="I90" s="5" t="s">
        <v>312</v>
      </c>
      <c r="J90" s="5" t="s">
        <v>72</v>
      </c>
      <c r="K90" s="5">
        <v>568.0</v>
      </c>
      <c r="L90" s="5">
        <v>1.15279</v>
      </c>
      <c r="M90" s="5">
        <v>-0.65949</v>
      </c>
      <c r="N90" s="5">
        <v>0.4933</v>
      </c>
      <c r="O90" s="5">
        <v>0.43392</v>
      </c>
    </row>
    <row r="91">
      <c r="A91" s="12" t="str">
        <f>IFERROR(__xludf.DUMMYFUNCTION("""COMPUTED_VALUE"""),"Bogdan Radosavljevic")</f>
        <v>Bogdan Radosavljevic</v>
      </c>
      <c r="B91" s="13" t="str">
        <f>IFERROR(__xludf.DUMMYFUNCTION("""COMPUTED_VALUE"""),"BER")</f>
        <v>BER</v>
      </c>
      <c r="C91" s="14">
        <f>IFERROR(__xludf.DUMMYFUNCTION("""COMPUTED_VALUE"""),397.1)</f>
        <v>397.1</v>
      </c>
      <c r="D91" s="15">
        <f>IFERROR(__xludf.DUMMYFUNCTION("""COMPUTED_VALUE"""),-2.2066832308323345)</f>
        <v>-2.206683231</v>
      </c>
      <c r="E91" s="15">
        <f>IFERROR(__xludf.DUMMYFUNCTION("""COMPUTED_VALUE"""),2.641544691727847)</f>
        <v>2.641544692</v>
      </c>
      <c r="F91" s="15">
        <f>IFERROR(__xludf.DUMMYFUNCTION("""COMPUTED_VALUE"""),0.4348614608955126)</f>
        <v>0.4348614609</v>
      </c>
      <c r="G91" s="17">
        <f>IFERROR(__xludf.DUMMYFUNCTION("""COMPUTED_VALUE"""),0.2924697947162554)</f>
        <v>0.2924697947</v>
      </c>
      <c r="H91" s="4"/>
      <c r="I91" s="5" t="s">
        <v>843</v>
      </c>
      <c r="J91" s="5" t="s">
        <v>693</v>
      </c>
      <c r="K91" s="5">
        <v>103.0</v>
      </c>
      <c r="L91" s="5">
        <v>0.91338</v>
      </c>
      <c r="M91" s="5">
        <v>-0.42572</v>
      </c>
      <c r="N91" s="5">
        <v>0.48767</v>
      </c>
      <c r="O91" s="5">
        <v>0.07799</v>
      </c>
    </row>
    <row r="92">
      <c r="A92" s="18" t="str">
        <f>IFERROR(__xludf.DUMMYFUNCTION("""COMPUTED_VALUE"""),"Felix Hoffmann")</f>
        <v>Felix Hoffmann</v>
      </c>
      <c r="B92" s="19" t="str">
        <f>IFERROR(__xludf.DUMMYFUNCTION("""COMPUTED_VALUE"""),"OLI")</f>
        <v>OLI</v>
      </c>
      <c r="C92" s="20">
        <f>IFERROR(__xludf.DUMMYFUNCTION("""COMPUTED_VALUE"""),161.5)</f>
        <v>161.5</v>
      </c>
      <c r="D92" s="21">
        <f>IFERROR(__xludf.DUMMYFUNCTION("""COMPUTED_VALUE"""),-0.14088031980686333)</f>
        <v>-0.1408803198</v>
      </c>
      <c r="E92" s="21">
        <f>IFERROR(__xludf.DUMMYFUNCTION("""COMPUTED_VALUE"""),0.5578115669642709)</f>
        <v>0.557811567</v>
      </c>
      <c r="F92" s="21">
        <f>IFERROR(__xludf.DUMMYFUNCTION("""COMPUTED_VALUE"""),0.41693124715740765)</f>
        <v>0.4169312472</v>
      </c>
      <c r="G92" s="23">
        <f>IFERROR(__xludf.DUMMYFUNCTION("""COMPUTED_VALUE"""),0.11871806910218438)</f>
        <v>0.1187180691</v>
      </c>
      <c r="H92" s="4"/>
      <c r="I92" s="5" t="s">
        <v>845</v>
      </c>
      <c r="J92" s="5" t="s">
        <v>737</v>
      </c>
      <c r="K92" s="24">
        <v>11.0</v>
      </c>
      <c r="L92" s="5">
        <v>0.61981</v>
      </c>
      <c r="M92" s="5">
        <v>-0.16462</v>
      </c>
      <c r="N92" s="5">
        <v>0.45519</v>
      </c>
      <c r="O92" s="5">
        <v>0.00908</v>
      </c>
    </row>
    <row r="93">
      <c r="A93" s="12" t="str">
        <f>IFERROR(__xludf.DUMMYFUNCTION("""COMPUTED_VALUE"""),"Durand Scott")</f>
        <v>Durand Scott</v>
      </c>
      <c r="B93" s="13" t="str">
        <f>IFERROR(__xludf.DUMMYFUNCTION("""COMPUTED_VALUE"""),"EWE")</f>
        <v>EWE</v>
      </c>
      <c r="C93" s="14">
        <f>IFERROR(__xludf.DUMMYFUNCTION("""COMPUTED_VALUE"""),59.1)</f>
        <v>59.1</v>
      </c>
      <c r="D93" s="15">
        <f>IFERROR(__xludf.DUMMYFUNCTION("""COMPUTED_VALUE"""),0.41251487391109604)</f>
        <v>0.4125148739</v>
      </c>
      <c r="E93" s="15">
        <f>IFERROR(__xludf.DUMMYFUNCTION("""COMPUTED_VALUE"""),-0.013671846887002737)</f>
        <v>-0.01367184689</v>
      </c>
      <c r="F93" s="15">
        <f>IFERROR(__xludf.DUMMYFUNCTION("""COMPUTED_VALUE"""),0.3988430270240933)</f>
        <v>0.398843027</v>
      </c>
      <c r="G93" s="17">
        <f>IFERROR(__xludf.DUMMYFUNCTION("""COMPUTED_VALUE"""),0.04308441233189129)</f>
        <v>0.04308441233</v>
      </c>
      <c r="H93" s="4"/>
      <c r="I93" s="5" t="s">
        <v>848</v>
      </c>
      <c r="J93" s="5" t="s">
        <v>711</v>
      </c>
      <c r="K93" s="5">
        <v>162.0</v>
      </c>
      <c r="L93" s="5">
        <v>-0.09194</v>
      </c>
      <c r="M93" s="5">
        <v>0.50843</v>
      </c>
      <c r="N93" s="5">
        <v>0.41649</v>
      </c>
      <c r="O93" s="5">
        <v>0.1187</v>
      </c>
    </row>
    <row r="94">
      <c r="A94" s="18" t="str">
        <f>IFERROR(__xludf.DUMMYFUNCTION("""COMPUTED_VALUE"""),"Owen Klassen")</f>
        <v>Owen Klassen</v>
      </c>
      <c r="B94" s="19" t="str">
        <f>IFERROR(__xludf.DUMMYFUNCTION("""COMPUTED_VALUE"""),"OLI")</f>
        <v>OLI</v>
      </c>
      <c r="C94" s="20">
        <f>IFERROR(__xludf.DUMMYFUNCTION("""COMPUTED_VALUE"""),432.4)</f>
        <v>432.4</v>
      </c>
      <c r="D94" s="21">
        <f>IFERROR(__xludf.DUMMYFUNCTION("""COMPUTED_VALUE"""),-1.736495539555849)</f>
        <v>-1.73649554</v>
      </c>
      <c r="E94" s="21">
        <f>IFERROR(__xludf.DUMMYFUNCTION("""COMPUTED_VALUE"""),2.1099663941793674)</f>
        <v>2.109966394</v>
      </c>
      <c r="F94" s="21">
        <f>IFERROR(__xludf.DUMMYFUNCTION("""COMPUTED_VALUE"""),0.3734708546235186)</f>
        <v>0.3734708546</v>
      </c>
      <c r="G94" s="23">
        <f>IFERROR(__xludf.DUMMYFUNCTION("""COMPUTED_VALUE"""),0.31214011756020565)</f>
        <v>0.3121401176</v>
      </c>
      <c r="H94" s="4"/>
      <c r="I94" s="5" t="s">
        <v>850</v>
      </c>
      <c r="J94" s="5" t="s">
        <v>654</v>
      </c>
      <c r="K94" s="5">
        <v>59.0</v>
      </c>
      <c r="L94" s="5">
        <v>0.75509</v>
      </c>
      <c r="M94" s="5">
        <v>-0.35631</v>
      </c>
      <c r="N94" s="5">
        <v>0.39878</v>
      </c>
      <c r="O94" s="5">
        <v>0.04308</v>
      </c>
    </row>
    <row r="95">
      <c r="A95" s="12" t="str">
        <f>IFERROR(__xludf.DUMMYFUNCTION("""COMPUTED_VALUE"""),"Austin Hollins")</f>
        <v>Austin Hollins</v>
      </c>
      <c r="B95" s="13" t="str">
        <f>IFERROR(__xludf.DUMMYFUNCTION("""COMPUTED_VALUE"""),"GIE")</f>
        <v>GIE</v>
      </c>
      <c r="C95" s="14">
        <f>IFERROR(__xludf.DUMMYFUNCTION("""COMPUTED_VALUE"""),751.1)</f>
        <v>751.1</v>
      </c>
      <c r="D95" s="15">
        <f>IFERROR(__xludf.DUMMYFUNCTION("""COMPUTED_VALUE"""),1.0028824697138723)</f>
        <v>1.00288247</v>
      </c>
      <c r="E95" s="15">
        <f>IFERROR(__xludf.DUMMYFUNCTION("""COMPUTED_VALUE"""),-0.6322586284176703)</f>
        <v>-0.6322586284</v>
      </c>
      <c r="F95" s="15">
        <f>IFERROR(__xludf.DUMMYFUNCTION("""COMPUTED_VALUE"""),0.370623841296202)</f>
        <v>0.3706238413</v>
      </c>
      <c r="G95" s="17">
        <f>IFERROR(__xludf.DUMMYFUNCTION("""COMPUTED_VALUE"""),0.5462241090701785)</f>
        <v>0.5462241091</v>
      </c>
      <c r="H95" s="4"/>
      <c r="I95" s="5" t="s">
        <v>243</v>
      </c>
      <c r="J95" s="5" t="s">
        <v>72</v>
      </c>
      <c r="K95" s="5">
        <v>14.0</v>
      </c>
      <c r="L95" s="5">
        <v>0.18658</v>
      </c>
      <c r="M95" s="5">
        <v>0.19231</v>
      </c>
      <c r="N95" s="5">
        <v>0.37889</v>
      </c>
      <c r="O95" s="5">
        <v>0.0105</v>
      </c>
    </row>
    <row r="96">
      <c r="A96" s="18" t="str">
        <f>IFERROR(__xludf.DUMMYFUNCTION("""COMPUTED_VALUE"""),"Eddy Edigin")</f>
        <v>Eddy Edigin</v>
      </c>
      <c r="B96" s="19" t="str">
        <f>IFERROR(__xludf.DUMMYFUNCTION("""COMPUTED_VALUE"""),"BRO")</f>
        <v>BRO</v>
      </c>
      <c r="C96" s="20">
        <f>IFERROR(__xludf.DUMMYFUNCTION("""COMPUTED_VALUE"""),14.4)</f>
        <v>14.4</v>
      </c>
      <c r="D96" s="21">
        <f>IFERROR(__xludf.DUMMYFUNCTION("""COMPUTED_VALUE"""),0.13643298622645378)</f>
        <v>0.1364329862</v>
      </c>
      <c r="E96" s="21">
        <f>IFERROR(__xludf.DUMMYFUNCTION("""COMPUTED_VALUE"""),0.22378826429901738)</f>
        <v>0.2237882643</v>
      </c>
      <c r="F96" s="21">
        <f>IFERROR(__xludf.DUMMYFUNCTION("""COMPUTED_VALUE"""),0.36022125052547116)</f>
        <v>0.3602212505</v>
      </c>
      <c r="G96" s="23">
        <f>IFERROR(__xludf.DUMMYFUNCTION("""COMPUTED_VALUE"""),0.010413251264635149)</f>
        <v>0.01041325126</v>
      </c>
      <c r="H96" s="4"/>
      <c r="I96" s="5" t="s">
        <v>720</v>
      </c>
      <c r="J96" s="5" t="s">
        <v>711</v>
      </c>
      <c r="K96" s="5">
        <v>432.0</v>
      </c>
      <c r="L96" s="5">
        <v>-1.64467</v>
      </c>
      <c r="M96" s="5">
        <v>2.01807</v>
      </c>
      <c r="N96" s="5">
        <v>0.3734</v>
      </c>
      <c r="O96" s="5">
        <v>0.31213</v>
      </c>
    </row>
    <row r="97">
      <c r="A97" s="12" t="str">
        <f>IFERROR(__xludf.DUMMYFUNCTION("""COMPUTED_VALUE"""),"Katin Reinhardt")</f>
        <v>Katin Reinhardt</v>
      </c>
      <c r="B97" s="13" t="str">
        <f>IFERROR(__xludf.DUMMYFUNCTION("""COMPUTED_VALUE"""),"RUL")</f>
        <v>RUL</v>
      </c>
      <c r="C97" s="14">
        <f>IFERROR(__xludf.DUMMYFUNCTION("""COMPUTED_VALUE"""),322.6)</f>
        <v>322.6</v>
      </c>
      <c r="D97" s="15">
        <f>IFERROR(__xludf.DUMMYFUNCTION("""COMPUTED_VALUE"""),2.3091844508740738)</f>
        <v>2.309184451</v>
      </c>
      <c r="E97" s="15">
        <f>IFERROR(__xludf.DUMMYFUNCTION("""COMPUTED_VALUE"""),-2.004106328963818)</f>
        <v>-2.004106329</v>
      </c>
      <c r="F97" s="15">
        <f>IFERROR(__xludf.DUMMYFUNCTION("""COMPUTED_VALUE"""),0.30507812191025585)</f>
        <v>0.3050781219</v>
      </c>
      <c r="G97" s="17">
        <f>IFERROR(__xludf.DUMMYFUNCTION("""COMPUTED_VALUE"""),0.22590558624578355)</f>
        <v>0.2259055862</v>
      </c>
      <c r="H97" s="4"/>
      <c r="I97" s="5" t="s">
        <v>854</v>
      </c>
      <c r="J97" s="5" t="s">
        <v>673</v>
      </c>
      <c r="K97" s="5">
        <v>751.0</v>
      </c>
      <c r="L97" s="5">
        <v>0.79858</v>
      </c>
      <c r="M97" s="5">
        <v>-0.42796</v>
      </c>
      <c r="N97" s="5">
        <v>0.37063</v>
      </c>
      <c r="O97" s="5">
        <v>0.54622</v>
      </c>
    </row>
    <row r="98">
      <c r="A98" s="18" t="str">
        <f>IFERROR(__xludf.DUMMYFUNCTION("""COMPUTED_VALUE"""),"Jonas Wohlfarth-Bottermann")</f>
        <v>Jonas Wohlfarth-Bottermann</v>
      </c>
      <c r="B98" s="19" t="str">
        <f>IFERROR(__xludf.DUMMYFUNCTION("""COMPUTED_VALUE"""),"FRA")</f>
        <v>FRA</v>
      </c>
      <c r="C98" s="20">
        <f>IFERROR(__xludf.DUMMYFUNCTION("""COMPUTED_VALUE"""),563.2)</f>
        <v>563.2</v>
      </c>
      <c r="D98" s="21">
        <f>IFERROR(__xludf.DUMMYFUNCTION("""COMPUTED_VALUE"""),-1.5723287353671909)</f>
        <v>-1.572328735</v>
      </c>
      <c r="E98" s="21">
        <f>IFERROR(__xludf.DUMMYFUNCTION("""COMPUTED_VALUE"""),1.8554936786401175)</f>
        <v>1.855493679</v>
      </c>
      <c r="F98" s="21">
        <f>IFERROR(__xludf.DUMMYFUNCTION("""COMPUTED_VALUE"""),0.2831649432729266)</f>
        <v>0.2831649433</v>
      </c>
      <c r="G98" s="23">
        <f>IFERROR(__xludf.DUMMYFUNCTION("""COMPUTED_VALUE"""),0.3933725849862116)</f>
        <v>0.393372585</v>
      </c>
      <c r="H98" s="4"/>
      <c r="I98" s="5" t="s">
        <v>856</v>
      </c>
      <c r="J98" s="5" t="s">
        <v>644</v>
      </c>
      <c r="K98" s="24">
        <v>865.0</v>
      </c>
      <c r="L98" s="5">
        <v>0.34826</v>
      </c>
      <c r="M98" s="5">
        <v>-0.0071</v>
      </c>
      <c r="N98" s="5">
        <v>0.34116</v>
      </c>
      <c r="O98" s="5">
        <v>1.23641</v>
      </c>
    </row>
    <row r="99">
      <c r="A99" s="12" t="str">
        <f>IFERROR(__xludf.DUMMYFUNCTION("""COMPUTED_VALUE"""),"Nikos Zisis")</f>
        <v>Nikos Zisis</v>
      </c>
      <c r="B99" s="13" t="str">
        <f>IFERROR(__xludf.DUMMYFUNCTION("""COMPUTED_VALUE"""),"BRO")</f>
        <v>BRO</v>
      </c>
      <c r="C99" s="14">
        <f>IFERROR(__xludf.DUMMYFUNCTION("""COMPUTED_VALUE"""),850.5)</f>
        <v>850.5</v>
      </c>
      <c r="D99" s="15">
        <f>IFERROR(__xludf.DUMMYFUNCTION("""COMPUTED_VALUE"""),-0.5820912073877856)</f>
        <v>-0.5820912074</v>
      </c>
      <c r="E99" s="15">
        <f>IFERROR(__xludf.DUMMYFUNCTION("""COMPUTED_VALUE"""),0.8251348111782221)</f>
        <v>0.8251348112</v>
      </c>
      <c r="F99" s="15">
        <f>IFERROR(__xludf.DUMMYFUNCTION("""COMPUTED_VALUE"""),0.24304360379043644)</f>
        <v>0.2430436038</v>
      </c>
      <c r="G99" s="17">
        <f>IFERROR(__xludf.DUMMYFUNCTION("""COMPUTED_VALUE"""),0.5844981938525682)</f>
        <v>0.5844981939</v>
      </c>
      <c r="H99" s="4"/>
      <c r="I99" s="5" t="s">
        <v>859</v>
      </c>
      <c r="J99" s="5" t="s">
        <v>693</v>
      </c>
      <c r="K99" s="5">
        <v>323.0</v>
      </c>
      <c r="L99" s="5">
        <v>2.51321</v>
      </c>
      <c r="M99" s="5">
        <v>-2.20732</v>
      </c>
      <c r="N99" s="5">
        <v>0.3059</v>
      </c>
      <c r="O99" s="5">
        <v>0.22599</v>
      </c>
    </row>
    <row r="100">
      <c r="A100" s="18" t="str">
        <f>IFERROR(__xludf.DUMMYFUNCTION("""COMPUTED_VALUE"""),"Nicolas Bretzel")</f>
        <v>Nicolas Bretzel</v>
      </c>
      <c r="B100" s="19" t="str">
        <f>IFERROR(__xludf.DUMMYFUNCTION("""COMPUTED_VALUE"""),"RUL")</f>
        <v>RUL</v>
      </c>
      <c r="C100" s="20">
        <f>IFERROR(__xludf.DUMMYFUNCTION("""COMPUTED_VALUE"""),6.2)</f>
        <v>6.2</v>
      </c>
      <c r="D100" s="21">
        <f>IFERROR(__xludf.DUMMYFUNCTION("""COMPUTED_VALUE"""),0.029479328358184505)</f>
        <v>0.02947932836</v>
      </c>
      <c r="E100" s="21">
        <f>IFERROR(__xludf.DUMMYFUNCTION("""COMPUTED_VALUE"""),0.16389234454849724)</f>
        <v>0.1638923445</v>
      </c>
      <c r="F100" s="21">
        <f>IFERROR(__xludf.DUMMYFUNCTION("""COMPUTED_VALUE"""),0.19337167290668175)</f>
        <v>0.1933716729</v>
      </c>
      <c r="G100" s="23">
        <f>IFERROR(__xludf.DUMMYFUNCTION("""COMPUTED_VALUE"""),0.004131244307454464)</f>
        <v>0.004131244307</v>
      </c>
      <c r="H100" s="4"/>
      <c r="I100" s="5" t="s">
        <v>862</v>
      </c>
      <c r="J100" s="5" t="s">
        <v>636</v>
      </c>
      <c r="K100" s="5">
        <v>110.0</v>
      </c>
      <c r="L100" s="5">
        <v>-0.5076</v>
      </c>
      <c r="M100" s="5">
        <v>0.80431</v>
      </c>
      <c r="N100" s="5">
        <v>0.29671</v>
      </c>
      <c r="O100" s="5">
        <v>0.07842</v>
      </c>
    </row>
    <row r="101">
      <c r="A101" s="12" t="str">
        <f>IFERROR(__xludf.DUMMYFUNCTION("""COMPUTED_VALUE"""),"Shawn Huff")</f>
        <v>Shawn Huff</v>
      </c>
      <c r="B101" s="13" t="str">
        <f>IFERROR(__xludf.DUMMYFUNCTION("""COMPUTED_VALUE"""),"FRA")</f>
        <v>FRA</v>
      </c>
      <c r="C101" s="14">
        <f>IFERROR(__xludf.DUMMYFUNCTION("""COMPUTED_VALUE"""),1022.3)</f>
        <v>1022.3</v>
      </c>
      <c r="D101" s="15">
        <f>IFERROR(__xludf.DUMMYFUNCTION("""COMPUTED_VALUE"""),1.6498825630435112)</f>
        <v>1.649882563</v>
      </c>
      <c r="E101" s="15">
        <f>IFERROR(__xludf.DUMMYFUNCTION("""COMPUTED_VALUE"""),-1.4703871780442377)</f>
        <v>-1.470387178</v>
      </c>
      <c r="F101" s="15">
        <f>IFERROR(__xludf.DUMMYFUNCTION("""COMPUTED_VALUE"""),0.17949538499927348)</f>
        <v>0.179495385</v>
      </c>
      <c r="G101" s="17">
        <f>IFERROR(__xludf.DUMMYFUNCTION("""COMPUTED_VALUE"""),0.6816139507057714)</f>
        <v>0.6816139507</v>
      </c>
      <c r="H101" s="4"/>
      <c r="I101" s="5" t="s">
        <v>862</v>
      </c>
      <c r="J101" s="5" t="s">
        <v>636</v>
      </c>
      <c r="K101" s="5">
        <v>110.0</v>
      </c>
      <c r="L101" s="5">
        <v>-0.5076</v>
      </c>
      <c r="M101" s="5">
        <v>0.80431</v>
      </c>
      <c r="N101" s="5">
        <v>0.29671</v>
      </c>
      <c r="O101" s="5">
        <v>0.07842</v>
      </c>
    </row>
    <row r="102">
      <c r="A102" s="18" t="str">
        <f>IFERROR(__xludf.DUMMYFUNCTION("""COMPUTED_VALUE"""),"James Robinson")</f>
        <v>James Robinson</v>
      </c>
      <c r="B102" s="19" t="str">
        <f>IFERROR(__xludf.DUMMYFUNCTION("""COMPUTED_VALUE"""),"BAY")</f>
        <v>BAY</v>
      </c>
      <c r="C102" s="20">
        <f>IFERROR(__xludf.DUMMYFUNCTION("""COMPUTED_VALUE"""),864.7)</f>
        <v>864.7</v>
      </c>
      <c r="D102" s="21">
        <f>IFERROR(__xludf.DUMMYFUNCTION("""COMPUTED_VALUE"""),-0.9897153209307921)</f>
        <v>-0.9897153209</v>
      </c>
      <c r="E102" s="21">
        <f>IFERROR(__xludf.DUMMYFUNCTION("""COMPUTED_VALUE"""),1.1275306365642908)</f>
        <v>1.127530637</v>
      </c>
      <c r="F102" s="21">
        <f>IFERROR(__xludf.DUMMYFUNCTION("""COMPUTED_VALUE"""),0.1378153156334987)</f>
        <v>0.1378153156</v>
      </c>
      <c r="G102" s="23">
        <f>IFERROR(__xludf.DUMMYFUNCTION("""COMPUTED_VALUE"""),1.1271894216790237)</f>
        <v>1.127189422</v>
      </c>
      <c r="H102" s="4"/>
      <c r="I102" s="5" t="s">
        <v>866</v>
      </c>
      <c r="J102" s="5" t="s">
        <v>697</v>
      </c>
      <c r="K102" s="5">
        <v>563.0</v>
      </c>
      <c r="L102" s="5">
        <v>-2.28068</v>
      </c>
      <c r="M102" s="5">
        <v>2.56442</v>
      </c>
      <c r="N102" s="5">
        <v>0.28373</v>
      </c>
      <c r="O102" s="5">
        <v>0.39347</v>
      </c>
    </row>
    <row r="103">
      <c r="A103" s="12" t="str">
        <f>IFERROR(__xludf.DUMMYFUNCTION("""COMPUTED_VALUE"""),"Steve Vasturia")</f>
        <v>Steve Vasturia</v>
      </c>
      <c r="B103" s="13" t="str">
        <f>IFERROR(__xludf.DUMMYFUNCTION("""COMPUTED_VALUE"""),"BER")</f>
        <v>BER</v>
      </c>
      <c r="C103" s="14">
        <f>IFERROR(__xludf.DUMMYFUNCTION("""COMPUTED_VALUE"""),25.2)</f>
        <v>25.2</v>
      </c>
      <c r="D103" s="15">
        <f>IFERROR(__xludf.DUMMYFUNCTION("""COMPUTED_VALUE"""),-0.013996789284865419)</f>
        <v>-0.01399678928</v>
      </c>
      <c r="E103" s="15">
        <f>IFERROR(__xludf.DUMMYFUNCTION("""COMPUTED_VALUE"""),0.14131267060717237)</f>
        <v>0.1413126706</v>
      </c>
      <c r="F103" s="15">
        <f>IFERROR(__xludf.DUMMYFUNCTION("""COMPUTED_VALUE"""),0.12731588132230695)</f>
        <v>0.1273158813</v>
      </c>
      <c r="G103" s="17">
        <f>IFERROR(__xludf.DUMMYFUNCTION("""COMPUTED_VALUE"""),0.01621583813411365)</f>
        <v>0.01621583813</v>
      </c>
      <c r="H103" s="4"/>
      <c r="I103" s="5" t="s">
        <v>868</v>
      </c>
      <c r="J103" s="5" t="s">
        <v>693</v>
      </c>
      <c r="K103" s="5">
        <v>6.0</v>
      </c>
      <c r="L103" s="5">
        <v>0.03372</v>
      </c>
      <c r="M103" s="5">
        <v>0.15969</v>
      </c>
      <c r="N103" s="5">
        <v>0.19341</v>
      </c>
      <c r="O103" s="5">
        <v>0.00413</v>
      </c>
    </row>
    <row r="104">
      <c r="A104" s="18" t="str">
        <f>IFERROR(__xludf.DUMMYFUNCTION("""COMPUTED_VALUE"""),"Ekene Ibekwe")</f>
        <v>Ekene Ibekwe</v>
      </c>
      <c r="B104" s="19" t="str">
        <f>IFERROR(__xludf.DUMMYFUNCTION("""COMPUTED_VALUE"""),"BIG")</f>
        <v>BIG</v>
      </c>
      <c r="C104" s="20">
        <f>IFERROR(__xludf.DUMMYFUNCTION("""COMPUTED_VALUE"""),310.4)</f>
        <v>310.4</v>
      </c>
      <c r="D104" s="21">
        <f>IFERROR(__xludf.DUMMYFUNCTION("""COMPUTED_VALUE"""),-0.9444262534573827)</f>
        <v>-0.9444262535</v>
      </c>
      <c r="E104" s="21">
        <f>IFERROR(__xludf.DUMMYFUNCTION("""COMPUTED_VALUE"""),1.0486575094458113)</f>
        <v>1.048657509</v>
      </c>
      <c r="F104" s="21">
        <f>IFERROR(__xludf.DUMMYFUNCTION("""COMPUTED_VALUE"""),0.10423125598842842)</f>
        <v>0.104231256</v>
      </c>
      <c r="G104" s="23">
        <f>IFERROR(__xludf.DUMMYFUNCTION("""COMPUTED_VALUE"""),0.20490874727015024)</f>
        <v>0.2049087473</v>
      </c>
      <c r="H104" s="4"/>
      <c r="I104" s="5" t="s">
        <v>870</v>
      </c>
      <c r="J104" s="5" t="s">
        <v>697</v>
      </c>
      <c r="K104" s="24">
        <v>1022.0</v>
      </c>
      <c r="L104" s="5">
        <v>0.94022</v>
      </c>
      <c r="M104" s="5">
        <v>-0.76123</v>
      </c>
      <c r="N104" s="5">
        <v>0.17899</v>
      </c>
      <c r="O104" s="5">
        <v>0.68146</v>
      </c>
    </row>
    <row r="105">
      <c r="A105" s="12" t="str">
        <f>IFERROR(__xludf.DUMMYFUNCTION("""COMPUTED_VALUE"""),"Nemanja Djurisic")</f>
        <v>Nemanja Djurisic</v>
      </c>
      <c r="B105" s="13" t="str">
        <f>IFERROR(__xludf.DUMMYFUNCTION("""COMPUTED_VALUE"""),"TBB")</f>
        <v>TBB</v>
      </c>
      <c r="C105" s="14">
        <f>IFERROR(__xludf.DUMMYFUNCTION("""COMPUTED_VALUE"""),667.4)</f>
        <v>667.4</v>
      </c>
      <c r="D105" s="15">
        <f>IFERROR(__xludf.DUMMYFUNCTION("""COMPUTED_VALUE"""),-2.0960030261522253)</f>
        <v>-2.096003026</v>
      </c>
      <c r="E105" s="15">
        <f>IFERROR(__xludf.DUMMYFUNCTION("""COMPUTED_VALUE"""),2.17209393765743)</f>
        <v>2.172093938</v>
      </c>
      <c r="F105" s="15">
        <f>IFERROR(__xludf.DUMMYFUNCTION("""COMPUTED_VALUE"""),0.07609091150520486)</f>
        <v>0.07609091151</v>
      </c>
      <c r="G105" s="17">
        <f>IFERROR(__xludf.DUMMYFUNCTION("""COMPUTED_VALUE"""),0.4212157537047382)</f>
        <v>0.4212157537</v>
      </c>
      <c r="H105" s="4"/>
      <c r="I105" s="5" t="s">
        <v>873</v>
      </c>
      <c r="J105" s="5" t="s">
        <v>634</v>
      </c>
      <c r="K105" s="5">
        <v>25.0</v>
      </c>
      <c r="L105" s="5">
        <v>0.18268</v>
      </c>
      <c r="M105" s="5">
        <v>-0.01022</v>
      </c>
      <c r="N105" s="5">
        <v>0.17246</v>
      </c>
      <c r="O105" s="5">
        <v>0.01659</v>
      </c>
    </row>
    <row r="106">
      <c r="A106" s="18" t="str">
        <f>IFERROR(__xludf.DUMMYFUNCTION("""COMPUTED_VALUE"""),"Luke Harangody")</f>
        <v>Luke Harangody</v>
      </c>
      <c r="B106" s="19" t="str">
        <f>IFERROR(__xludf.DUMMYFUNCTION("""COMPUTED_VALUE"""),"RUL")</f>
        <v>RUL</v>
      </c>
      <c r="C106" s="20">
        <f>IFERROR(__xludf.DUMMYFUNCTION("""COMPUTED_VALUE"""),533.5)</f>
        <v>533.5</v>
      </c>
      <c r="D106" s="21">
        <f>IFERROR(__xludf.DUMMYFUNCTION("""COMPUTED_VALUE"""),-1.0929195810839416)</f>
        <v>-1.092919581</v>
      </c>
      <c r="E106" s="21">
        <f>IFERROR(__xludf.DUMMYFUNCTION("""COMPUTED_VALUE"""),1.156433059176707)</f>
        <v>1.156433059</v>
      </c>
      <c r="F106" s="21">
        <f>IFERROR(__xludf.DUMMYFUNCTION("""COMPUTED_VALUE"""),0.0635134780927652)</f>
        <v>0.06351347809</v>
      </c>
      <c r="G106" s="23">
        <f>IFERROR(__xludf.DUMMYFUNCTION("""COMPUTED_VALUE"""),0.3344403676811011)</f>
        <v>0.3344403677</v>
      </c>
      <c r="H106" s="4"/>
      <c r="I106" s="5" t="s">
        <v>875</v>
      </c>
      <c r="J106" s="5" t="s">
        <v>644</v>
      </c>
      <c r="K106" s="5">
        <v>723.0</v>
      </c>
      <c r="L106" s="5">
        <v>0.53343</v>
      </c>
      <c r="M106" s="5">
        <v>-0.37936</v>
      </c>
      <c r="N106" s="5">
        <v>0.15407</v>
      </c>
      <c r="O106" s="5">
        <v>0.95171</v>
      </c>
    </row>
    <row r="107">
      <c r="A107" s="12" t="str">
        <f>IFERROR(__xludf.DUMMYFUNCTION("""COMPUTED_VALUE"""),"Christoph Philipps")</f>
        <v>Christoph Philipps</v>
      </c>
      <c r="B107" s="13" t="str">
        <f>IFERROR(__xludf.DUMMYFUNCTION("""COMPUTED_VALUE"""),"RUL")</f>
        <v>RUL</v>
      </c>
      <c r="C107" s="14">
        <f>IFERROR(__xludf.DUMMYFUNCTION("""COMPUTED_VALUE"""),4.9)</f>
        <v>4.9</v>
      </c>
      <c r="D107" s="15">
        <f>IFERROR(__xludf.DUMMYFUNCTION("""COMPUTED_VALUE"""),0.14113499758208778)</f>
        <v>0.1411349976</v>
      </c>
      <c r="E107" s="15">
        <f>IFERROR(__xludf.DUMMYFUNCTION("""COMPUTED_VALUE"""),-0.09490084062875268)</f>
        <v>-0.09490084063</v>
      </c>
      <c r="F107" s="15">
        <f>IFERROR(__xludf.DUMMYFUNCTION("""COMPUTED_VALUE"""),0.046234156953335104)</f>
        <v>0.04623415695</v>
      </c>
      <c r="G107" s="17">
        <f>IFERROR(__xludf.DUMMYFUNCTION("""COMPUTED_VALUE"""),0.0030459892656588524)</f>
        <v>0.003045989266</v>
      </c>
      <c r="H107" s="4"/>
      <c r="I107" s="5" t="s">
        <v>877</v>
      </c>
      <c r="J107" s="5" t="s">
        <v>798</v>
      </c>
      <c r="K107" s="5">
        <v>310.0</v>
      </c>
      <c r="L107" s="5">
        <v>-2.99508</v>
      </c>
      <c r="M107" s="5">
        <v>3.09962</v>
      </c>
      <c r="N107" s="5">
        <v>0.10455</v>
      </c>
      <c r="O107" s="5">
        <v>0.20494</v>
      </c>
    </row>
    <row r="108">
      <c r="A108" s="18" t="str">
        <f>IFERROR(__xludf.DUMMYFUNCTION("""COMPUTED_VALUE"""),"David Falkenstein")</f>
        <v>David Falkenstein</v>
      </c>
      <c r="B108" s="19" t="str">
        <f>IFERROR(__xludf.DUMMYFUNCTION("""COMPUTED_VALUE"""),"TBB")</f>
        <v>TBB</v>
      </c>
      <c r="C108" s="20">
        <f>IFERROR(__xludf.DUMMYFUNCTION("""COMPUTED_VALUE"""),5.4)</f>
        <v>5.4</v>
      </c>
      <c r="D108" s="21">
        <f>IFERROR(__xludf.DUMMYFUNCTION("""COMPUTED_VALUE"""),0.1528497871231407)</f>
        <v>0.1528497871</v>
      </c>
      <c r="E108" s="21">
        <f>IFERROR(__xludf.DUMMYFUNCTION("""COMPUTED_VALUE"""),-0.11068008577379755)</f>
        <v>-0.1106800858</v>
      </c>
      <c r="F108" s="21">
        <f>IFERROR(__xludf.DUMMYFUNCTION("""COMPUTED_VALUE"""),0.042169701349343156)</f>
        <v>0.04216970135</v>
      </c>
      <c r="G108" s="23">
        <f>IFERROR(__xludf.DUMMYFUNCTION("""COMPUTED_VALUE"""),0.003352413836269131)</f>
        <v>0.003352413836</v>
      </c>
      <c r="H108" s="4"/>
      <c r="I108" s="5" t="s">
        <v>879</v>
      </c>
      <c r="J108" s="5" t="s">
        <v>669</v>
      </c>
      <c r="K108" s="5">
        <v>667.0</v>
      </c>
      <c r="L108" s="5">
        <v>-1.39726</v>
      </c>
      <c r="M108" s="5">
        <v>1.47324</v>
      </c>
      <c r="N108" s="5">
        <v>0.07598</v>
      </c>
      <c r="O108" s="5">
        <v>0.42119</v>
      </c>
    </row>
    <row r="109">
      <c r="A109" s="12" t="str">
        <f>IFERROR(__xludf.DUMMYFUNCTION("""COMPUTED_VALUE"""),"Nicolas Wolf")</f>
        <v>Nicolas Wolf</v>
      </c>
      <c r="B109" s="13" t="str">
        <f>IFERROR(__xludf.DUMMYFUNCTION("""COMPUTED_VALUE"""),"BRO")</f>
        <v>BRO</v>
      </c>
      <c r="C109" s="14">
        <f>IFERROR(__xludf.DUMMYFUNCTION("""COMPUTED_VALUE"""),2.2)</f>
        <v>2.2</v>
      </c>
      <c r="D109" s="15">
        <f>IFERROR(__xludf.DUMMYFUNCTION("""COMPUTED_VALUE"""),0.06396269046683276)</f>
        <v>0.06396269047</v>
      </c>
      <c r="E109" s="15">
        <f>IFERROR(__xludf.DUMMYFUNCTION("""COMPUTED_VALUE"""),-0.04037330340544974)</f>
        <v>-0.04037330341</v>
      </c>
      <c r="F109" s="15">
        <f>IFERROR(__xludf.DUMMYFUNCTION("""COMPUTED_VALUE"""),0.02358938706138301)</f>
        <v>0.02358938706</v>
      </c>
      <c r="G109" s="17">
        <f>IFERROR(__xludf.DUMMYFUNCTION("""COMPUTED_VALUE"""),0.0013640057881314778)</f>
        <v>0.001364005788</v>
      </c>
      <c r="H109" s="4"/>
      <c r="I109" s="5" t="s">
        <v>881</v>
      </c>
      <c r="J109" s="5" t="s">
        <v>693</v>
      </c>
      <c r="K109" s="5">
        <v>534.0</v>
      </c>
      <c r="L109" s="5">
        <v>-0.88965</v>
      </c>
      <c r="M109" s="5">
        <v>0.95336</v>
      </c>
      <c r="N109" s="5">
        <v>0.06371</v>
      </c>
      <c r="O109" s="5">
        <v>0.33447</v>
      </c>
    </row>
    <row r="110">
      <c r="A110" s="18" t="str">
        <f>IFERROR(__xludf.DUMMYFUNCTION("""COMPUTED_VALUE"""),"Maodo Lo")</f>
        <v>Maodo Lo</v>
      </c>
      <c r="B110" s="19" t="str">
        <f>IFERROR(__xludf.DUMMYFUNCTION("""COMPUTED_VALUE"""),"BRO")</f>
        <v>BRO</v>
      </c>
      <c r="C110" s="20">
        <f>IFERROR(__xludf.DUMMYFUNCTION("""COMPUTED_VALUE"""),864.0)</f>
        <v>864</v>
      </c>
      <c r="D110" s="21">
        <f>IFERROR(__xludf.DUMMYFUNCTION("""COMPUTED_VALUE"""),-0.6039784345131134)</f>
        <v>-0.6039784345</v>
      </c>
      <c r="E110" s="21">
        <f>IFERROR(__xludf.DUMMYFUNCTION("""COMPUTED_VALUE"""),0.6059191729410502)</f>
        <v>0.6059191729</v>
      </c>
      <c r="F110" s="21">
        <f>IFERROR(__xludf.DUMMYFUNCTION("""COMPUTED_VALUE"""),0.00194073842793685)</f>
        <v>0.001940738428</v>
      </c>
      <c r="G110" s="23">
        <f>IFERROR(__xludf.DUMMYFUNCTION("""COMPUTED_VALUE"""),0.5299514675969832)</f>
        <v>0.5299514676</v>
      </c>
      <c r="H110" s="4"/>
      <c r="I110" s="5" t="s">
        <v>883</v>
      </c>
      <c r="J110" s="5" t="s">
        <v>693</v>
      </c>
      <c r="K110" s="24">
        <v>5.0</v>
      </c>
      <c r="L110" s="5">
        <v>0.14445</v>
      </c>
      <c r="M110" s="5">
        <v>-0.09822</v>
      </c>
      <c r="N110" s="5">
        <v>0.04624</v>
      </c>
      <c r="O110" s="5">
        <v>0.00305</v>
      </c>
    </row>
    <row r="111">
      <c r="A111" s="12" t="str">
        <f>IFERROR(__xludf.DUMMYFUNCTION("""COMPUTED_VALUE"""),"Kevin Wohlrath")</f>
        <v>Kevin Wohlrath</v>
      </c>
      <c r="B111" s="13" t="str">
        <f>IFERROR(__xludf.DUMMYFUNCTION("""COMPUTED_VALUE"""),"EWE")</f>
        <v>EWE</v>
      </c>
      <c r="C111" s="14">
        <f>IFERROR(__xludf.DUMMYFUNCTION("""COMPUTED_VALUE"""),0.8)</f>
        <v>0.8</v>
      </c>
      <c r="D111" s="15">
        <f>IFERROR(__xludf.DUMMYFUNCTION("""COMPUTED_VALUE"""),-0.01715465755623757)</f>
        <v>-0.01715465756</v>
      </c>
      <c r="E111" s="15">
        <f>IFERROR(__xludf.DUMMYFUNCTION("""COMPUTED_VALUE"""),0.0022073768502461205)</f>
        <v>0.00220737685</v>
      </c>
      <c r="F111" s="15">
        <f>IFERROR(__xludf.DUMMYFUNCTION("""COMPUTED_VALUE"""),-0.01494728070599145)</f>
        <v>-0.01494728071</v>
      </c>
      <c r="G111" s="17">
        <f>IFERROR(__xludf.DUMMYFUNCTION("""COMPUTED_VALUE"""),4.826061978322187E-4)</f>
        <v>0.0004826061978</v>
      </c>
      <c r="H111" s="4"/>
      <c r="I111" s="5" t="s">
        <v>885</v>
      </c>
      <c r="J111" s="5" t="s">
        <v>669</v>
      </c>
      <c r="K111" s="5">
        <v>5.0</v>
      </c>
      <c r="L111" s="5">
        <v>0.16541</v>
      </c>
      <c r="M111" s="5">
        <v>-0.12326</v>
      </c>
      <c r="N111" s="5">
        <v>0.04215</v>
      </c>
      <c r="O111" s="5">
        <v>0.00335</v>
      </c>
    </row>
    <row r="112">
      <c r="A112" s="18" t="str">
        <f>IFERROR(__xludf.DUMMYFUNCTION("""COMPUTED_VALUE"""),"Quirin Emanga Noupoue")</f>
        <v>Quirin Emanga Noupoue</v>
      </c>
      <c r="B112" s="19" t="str">
        <f>IFERROR(__xludf.DUMMYFUNCTION("""COMPUTED_VALUE"""),"LUD")</f>
        <v>LUD</v>
      </c>
      <c r="C112" s="20">
        <f>IFERROR(__xludf.DUMMYFUNCTION("""COMPUTED_VALUE"""),1.4)</f>
        <v>1.4</v>
      </c>
      <c r="D112" s="21">
        <f>IFERROR(__xludf.DUMMYFUNCTION("""COMPUTED_VALUE"""),-0.030107819861310555)</f>
        <v>-0.03010781986</v>
      </c>
      <c r="E112" s="21">
        <f>IFERROR(__xludf.DUMMYFUNCTION("""COMPUTED_VALUE"""),0.012470870594949238)</f>
        <v>0.01247087059</v>
      </c>
      <c r="F112" s="21">
        <f>IFERROR(__xludf.DUMMYFUNCTION("""COMPUTED_VALUE"""),-0.017636949266361317)</f>
        <v>-0.01763694927</v>
      </c>
      <c r="G112" s="23">
        <f>IFERROR(__xludf.DUMMYFUNCTION("""COMPUTED_VALUE"""),8.62295008957166E-4)</f>
        <v>0.000862295009</v>
      </c>
      <c r="H112" s="4"/>
      <c r="I112" s="5" t="s">
        <v>887</v>
      </c>
      <c r="J112" s="5" t="s">
        <v>636</v>
      </c>
      <c r="K112" s="5">
        <v>192.0</v>
      </c>
      <c r="L112" s="5">
        <v>0.78937</v>
      </c>
      <c r="M112" s="5">
        <v>-0.76223</v>
      </c>
      <c r="N112" s="5">
        <v>0.02714</v>
      </c>
      <c r="O112" s="5">
        <v>0.1208</v>
      </c>
    </row>
    <row r="113">
      <c r="A113" s="12" t="str">
        <f>IFERROR(__xludf.DUMMYFUNCTION("""COMPUTED_VALUE"""),"Robert Drijencic")</f>
        <v>Robert Drijencic</v>
      </c>
      <c r="B113" s="13" t="str">
        <f>IFERROR(__xludf.DUMMYFUNCTION("""COMPUTED_VALUE"""),"EWE")</f>
        <v>EWE</v>
      </c>
      <c r="C113" s="14">
        <f>IFERROR(__xludf.DUMMYFUNCTION("""COMPUTED_VALUE"""),4.4)</f>
        <v>4.4</v>
      </c>
      <c r="D113" s="15">
        <f>IFERROR(__xludf.DUMMYFUNCTION("""COMPUTED_VALUE"""),0.10989038245258269)</f>
        <v>0.1098903825</v>
      </c>
      <c r="E113" s="15">
        <f>IFERROR(__xludf.DUMMYFUNCTION("""COMPUTED_VALUE"""),-0.12815049497539185)</f>
        <v>-0.128150495</v>
      </c>
      <c r="F113" s="15">
        <f>IFERROR(__xludf.DUMMYFUNCTION("""COMPUTED_VALUE"""),-0.01826011252280916)</f>
        <v>-0.01826011252</v>
      </c>
      <c r="G113" s="17">
        <f>IFERROR(__xludf.DUMMYFUNCTION("""COMPUTED_VALUE"""),0.0026499043002262412)</f>
        <v>0.0026499043</v>
      </c>
      <c r="H113" s="4"/>
      <c r="I113" s="5" t="s">
        <v>889</v>
      </c>
      <c r="J113" s="5" t="s">
        <v>644</v>
      </c>
      <c r="K113" s="5">
        <v>9.0</v>
      </c>
      <c r="L113" s="5">
        <v>-0.24544</v>
      </c>
      <c r="M113" s="5">
        <v>0.27183</v>
      </c>
      <c r="N113" s="5">
        <v>0.02638</v>
      </c>
      <c r="O113" s="5">
        <v>0.01101</v>
      </c>
    </row>
    <row r="114">
      <c r="A114" s="18" t="str">
        <f>IFERROR(__xludf.DUMMYFUNCTION("""COMPUTED_VALUE"""),"Maximilian Ugrai")</f>
        <v>Maximilian Ugrai</v>
      </c>
      <c r="B114" s="19" t="str">
        <f>IFERROR(__xludf.DUMMYFUNCTION("""COMPUTED_VALUE"""),"SCJ")</f>
        <v>SCJ</v>
      </c>
      <c r="C114" s="20">
        <f>IFERROR(__xludf.DUMMYFUNCTION("""COMPUTED_VALUE"""),669.8)</f>
        <v>669.8</v>
      </c>
      <c r="D114" s="21">
        <f>IFERROR(__xludf.DUMMYFUNCTION("""COMPUTED_VALUE"""),0.41286370721282867)</f>
        <v>0.4128637072</v>
      </c>
      <c r="E114" s="21">
        <f>IFERROR(__xludf.DUMMYFUNCTION("""COMPUTED_VALUE"""),-0.4321987666298172)</f>
        <v>-0.4321987666</v>
      </c>
      <c r="F114" s="21">
        <f>IFERROR(__xludf.DUMMYFUNCTION("""COMPUTED_VALUE"""),-0.019335059416988543)</f>
        <v>-0.01933505942</v>
      </c>
      <c r="G114" s="23">
        <f>IFERROR(__xludf.DUMMYFUNCTION("""COMPUTED_VALUE"""),0.4028548541208644)</f>
        <v>0.4028548541</v>
      </c>
      <c r="H114" s="4"/>
      <c r="I114" s="5" t="s">
        <v>892</v>
      </c>
      <c r="J114" s="5" t="s">
        <v>72</v>
      </c>
      <c r="K114" s="5">
        <v>2.0</v>
      </c>
      <c r="L114" s="5">
        <v>0.07087</v>
      </c>
      <c r="M114" s="5">
        <v>-0.04521</v>
      </c>
      <c r="N114" s="5">
        <v>0.02566</v>
      </c>
      <c r="O114" s="5">
        <v>0.00137</v>
      </c>
    </row>
    <row r="115">
      <c r="A115" s="12" t="str">
        <f>IFERROR(__xludf.DUMMYFUNCTION("""COMPUTED_VALUE"""),"Marius Adler")</f>
        <v>Marius Adler</v>
      </c>
      <c r="B115" s="13" t="str">
        <f>IFERROR(__xludf.DUMMYFUNCTION("""COMPUTED_VALUE"""),"BAY")</f>
        <v>BAY</v>
      </c>
      <c r="C115" s="14">
        <f>IFERROR(__xludf.DUMMYFUNCTION("""COMPUTED_VALUE"""),7.3)</f>
        <v>7.3</v>
      </c>
      <c r="D115" s="15">
        <f>IFERROR(__xludf.DUMMYFUNCTION("""COMPUTED_VALUE"""),-0.00649760194832448)</f>
        <v>-0.006497601948</v>
      </c>
      <c r="E115" s="15">
        <f>IFERROR(__xludf.DUMMYFUNCTION("""COMPUTED_VALUE"""),-0.03662025073723022)</f>
        <v>-0.03662025074</v>
      </c>
      <c r="F115" s="15">
        <f>IFERROR(__xludf.DUMMYFUNCTION("""COMPUTED_VALUE"""),-0.0431178526855547)</f>
        <v>-0.04311785269</v>
      </c>
      <c r="G115" s="17">
        <f>IFERROR(__xludf.DUMMYFUNCTION("""COMPUTED_VALUE"""),0.008710614475009702)</f>
        <v>0.008710614475</v>
      </c>
      <c r="H115" s="4"/>
      <c r="I115" s="5" t="s">
        <v>894</v>
      </c>
      <c r="J115" s="5" t="s">
        <v>654</v>
      </c>
      <c r="K115" s="5">
        <v>1.0</v>
      </c>
      <c r="L115" s="5">
        <v>-0.01252</v>
      </c>
      <c r="M115" s="5">
        <v>-0.00243</v>
      </c>
      <c r="N115" s="5">
        <v>-0.01495</v>
      </c>
      <c r="O115" s="5">
        <v>4.8E-4</v>
      </c>
    </row>
    <row r="116">
      <c r="A116" s="18" t="str">
        <f>IFERROR(__xludf.DUMMYFUNCTION("""COMPUTED_VALUE"""),"Bastian Doreth")</f>
        <v>Bastian Doreth</v>
      </c>
      <c r="B116" s="19" t="str">
        <f>IFERROR(__xludf.DUMMYFUNCTION("""COMPUTED_VALUE"""),"BAY")</f>
        <v>BAY</v>
      </c>
      <c r="C116" s="20">
        <f>IFERROR(__xludf.DUMMYFUNCTION("""COMPUTED_VALUE"""),723.4)</f>
        <v>723.4</v>
      </c>
      <c r="D116" s="21">
        <f>IFERROR(__xludf.DUMMYFUNCTION("""COMPUTED_VALUE"""),-0.8029516980835604)</f>
        <v>-0.8029516981</v>
      </c>
      <c r="E116" s="21">
        <f>IFERROR(__xludf.DUMMYFUNCTION("""COMPUTED_VALUE"""),0.7561091458677146)</f>
        <v>0.7561091459</v>
      </c>
      <c r="F116" s="21">
        <f>IFERROR(__xludf.DUMMYFUNCTION("""COMPUTED_VALUE"""),-0.04684255221584577)</f>
        <v>-0.04684255222</v>
      </c>
      <c r="G116" s="23">
        <f>IFERROR(__xludf.DUMMYFUNCTION("""COMPUTED_VALUE"""),0.8615431222203753)</f>
        <v>0.8615431222</v>
      </c>
      <c r="H116" s="4"/>
      <c r="I116" s="5" t="s">
        <v>898</v>
      </c>
      <c r="J116" s="5" t="s">
        <v>636</v>
      </c>
      <c r="K116" s="5">
        <v>1.0</v>
      </c>
      <c r="L116" s="5">
        <v>-0.02449</v>
      </c>
      <c r="M116" s="5">
        <v>0.00886</v>
      </c>
      <c r="N116" s="5">
        <v>-0.01563</v>
      </c>
      <c r="O116" s="5">
        <v>8.6E-4</v>
      </c>
    </row>
    <row r="117">
      <c r="A117" s="12" t="str">
        <f>IFERROR(__xludf.DUMMYFUNCTION("""COMPUTED_VALUE"""),"Jevon Perschnick")</f>
        <v>Jevon Perschnick</v>
      </c>
      <c r="B117" s="13" t="str">
        <f>IFERROR(__xludf.DUMMYFUNCTION("""COMPUTED_VALUE"""),"BAY")</f>
        <v>BAY</v>
      </c>
      <c r="C117" s="14">
        <f>IFERROR(__xludf.DUMMYFUNCTION("""COMPUTED_VALUE"""),2.7)</f>
        <v>2.7</v>
      </c>
      <c r="D117" s="15">
        <f>IFERROR(__xludf.DUMMYFUNCTION("""COMPUTED_VALUE"""),0.0025977140897009187)</f>
        <v>0.00259771409</v>
      </c>
      <c r="E117" s="15">
        <f>IFERROR(__xludf.DUMMYFUNCTION("""COMPUTED_VALUE"""),-0.05097796269284678)</f>
        <v>-0.05097796269</v>
      </c>
      <c r="F117" s="15">
        <f>IFERROR(__xludf.DUMMYFUNCTION("""COMPUTED_VALUE"""),-0.04838024860314586)</f>
        <v>-0.0483802486</v>
      </c>
      <c r="G117" s="17">
        <f>IFERROR(__xludf.DUMMYFUNCTION("""COMPUTED_VALUE"""),0.0032130703183708763)</f>
        <v>0.003213070318</v>
      </c>
      <c r="H117" s="4"/>
      <c r="I117" s="5" t="s">
        <v>900</v>
      </c>
      <c r="J117" s="5" t="s">
        <v>654</v>
      </c>
      <c r="K117" s="5">
        <v>4.0</v>
      </c>
      <c r="L117" s="5">
        <v>0.13542</v>
      </c>
      <c r="M117" s="5">
        <v>-0.15366</v>
      </c>
      <c r="N117" s="5">
        <v>-0.01824</v>
      </c>
      <c r="O117" s="5">
        <v>0.00265</v>
      </c>
    </row>
    <row r="118">
      <c r="A118" s="18" t="str">
        <f>IFERROR(__xludf.DUMMYFUNCTION("""COMPUTED_VALUE"""),"Alex Fountain")</f>
        <v>Alex Fountain</v>
      </c>
      <c r="B118" s="19" t="str">
        <f>IFERROR(__xludf.DUMMYFUNCTION("""COMPUTED_VALUE"""),"FRA")</f>
        <v>FRA</v>
      </c>
      <c r="C118" s="20">
        <f>IFERROR(__xludf.DUMMYFUNCTION("""COMPUTED_VALUE"""),2.7)</f>
        <v>2.7</v>
      </c>
      <c r="D118" s="21">
        <f>IFERROR(__xludf.DUMMYFUNCTION("""COMPUTED_VALUE"""),-0.050902743709053136)</f>
        <v>-0.05090274371</v>
      </c>
      <c r="E118" s="21">
        <f>IFERROR(__xludf.DUMMYFUNCTION("""COMPUTED_VALUE"""),-0.006258321395380219)</f>
        <v>-0.006258321395</v>
      </c>
      <c r="F118" s="21">
        <f>IFERROR(__xludf.DUMMYFUNCTION("""COMPUTED_VALUE"""),-0.057161065104433355)</f>
        <v>-0.0571610651</v>
      </c>
      <c r="G118" s="23">
        <f>IFERROR(__xludf.DUMMYFUNCTION("""COMPUTED_VALUE"""),0.0016047401494171346)</f>
        <v>0.001604740149</v>
      </c>
      <c r="H118" s="4"/>
      <c r="I118" s="5" t="s">
        <v>902</v>
      </c>
      <c r="J118" s="5" t="s">
        <v>724</v>
      </c>
      <c r="K118" s="5">
        <v>670.0</v>
      </c>
      <c r="L118" s="5">
        <v>-0.12491</v>
      </c>
      <c r="M118" s="5">
        <v>0.10538</v>
      </c>
      <c r="N118" s="5">
        <v>-0.01953</v>
      </c>
      <c r="O118" s="5">
        <v>0.40282</v>
      </c>
    </row>
    <row r="119">
      <c r="A119" s="12" t="str">
        <f>IFERROR(__xludf.DUMMYFUNCTION("""COMPUTED_VALUE"""),"Moritz Schneider")</f>
        <v>Moritz Schneider</v>
      </c>
      <c r="B119" s="13" t="str">
        <f>IFERROR(__xludf.DUMMYFUNCTION("""COMPUTED_VALUE"""),"SCJ")</f>
        <v>SCJ</v>
      </c>
      <c r="C119" s="14">
        <f>IFERROR(__xludf.DUMMYFUNCTION("""COMPUTED_VALUE"""),4.3)</f>
        <v>4.3</v>
      </c>
      <c r="D119" s="15">
        <f>IFERROR(__xludf.DUMMYFUNCTION("""COMPUTED_VALUE"""),-0.08788278334669558)</f>
        <v>-0.08788278335</v>
      </c>
      <c r="E119" s="15">
        <f>IFERROR(__xludf.DUMMYFUNCTION("""COMPUTED_VALUE"""),-0.013675975028053455)</f>
        <v>-0.01367597503</v>
      </c>
      <c r="F119" s="15">
        <f>IFERROR(__xludf.DUMMYFUNCTION("""COMPUTED_VALUE"""),-0.10155875837474904)</f>
        <v>-0.1015587584</v>
      </c>
      <c r="G119" s="17">
        <f>IFERROR(__xludf.DUMMYFUNCTION("""COMPUTED_VALUE"""),0.002478894585981859)</f>
        <v>0.002478894586</v>
      </c>
      <c r="H119" s="4"/>
      <c r="I119" s="5" t="s">
        <v>904</v>
      </c>
      <c r="J119" s="5" t="s">
        <v>644</v>
      </c>
      <c r="K119" s="5">
        <v>7.0</v>
      </c>
      <c r="L119" s="5">
        <v>0.02589</v>
      </c>
      <c r="M119" s="5">
        <v>-0.06425</v>
      </c>
      <c r="N119" s="5">
        <v>-0.03836</v>
      </c>
      <c r="O119" s="5">
        <v>0.00875</v>
      </c>
    </row>
    <row r="120">
      <c r="A120" s="18" t="str">
        <f>IFERROR(__xludf.DUMMYFUNCTION("""COMPUTED_VALUE"""),"Osvaldas Olisevicius")</f>
        <v>Osvaldas Olisevicius</v>
      </c>
      <c r="B120" s="19" t="str">
        <f>IFERROR(__xludf.DUMMYFUNCTION("""COMPUTED_VALUE"""),"OLI")</f>
        <v>OLI</v>
      </c>
      <c r="C120" s="20">
        <f>IFERROR(__xludf.DUMMYFUNCTION("""COMPUTED_VALUE"""),98.7)</f>
        <v>98.7</v>
      </c>
      <c r="D120" s="21">
        <f>IFERROR(__xludf.DUMMYFUNCTION("""COMPUTED_VALUE"""),-0.2366909403419353)</f>
        <v>-0.2366909403</v>
      </c>
      <c r="E120" s="21">
        <f>IFERROR(__xludf.DUMMYFUNCTION("""COMPUTED_VALUE"""),0.11813047338392492)</f>
        <v>0.1181304734</v>
      </c>
      <c r="F120" s="21">
        <f>IFERROR(__xludf.DUMMYFUNCTION("""COMPUTED_VALUE"""),-0.11856046695801038)</f>
        <v>-0.118560467</v>
      </c>
      <c r="G120" s="23">
        <f>IFERROR(__xludf.DUMMYFUNCTION("""COMPUTED_VALUE"""),0.056479054684669294)</f>
        <v>0.05647905468</v>
      </c>
      <c r="H120" s="4"/>
      <c r="I120" s="5" t="s">
        <v>907</v>
      </c>
      <c r="J120" s="5" t="s">
        <v>644</v>
      </c>
      <c r="K120" s="5">
        <v>3.0</v>
      </c>
      <c r="L120" s="5">
        <v>0.01471</v>
      </c>
      <c r="M120" s="5">
        <v>-0.06119</v>
      </c>
      <c r="N120" s="5">
        <v>-0.04648</v>
      </c>
      <c r="O120" s="5">
        <v>0.00322</v>
      </c>
    </row>
    <row r="121">
      <c r="A121" s="12" t="str">
        <f>IFERROR(__xludf.DUMMYFUNCTION("""COMPUTED_VALUE"""),"Malik Muller")</f>
        <v>Malik Muller</v>
      </c>
      <c r="B121" s="13" t="str">
        <f>IFERROR(__xludf.DUMMYFUNCTION("""COMPUTED_VALUE"""),"LUD")</f>
        <v>LUD</v>
      </c>
      <c r="C121" s="14">
        <f>IFERROR(__xludf.DUMMYFUNCTION("""COMPUTED_VALUE"""),113.73333333333333)</f>
        <v>113.7333333</v>
      </c>
      <c r="D121" s="15">
        <f>IFERROR(__xludf.DUMMYFUNCTION("""COMPUTED_VALUE"""),-1.6164723431067824)</f>
        <v>-1.616472343</v>
      </c>
      <c r="E121" s="15">
        <f>IFERROR(__xludf.DUMMYFUNCTION("""COMPUTED_VALUE"""),1.4873063870334529)</f>
        <v>1.487306387</v>
      </c>
      <c r="F121" s="15">
        <f>IFERROR(__xludf.DUMMYFUNCTION("""COMPUTED_VALUE"""),-0.12916595607332962)</f>
        <v>-0.1291659561</v>
      </c>
      <c r="G121" s="17">
        <f>IFERROR(__xludf.DUMMYFUNCTION("""COMPUTED_VALUE"""),0.06611007874004989)</f>
        <v>0.06611007874</v>
      </c>
      <c r="H121" s="4"/>
      <c r="I121" s="5" t="s">
        <v>909</v>
      </c>
      <c r="J121" s="5" t="s">
        <v>697</v>
      </c>
      <c r="K121" s="5">
        <v>3.0</v>
      </c>
      <c r="L121" s="5">
        <v>-0.05731</v>
      </c>
      <c r="M121" s="5">
        <v>1.3E-4</v>
      </c>
      <c r="N121" s="5">
        <v>-0.05718</v>
      </c>
      <c r="O121" s="5">
        <v>0.0016</v>
      </c>
    </row>
    <row r="122">
      <c r="A122" s="18" t="str">
        <f>IFERROR(__xludf.DUMMYFUNCTION("""COMPUTED_VALUE"""),"Malik Muller")</f>
        <v>Malik Muller</v>
      </c>
      <c r="B122" s="19" t="str">
        <f>IFERROR(__xludf.DUMMYFUNCTION("""COMPUTED_VALUE"""),"LUD")</f>
        <v>LUD</v>
      </c>
      <c r="C122" s="20">
        <f>IFERROR(__xludf.DUMMYFUNCTION("""COMPUTED_VALUE"""),113.73333333333333)</f>
        <v>113.7333333</v>
      </c>
      <c r="D122" s="21">
        <f>IFERROR(__xludf.DUMMYFUNCTION("""COMPUTED_VALUE"""),-1.6164723431067824)</f>
        <v>-1.616472343</v>
      </c>
      <c r="E122" s="21">
        <f>IFERROR(__xludf.DUMMYFUNCTION("""COMPUTED_VALUE"""),1.4873063870334529)</f>
        <v>1.487306387</v>
      </c>
      <c r="F122" s="21">
        <f>IFERROR(__xludf.DUMMYFUNCTION("""COMPUTED_VALUE"""),-0.12916595607332962)</f>
        <v>-0.1291659561</v>
      </c>
      <c r="G122" s="23">
        <f>IFERROR(__xludf.DUMMYFUNCTION("""COMPUTED_VALUE"""),0.06611007874004989)</f>
        <v>0.06611007874</v>
      </c>
      <c r="H122" s="4"/>
      <c r="I122" s="5" t="s">
        <v>911</v>
      </c>
      <c r="J122" s="5" t="s">
        <v>644</v>
      </c>
      <c r="K122" s="5">
        <v>554.0</v>
      </c>
      <c r="L122" s="5">
        <v>-0.55924</v>
      </c>
      <c r="M122" s="5">
        <v>0.49887</v>
      </c>
      <c r="N122" s="5">
        <v>-0.06037</v>
      </c>
      <c r="O122" s="5">
        <v>0.65653</v>
      </c>
    </row>
    <row r="123">
      <c r="A123" s="12" t="str">
        <f>IFERROR(__xludf.DUMMYFUNCTION("""COMPUTED_VALUE"""),"Amar Gegic")</f>
        <v>Amar Gegic</v>
      </c>
      <c r="B123" s="13" t="str">
        <f>IFERROR(__xludf.DUMMYFUNCTION("""COMPUTED_VALUE"""),"BAY")</f>
        <v>BAY</v>
      </c>
      <c r="C123" s="14">
        <f>IFERROR(__xludf.DUMMYFUNCTION("""COMPUTED_VALUE"""),5.1)</f>
        <v>5.1</v>
      </c>
      <c r="D123" s="15">
        <f>IFERROR(__xludf.DUMMYFUNCTION("""COMPUTED_VALUE"""),-0.13756803706829082)</f>
        <v>-0.1375680371</v>
      </c>
      <c r="E123" s="15">
        <f>IFERROR(__xludf.DUMMYFUNCTION("""COMPUTED_VALUE"""),-0.04000378545009903)</f>
        <v>-0.04000378545</v>
      </c>
      <c r="F123" s="15">
        <f>IFERROR(__xludf.DUMMYFUNCTION("""COMPUTED_VALUE"""),-0.17757182251838985)</f>
        <v>-0.1775718225</v>
      </c>
      <c r="G123" s="17">
        <f>IFERROR(__xludf.DUMMYFUNCTION("""COMPUTED_VALUE"""),0.0056673738122764005)</f>
        <v>0.005667373812</v>
      </c>
      <c r="H123" s="4"/>
      <c r="I123" s="5" t="s">
        <v>915</v>
      </c>
      <c r="J123" s="5" t="s">
        <v>724</v>
      </c>
      <c r="K123" s="5">
        <v>4.0</v>
      </c>
      <c r="L123" s="5">
        <v>-0.09563</v>
      </c>
      <c r="M123" s="5">
        <v>-0.00596</v>
      </c>
      <c r="N123" s="5">
        <v>-0.10159</v>
      </c>
      <c r="O123" s="5">
        <v>0.00248</v>
      </c>
    </row>
    <row r="124">
      <c r="A124" s="18" t="str">
        <f>IFERROR(__xludf.DUMMYFUNCTION("""COMPUTED_VALUE"""),"Till Isemann")</f>
        <v>Till Isemann</v>
      </c>
      <c r="B124" s="19" t="str">
        <f>IFERROR(__xludf.DUMMYFUNCTION("""COMPUTED_VALUE"""),"EWE")</f>
        <v>EWE</v>
      </c>
      <c r="C124" s="20">
        <f>IFERROR(__xludf.DUMMYFUNCTION("""COMPUTED_VALUE"""),6.3)</f>
        <v>6.3</v>
      </c>
      <c r="D124" s="21">
        <f>IFERROR(__xludf.DUMMYFUNCTION("""COMPUTED_VALUE"""),-0.1887281376768242)</f>
        <v>-0.1887281377</v>
      </c>
      <c r="E124" s="21">
        <f>IFERROR(__xludf.DUMMYFUNCTION("""COMPUTED_VALUE"""),-0.003914422568001091)</f>
        <v>-0.003914422568</v>
      </c>
      <c r="F124" s="21">
        <f>IFERROR(__xludf.DUMMYFUNCTION("""COMPUTED_VALUE"""),-0.1926425602448253)</f>
        <v>-0.1926425602</v>
      </c>
      <c r="G124" s="23">
        <f>IFERROR(__xludf.DUMMYFUNCTION("""COMPUTED_VALUE"""),0.00346031362918643)</f>
        <v>0.003460313629</v>
      </c>
      <c r="H124" s="4"/>
      <c r="I124" s="5" t="s">
        <v>917</v>
      </c>
      <c r="J124" s="5" t="s">
        <v>711</v>
      </c>
      <c r="K124" s="5">
        <v>99.0</v>
      </c>
      <c r="L124" s="5">
        <v>-0.20635</v>
      </c>
      <c r="M124" s="5">
        <v>0.08787</v>
      </c>
      <c r="N124" s="5">
        <v>-0.11848</v>
      </c>
      <c r="O124" s="5">
        <v>0.05648</v>
      </c>
    </row>
    <row r="125">
      <c r="A125" s="12" t="str">
        <f>IFERROR(__xludf.DUMMYFUNCTION("""COMPUTED_VALUE"""),"Nico Wenzl")</f>
        <v>Nico Wenzl</v>
      </c>
      <c r="B125" s="13" t="str">
        <f>IFERROR(__xludf.DUMMYFUNCTION("""COMPUTED_VALUE"""),"BAY")</f>
        <v>BAY</v>
      </c>
      <c r="C125" s="14">
        <f>IFERROR(__xludf.DUMMYFUNCTION("""COMPUTED_VALUE"""),2.7)</f>
        <v>2.7</v>
      </c>
      <c r="D125" s="15">
        <f>IFERROR(__xludf.DUMMYFUNCTION("""COMPUTED_VALUE"""),-0.10700200408430315)</f>
        <v>-0.1070020041</v>
      </c>
      <c r="E125" s="15">
        <f>IFERROR(__xludf.DUMMYFUNCTION("""COMPUTED_VALUE"""),-0.10897733083523543)</f>
        <v>-0.1089773308</v>
      </c>
      <c r="F125" s="15">
        <f>IFERROR(__xludf.DUMMYFUNCTION("""COMPUTED_VALUE"""),-0.21597933491953858)</f>
        <v>-0.2159793349</v>
      </c>
      <c r="G125" s="17">
        <f>IFERROR(__xludf.DUMMYFUNCTION("""COMPUTED_VALUE"""),0.002937141747119305)</f>
        <v>0.002937141747</v>
      </c>
      <c r="H125" s="4"/>
      <c r="I125" s="5" t="s">
        <v>919</v>
      </c>
      <c r="J125" s="5" t="s">
        <v>634</v>
      </c>
      <c r="K125" s="5">
        <v>439.0</v>
      </c>
      <c r="L125" s="5">
        <v>0.42673</v>
      </c>
      <c r="M125" s="5">
        <v>-0.57156</v>
      </c>
      <c r="N125" s="5">
        <v>-0.14483</v>
      </c>
      <c r="O125" s="5">
        <v>0.247</v>
      </c>
    </row>
    <row r="126">
      <c r="A126" s="18" t="str">
        <f>IFERROR(__xludf.DUMMYFUNCTION("""COMPUTED_VALUE"""),"Christian Jones")</f>
        <v>Christian Jones</v>
      </c>
      <c r="B126" s="19" t="str">
        <f>IFERROR(__xludf.DUMMYFUNCTION("""COMPUTED_VALUE"""),"EWE")</f>
        <v>EWE</v>
      </c>
      <c r="C126" s="20">
        <f>IFERROR(__xludf.DUMMYFUNCTION("""COMPUTED_VALUE"""),45.2)</f>
        <v>45.2</v>
      </c>
      <c r="D126" s="21">
        <f>IFERROR(__xludf.DUMMYFUNCTION("""COMPUTED_VALUE"""),-0.8336543416380603)</f>
        <v>-0.8336543416</v>
      </c>
      <c r="E126" s="21">
        <f>IFERROR(__xludf.DUMMYFUNCTION("""COMPUTED_VALUE"""),0.6144440946437879)</f>
        <v>0.6144440946</v>
      </c>
      <c r="F126" s="21">
        <f>IFERROR(__xludf.DUMMYFUNCTION("""COMPUTED_VALUE"""),-0.21921024699427244)</f>
        <v>-0.219210247</v>
      </c>
      <c r="G126" s="23">
        <f>IFERROR(__xludf.DUMMYFUNCTION("""COMPUTED_VALUE"""),0.02446143582828441)</f>
        <v>0.02446143583</v>
      </c>
      <c r="H126" s="4"/>
      <c r="I126" s="5" t="s">
        <v>924</v>
      </c>
      <c r="J126" s="5" t="s">
        <v>636</v>
      </c>
      <c r="K126" s="5">
        <v>243.0</v>
      </c>
      <c r="L126" s="5">
        <v>-0.506</v>
      </c>
      <c r="M126" s="5">
        <v>0.35967</v>
      </c>
      <c r="N126" s="5">
        <v>-0.14633</v>
      </c>
      <c r="O126" s="5">
        <v>0.13983</v>
      </c>
    </row>
    <row r="127">
      <c r="A127" s="12" t="str">
        <f>IFERROR(__xludf.DUMMYFUNCTION("""COMPUTED_VALUE"""),"Jannes Hundt")</f>
        <v>Jannes Hundt</v>
      </c>
      <c r="B127" s="13" t="str">
        <f>IFERROR(__xludf.DUMMYFUNCTION("""COMPUTED_VALUE"""),"EIS")</f>
        <v>EIS</v>
      </c>
      <c r="C127" s="14">
        <f>IFERROR(__xludf.DUMMYFUNCTION("""COMPUTED_VALUE"""),4.7)</f>
        <v>4.7</v>
      </c>
      <c r="D127" s="15">
        <f>IFERROR(__xludf.DUMMYFUNCTION("""COMPUTED_VALUE"""),-0.18633597201366392)</f>
        <v>-0.186335972</v>
      </c>
      <c r="E127" s="15">
        <f>IFERROR(__xludf.DUMMYFUNCTION("""COMPUTED_VALUE"""),-0.06193421646800967)</f>
        <v>-0.06193421647</v>
      </c>
      <c r="F127" s="15">
        <f>IFERROR(__xludf.DUMMYFUNCTION("""COMPUTED_VALUE"""),-0.2482701884816736)</f>
        <v>-0.2482701885</v>
      </c>
      <c r="G127" s="17">
        <f>IFERROR(__xludf.DUMMYFUNCTION("""COMPUTED_VALUE"""),0.0024923608993290634)</f>
        <v>0.002492360899</v>
      </c>
      <c r="H127" s="4"/>
      <c r="I127" s="5" t="s">
        <v>926</v>
      </c>
      <c r="J127" s="5" t="s">
        <v>644</v>
      </c>
      <c r="K127" s="5">
        <v>4.0</v>
      </c>
      <c r="L127" s="5">
        <v>-0.10634</v>
      </c>
      <c r="M127" s="5">
        <v>-0.05911</v>
      </c>
      <c r="N127" s="5">
        <v>-0.16545</v>
      </c>
      <c r="O127" s="5">
        <v>0.00482</v>
      </c>
    </row>
    <row r="128">
      <c r="A128" s="18" t="str">
        <f>IFERROR(__xludf.DUMMYFUNCTION("""COMPUTED_VALUE"""),"Anthony Okao")</f>
        <v>Anthony Okao</v>
      </c>
      <c r="B128" s="19" t="str">
        <f>IFERROR(__xludf.DUMMYFUNCTION("""COMPUTED_VALUE"""),"GIE")</f>
        <v>GIE</v>
      </c>
      <c r="C128" s="20">
        <f>IFERROR(__xludf.DUMMYFUNCTION("""COMPUTED_VALUE"""),4.5)</f>
        <v>4.5</v>
      </c>
      <c r="D128" s="21">
        <f>IFERROR(__xludf.DUMMYFUNCTION("""COMPUTED_VALUE"""),-0.12688788231064174)</f>
        <v>-0.1268878823</v>
      </c>
      <c r="E128" s="21">
        <f>IFERROR(__xludf.DUMMYFUNCTION("""COMPUTED_VALUE"""),-0.12569372585564392)</f>
        <v>-0.1256937259</v>
      </c>
      <c r="F128" s="21">
        <f>IFERROR(__xludf.DUMMYFUNCTION("""COMPUTED_VALUE"""),-0.25258160816628566)</f>
        <v>-0.2525816082</v>
      </c>
      <c r="G128" s="23">
        <f>IFERROR(__xludf.DUMMYFUNCTION("""COMPUTED_VALUE"""),0.0024122364269521406)</f>
        <v>0.002412236427</v>
      </c>
      <c r="H128" s="4"/>
      <c r="I128" s="5" t="s">
        <v>930</v>
      </c>
      <c r="J128" s="5" t="s">
        <v>654</v>
      </c>
      <c r="K128" s="5">
        <v>6.0</v>
      </c>
      <c r="L128" s="5">
        <v>-0.15226</v>
      </c>
      <c r="M128" s="5">
        <v>-0.04043</v>
      </c>
      <c r="N128" s="5">
        <v>-0.19269</v>
      </c>
      <c r="O128" s="5">
        <v>0.00346</v>
      </c>
    </row>
    <row r="129">
      <c r="A129" s="12" t="str">
        <f>IFERROR(__xludf.DUMMYFUNCTION("""COMPUTED_VALUE"""),"Robin Amaize")</f>
        <v>Robin Amaize</v>
      </c>
      <c r="B129" s="13" t="str">
        <f>IFERROR(__xludf.DUMMYFUNCTION("""COMPUTED_VALUE"""),"BAY")</f>
        <v>BAY</v>
      </c>
      <c r="C129" s="14">
        <f>IFERROR(__xludf.DUMMYFUNCTION("""COMPUTED_VALUE"""),554.2)</f>
        <v>554.2</v>
      </c>
      <c r="D129" s="15">
        <f>IFERROR(__xludf.DUMMYFUNCTION("""COMPUTED_VALUE"""),-1.903403316512389)</f>
        <v>-1.903403317</v>
      </c>
      <c r="E129" s="15">
        <f>IFERROR(__xludf.DUMMYFUNCTION("""COMPUTED_VALUE"""),1.6337895113392682)</f>
        <v>1.633789511</v>
      </c>
      <c r="F129" s="15">
        <f>IFERROR(__xludf.DUMMYFUNCTION("""COMPUTED_VALUE"""),-0.2696138051731207)</f>
        <v>-0.2696138052</v>
      </c>
      <c r="G129" s="17">
        <f>IFERROR(__xludf.DUMMYFUNCTION("""COMPUTED_VALUE"""),0.584750799648646)</f>
        <v>0.5847507996</v>
      </c>
      <c r="H129" s="4"/>
      <c r="I129" s="5" t="s">
        <v>515</v>
      </c>
      <c r="J129" s="5" t="s">
        <v>72</v>
      </c>
      <c r="K129" s="5">
        <v>434.0</v>
      </c>
      <c r="L129" s="5">
        <v>-0.34588</v>
      </c>
      <c r="M129" s="5">
        <v>0.13285</v>
      </c>
      <c r="N129" s="5">
        <v>-0.21303</v>
      </c>
      <c r="O129" s="5">
        <v>0.23782</v>
      </c>
    </row>
    <row r="130">
      <c r="A130" s="18" t="str">
        <f>IFERROR(__xludf.DUMMYFUNCTION("""COMPUTED_VALUE"""),"Kresimir Nikic")</f>
        <v>Kresimir Nikic</v>
      </c>
      <c r="B130" s="19" t="str">
        <f>IFERROR(__xludf.DUMMYFUNCTION("""COMPUTED_VALUE"""),"BER")</f>
        <v>BER</v>
      </c>
      <c r="C130" s="20">
        <f>IFERROR(__xludf.DUMMYFUNCTION("""COMPUTED_VALUE"""),11.2)</f>
        <v>11.2</v>
      </c>
      <c r="D130" s="21">
        <f>IFERROR(__xludf.DUMMYFUNCTION("""COMPUTED_VALUE"""),-0.1329659998421301)</f>
        <v>-0.1329659998</v>
      </c>
      <c r="E130" s="21">
        <f>IFERROR(__xludf.DUMMYFUNCTION("""COMPUTED_VALUE"""),-0.1377224019912261)</f>
        <v>-0.137722402</v>
      </c>
      <c r="F130" s="21">
        <f>IFERROR(__xludf.DUMMYFUNCTION("""COMPUTED_VALUE"""),-0.2706884018333562)</f>
        <v>-0.2706884018</v>
      </c>
      <c r="G130" s="23">
        <f>IFERROR(__xludf.DUMMYFUNCTION("""COMPUTED_VALUE"""),0.005858658103288159)</f>
        <v>0.005858658103</v>
      </c>
      <c r="H130" s="4"/>
      <c r="I130" s="5" t="s">
        <v>936</v>
      </c>
      <c r="J130" s="5" t="s">
        <v>644</v>
      </c>
      <c r="K130" s="5">
        <v>3.0</v>
      </c>
      <c r="L130" s="5">
        <v>-0.0949</v>
      </c>
      <c r="M130" s="5">
        <v>-0.11919</v>
      </c>
      <c r="N130" s="5">
        <v>-0.21409</v>
      </c>
      <c r="O130" s="5">
        <v>0.00295</v>
      </c>
    </row>
    <row r="131">
      <c r="A131" s="12" t="str">
        <f>IFERROR(__xludf.DUMMYFUNCTION("""COMPUTED_VALUE"""),"Franz Wagner")</f>
        <v>Franz Wagner</v>
      </c>
      <c r="B131" s="13" t="str">
        <f>IFERROR(__xludf.DUMMYFUNCTION("""COMPUTED_VALUE"""),"BER")</f>
        <v>BER</v>
      </c>
      <c r="C131" s="14">
        <f>IFERROR(__xludf.DUMMYFUNCTION("""COMPUTED_VALUE"""),13.4)</f>
        <v>13.4</v>
      </c>
      <c r="D131" s="15">
        <f>IFERROR(__xludf.DUMMYFUNCTION("""COMPUTED_VALUE"""),-0.28497175119132595)</f>
        <v>-0.2849717512</v>
      </c>
      <c r="E131" s="15">
        <f>IFERROR(__xludf.DUMMYFUNCTION("""COMPUTED_VALUE"""),-0.030690797663688207)</f>
        <v>-0.03069079766</v>
      </c>
      <c r="F131" s="15">
        <f>IFERROR(__xludf.DUMMYFUNCTION("""COMPUTED_VALUE"""),-0.31566254885501416)</f>
        <v>-0.3156625489</v>
      </c>
      <c r="G131" s="17">
        <f>IFERROR(__xludf.DUMMYFUNCTION("""COMPUTED_VALUE"""),0.00682717100620544)</f>
        <v>0.006827171006</v>
      </c>
      <c r="H131" s="4"/>
      <c r="I131" s="5" t="s">
        <v>940</v>
      </c>
      <c r="J131" s="5" t="s">
        <v>654</v>
      </c>
      <c r="K131" s="5">
        <v>45.0</v>
      </c>
      <c r="L131" s="5">
        <v>-0.57185</v>
      </c>
      <c r="M131" s="5">
        <v>0.35243</v>
      </c>
      <c r="N131" s="5">
        <v>-0.21942</v>
      </c>
      <c r="O131" s="5">
        <v>0.02446</v>
      </c>
    </row>
    <row r="132">
      <c r="A132" s="18" t="str">
        <f>IFERROR(__xludf.DUMMYFUNCTION("""COMPUTED_VALUE"""),"Nick Hornsby")</f>
        <v>Nick Hornsby</v>
      </c>
      <c r="B132" s="19" t="str">
        <f>IFERROR(__xludf.DUMMYFUNCTION("""COMPUTED_VALUE"""),"GIE")</f>
        <v>GIE</v>
      </c>
      <c r="C132" s="20">
        <f>IFERROR(__xludf.DUMMYFUNCTION("""COMPUTED_VALUE"""),21.5)</f>
        <v>21.5</v>
      </c>
      <c r="D132" s="21">
        <f>IFERROR(__xludf.DUMMYFUNCTION("""COMPUTED_VALUE"""),-0.22137892955662883)</f>
        <v>-0.2213789296</v>
      </c>
      <c r="E132" s="21">
        <f>IFERROR(__xludf.DUMMYFUNCTION("""COMPUTED_VALUE"""),-0.1125108557418715)</f>
        <v>-0.1125108557</v>
      </c>
      <c r="F132" s="21">
        <f>IFERROR(__xludf.DUMMYFUNCTION("""COMPUTED_VALUE"""),-0.33388978529850033)</f>
        <v>-0.3338897853</v>
      </c>
      <c r="G132" s="23">
        <f>IFERROR(__xludf.DUMMYFUNCTION("""COMPUTED_VALUE"""),0.010988860043167679)</f>
        <v>0.01098886004</v>
      </c>
      <c r="H132" s="4"/>
      <c r="I132" s="5" t="s">
        <v>942</v>
      </c>
      <c r="J132" s="5" t="s">
        <v>684</v>
      </c>
      <c r="K132" s="5">
        <v>5.0</v>
      </c>
      <c r="L132" s="5">
        <v>-0.19866</v>
      </c>
      <c r="M132" s="5">
        <v>-0.04959</v>
      </c>
      <c r="N132" s="5">
        <v>-0.24825</v>
      </c>
      <c r="O132" s="5">
        <v>0.00249</v>
      </c>
    </row>
    <row r="133">
      <c r="A133" s="12" t="str">
        <f>IFERROR(__xludf.DUMMYFUNCTION("""COMPUTED_VALUE"""),"Georg Beyschlag")</f>
        <v>Georg Beyschlag</v>
      </c>
      <c r="B133" s="13" t="str">
        <f>IFERROR(__xludf.DUMMYFUNCTION("""COMPUTED_VALUE"""),"BAY")</f>
        <v>BAY</v>
      </c>
      <c r="C133" s="14">
        <f>IFERROR(__xludf.DUMMYFUNCTION("""COMPUTED_VALUE"""),6.0)</f>
        <v>6</v>
      </c>
      <c r="D133" s="15">
        <f>IFERROR(__xludf.DUMMYFUNCTION("""COMPUTED_VALUE"""),-0.2800168691690686)</f>
        <v>-0.2800168692</v>
      </c>
      <c r="E133" s="15">
        <f>IFERROR(__xludf.DUMMYFUNCTION("""COMPUTED_VALUE"""),-0.0680953447145814)</f>
        <v>-0.06809534471</v>
      </c>
      <c r="F133" s="15">
        <f>IFERROR(__xludf.DUMMYFUNCTION("""COMPUTED_VALUE"""),-0.34811221388365)</f>
        <v>-0.3481122139</v>
      </c>
      <c r="G133" s="17">
        <f>IFERROR(__xludf.DUMMYFUNCTION("""COMPUTED_VALUE"""),0.006043563001166862)</f>
        <v>0.006043563001</v>
      </c>
      <c r="H133" s="4"/>
      <c r="I133" s="5" t="s">
        <v>945</v>
      </c>
      <c r="J133" s="5" t="s">
        <v>634</v>
      </c>
      <c r="K133" s="5">
        <v>11.0</v>
      </c>
      <c r="L133" s="5">
        <v>-0.04574</v>
      </c>
      <c r="M133" s="5">
        <v>-0.20508</v>
      </c>
      <c r="N133" s="5">
        <v>-0.25082</v>
      </c>
      <c r="O133" s="5">
        <v>0.00594</v>
      </c>
    </row>
    <row r="134">
      <c r="A134" s="18" t="str">
        <f>IFERROR(__xludf.DUMMYFUNCTION("""COMPUTED_VALUE"""),"Hendrik Drescher")</f>
        <v>Hendrik Drescher</v>
      </c>
      <c r="B134" s="19" t="str">
        <f>IFERROR(__xludf.DUMMYFUNCTION("""COMPUTED_VALUE"""),"BER")</f>
        <v>BER</v>
      </c>
      <c r="C134" s="20">
        <f>IFERROR(__xludf.DUMMYFUNCTION("""COMPUTED_VALUE"""),10.6)</f>
        <v>10.6</v>
      </c>
      <c r="D134" s="21">
        <f>IFERROR(__xludf.DUMMYFUNCTION("""COMPUTED_VALUE"""),-0.3099285372248331)</f>
        <v>-0.3099285372</v>
      </c>
      <c r="E134" s="21">
        <f>IFERROR(__xludf.DUMMYFUNCTION("""COMPUTED_VALUE"""),-0.04395276154272376)</f>
        <v>-0.04395276154</v>
      </c>
      <c r="F134" s="21">
        <f>IFERROR(__xludf.DUMMYFUNCTION("""COMPUTED_VALUE"""),-0.35388129876755686)</f>
        <v>-0.3538812988</v>
      </c>
      <c r="G134" s="23">
        <f>IFERROR(__xludf.DUMMYFUNCTION("""COMPUTED_VALUE"""),0.005278054759139186)</f>
        <v>0.005278054759</v>
      </c>
      <c r="H134" s="4"/>
      <c r="I134" s="5" t="s">
        <v>949</v>
      </c>
      <c r="J134" s="5" t="s">
        <v>673</v>
      </c>
      <c r="K134" s="5">
        <v>5.0</v>
      </c>
      <c r="L134" s="5">
        <v>-0.12995</v>
      </c>
      <c r="M134" s="5">
        <v>-0.12263</v>
      </c>
      <c r="N134" s="5">
        <v>-0.25258</v>
      </c>
      <c r="O134" s="5">
        <v>0.00241</v>
      </c>
    </row>
    <row r="135">
      <c r="A135" s="12" t="str">
        <f>IFERROR(__xludf.DUMMYFUNCTION("""COMPUTED_VALUE"""),"Alex King")</f>
        <v>Alex King</v>
      </c>
      <c r="B135" s="13" t="str">
        <f>IFERROR(__xludf.DUMMYFUNCTION("""COMPUTED_VALUE"""),"BAY")</f>
        <v>BAY</v>
      </c>
      <c r="C135" s="14">
        <f>IFERROR(__xludf.DUMMYFUNCTION("""COMPUTED_VALUE"""),478.2)</f>
        <v>478.2</v>
      </c>
      <c r="D135" s="15">
        <f>IFERROR(__xludf.DUMMYFUNCTION("""COMPUTED_VALUE"""),-2.6764383171448425)</f>
        <v>-2.676438317</v>
      </c>
      <c r="E135" s="15">
        <f>IFERROR(__xludf.DUMMYFUNCTION("""COMPUTED_VALUE"""),2.3139763776843307)</f>
        <v>2.313976378</v>
      </c>
      <c r="F135" s="15">
        <f>IFERROR(__xludf.DUMMYFUNCTION("""COMPUTED_VALUE"""),-0.36246193946051175)</f>
        <v>-0.3624619395</v>
      </c>
      <c r="G135" s="17">
        <f>IFERROR(__xludf.DUMMYFUNCTION("""COMPUTED_VALUE"""),0.4774877519846617)</f>
        <v>0.477487752</v>
      </c>
      <c r="H135" s="4"/>
      <c r="I135" s="5" t="s">
        <v>951</v>
      </c>
      <c r="J135" s="5" t="s">
        <v>634</v>
      </c>
      <c r="K135" s="5">
        <v>720.0</v>
      </c>
      <c r="L135" s="5">
        <v>-2.70282</v>
      </c>
      <c r="M135" s="5">
        <v>2.4347</v>
      </c>
      <c r="N135" s="5">
        <v>-0.26812</v>
      </c>
      <c r="O135" s="5">
        <v>0.37805</v>
      </c>
    </row>
    <row r="136">
      <c r="A136" s="18" t="str">
        <f>IFERROR(__xludf.DUMMYFUNCTION("""COMPUTED_VALUE"""),"Adrian Lind")</f>
        <v>Adrian Lind</v>
      </c>
      <c r="B136" s="19" t="str">
        <f>IFERROR(__xludf.DUMMYFUNCTION("""COMPUTED_VALUE"""),"TUB")</f>
        <v>TUB</v>
      </c>
      <c r="C136" s="20">
        <f>IFERROR(__xludf.DUMMYFUNCTION("""COMPUTED_VALUE"""),6.0)</f>
        <v>6</v>
      </c>
      <c r="D136" s="21">
        <f>IFERROR(__xludf.DUMMYFUNCTION("""COMPUTED_VALUE"""),-0.2801662911854849)</f>
        <v>-0.2801662912</v>
      </c>
      <c r="E136" s="21">
        <f>IFERROR(__xludf.DUMMYFUNCTION("""COMPUTED_VALUE"""),-0.08447021014008421)</f>
        <v>-0.08447021014</v>
      </c>
      <c r="F136" s="21">
        <f>IFERROR(__xludf.DUMMYFUNCTION("""COMPUTED_VALUE"""),-0.36463650132556913)</f>
        <v>-0.3646365013</v>
      </c>
      <c r="G136" s="23">
        <f>IFERROR(__xludf.DUMMYFUNCTION("""COMPUTED_VALUE"""),0.003009665105330056)</f>
        <v>0.003009665105</v>
      </c>
      <c r="H136" s="4"/>
      <c r="I136" s="5" t="s">
        <v>956</v>
      </c>
      <c r="J136" s="5" t="s">
        <v>634</v>
      </c>
      <c r="K136" s="5">
        <v>13.0</v>
      </c>
      <c r="L136" s="5">
        <v>-0.18102</v>
      </c>
      <c r="M136" s="5">
        <v>-0.11129</v>
      </c>
      <c r="N136" s="5">
        <v>-0.29231</v>
      </c>
      <c r="O136" s="5">
        <v>0.00693</v>
      </c>
    </row>
    <row r="137">
      <c r="A137" s="12" t="str">
        <f>IFERROR(__xludf.DUMMYFUNCTION("""COMPUTED_VALUE"""),"Jules Dang Akodo")</f>
        <v>Jules Dang Akodo</v>
      </c>
      <c r="B137" s="13" t="str">
        <f>IFERROR(__xludf.DUMMYFUNCTION("""COMPUTED_VALUE"""),"FRA")</f>
        <v>FRA</v>
      </c>
      <c r="C137" s="14">
        <f>IFERROR(__xludf.DUMMYFUNCTION("""COMPUTED_VALUE"""),86.5)</f>
        <v>86.5</v>
      </c>
      <c r="D137" s="15">
        <f>IFERROR(__xludf.DUMMYFUNCTION("""COMPUTED_VALUE"""),0.747585585731846)</f>
        <v>0.7475855857</v>
      </c>
      <c r="E137" s="15">
        <f>IFERROR(__xludf.DUMMYFUNCTION("""COMPUTED_VALUE"""),-1.1165763178784922)</f>
        <v>-1.116576318</v>
      </c>
      <c r="F137" s="15">
        <f>IFERROR(__xludf.DUMMYFUNCTION("""COMPUTED_VALUE"""),-0.36899073214664635)</f>
        <v>-0.3689907321</v>
      </c>
      <c r="G137" s="17">
        <f>IFERROR(__xludf.DUMMYFUNCTION("""COMPUTED_VALUE"""),0.043159528582122256)</f>
        <v>0.04315952858</v>
      </c>
      <c r="H137" s="4"/>
      <c r="I137" s="5" t="s">
        <v>963</v>
      </c>
      <c r="J137" s="5" t="s">
        <v>673</v>
      </c>
      <c r="K137" s="5">
        <v>22.0</v>
      </c>
      <c r="L137" s="5">
        <v>-0.23619</v>
      </c>
      <c r="M137" s="5">
        <v>-0.09784</v>
      </c>
      <c r="N137" s="5">
        <v>-0.33403</v>
      </c>
      <c r="O137" s="5">
        <v>0.01099</v>
      </c>
    </row>
    <row r="138">
      <c r="A138" s="18" t="str">
        <f>IFERROR(__xludf.DUMMYFUNCTION("""COMPUTED_VALUE"""),"Jordan Parks")</f>
        <v>Jordan Parks</v>
      </c>
      <c r="B138" s="19" t="str">
        <f>IFERROR(__xludf.DUMMYFUNCTION("""COMPUTED_VALUE"""),"TBB")</f>
        <v>TBB</v>
      </c>
      <c r="C138" s="20">
        <f>IFERROR(__xludf.DUMMYFUNCTION("""COMPUTED_VALUE"""),94.1)</f>
        <v>94.1</v>
      </c>
      <c r="D138" s="21">
        <f>IFERROR(__xludf.DUMMYFUNCTION("""COMPUTED_VALUE"""),-1.5888276491433488)</f>
        <v>-1.588827649</v>
      </c>
      <c r="E138" s="21">
        <f>IFERROR(__xludf.DUMMYFUNCTION("""COMPUTED_VALUE"""),1.2179589366856782)</f>
        <v>1.217958937</v>
      </c>
      <c r="F138" s="21">
        <f>IFERROR(__xludf.DUMMYFUNCTION("""COMPUTED_VALUE"""),-0.3708687124576705)</f>
        <v>-0.3708687125</v>
      </c>
      <c r="G138" s="23">
        <f>IFERROR(__xludf.DUMMYFUNCTION("""COMPUTED_VALUE"""),0.046603415204646566)</f>
        <v>0.0466034152</v>
      </c>
      <c r="H138" s="4"/>
      <c r="I138" s="5" t="s">
        <v>964</v>
      </c>
      <c r="J138" s="5" t="s">
        <v>634</v>
      </c>
      <c r="K138" s="5">
        <v>11.0</v>
      </c>
      <c r="L138" s="5">
        <v>-0.22757</v>
      </c>
      <c r="M138" s="5">
        <v>-0.10771</v>
      </c>
      <c r="N138" s="5">
        <v>-0.33528</v>
      </c>
      <c r="O138" s="5">
        <v>0.00535</v>
      </c>
    </row>
    <row r="139">
      <c r="A139" s="12" t="str">
        <f>IFERROR(__xludf.DUMMYFUNCTION("""COMPUTED_VALUE"""),"Ismet Akpinar")</f>
        <v>Ismet Akpinar</v>
      </c>
      <c r="B139" s="13" t="str">
        <f>IFERROR(__xludf.DUMMYFUNCTION("""COMPUTED_VALUE"""),"RUL")</f>
        <v>RUL</v>
      </c>
      <c r="C139" s="14">
        <f>IFERROR(__xludf.DUMMYFUNCTION("""COMPUTED_VALUE"""),782.8)</f>
        <v>782.8</v>
      </c>
      <c r="D139" s="15">
        <f>IFERROR(__xludf.DUMMYFUNCTION("""COMPUTED_VALUE"""),-0.0863318413465392)</f>
        <v>-0.08633184135</v>
      </c>
      <c r="E139" s="15">
        <f>IFERROR(__xludf.DUMMYFUNCTION("""COMPUTED_VALUE"""),-0.30720769533125475)</f>
        <v>-0.3072076953</v>
      </c>
      <c r="F139" s="15">
        <f>IFERROR(__xludf.DUMMYFUNCTION("""COMPUTED_VALUE"""),-0.39353953667779396)</f>
        <v>-0.3935395367</v>
      </c>
      <c r="G139" s="17">
        <f>IFERROR(__xludf.DUMMYFUNCTION("""COMPUTED_VALUE"""),0.3820303067214718)</f>
        <v>0.3820303067</v>
      </c>
      <c r="H139" s="4"/>
      <c r="I139" s="5" t="s">
        <v>968</v>
      </c>
      <c r="J139" s="5" t="s">
        <v>644</v>
      </c>
      <c r="K139" s="5">
        <v>6.0</v>
      </c>
      <c r="L139" s="5">
        <v>-0.25362</v>
      </c>
      <c r="M139" s="5">
        <v>-0.09081</v>
      </c>
      <c r="N139" s="5">
        <v>-0.34442</v>
      </c>
      <c r="O139" s="5">
        <v>0.00607</v>
      </c>
    </row>
    <row r="140">
      <c r="A140" s="18" t="str">
        <f>IFERROR(__xludf.DUMMYFUNCTION("""COMPUTED_VALUE"""),"Mickey McConnell")</f>
        <v>Mickey McConnell</v>
      </c>
      <c r="B140" s="19" t="str">
        <f>IFERROR(__xludf.DUMMYFUNCTION("""COMPUTED_VALUE"""),"EWE")</f>
        <v>EWE</v>
      </c>
      <c r="C140" s="20">
        <f>IFERROR(__xludf.DUMMYFUNCTION("""COMPUTED_VALUE"""),1162.1)</f>
        <v>1162.1</v>
      </c>
      <c r="D140" s="21">
        <f>IFERROR(__xludf.DUMMYFUNCTION("""COMPUTED_VALUE"""),-0.10625468307400487)</f>
        <v>-0.1062546831</v>
      </c>
      <c r="E140" s="21">
        <f>IFERROR(__xludf.DUMMYFUNCTION("""COMPUTED_VALUE"""),-0.2912518768132373)</f>
        <v>-0.2912518768</v>
      </c>
      <c r="F140" s="21">
        <f>IFERROR(__xludf.DUMMYFUNCTION("""COMPUTED_VALUE"""),-0.39750655988724215)</f>
        <v>-0.3975065599</v>
      </c>
      <c r="G140" s="23">
        <f>IFERROR(__xludf.DUMMYFUNCTION("""COMPUTED_VALUE"""),0.5659403046937326)</f>
        <v>0.5659403047</v>
      </c>
      <c r="H140" s="4"/>
      <c r="I140" s="5" t="s">
        <v>971</v>
      </c>
      <c r="J140" s="5" t="s">
        <v>824</v>
      </c>
      <c r="K140" s="5">
        <v>6.0</v>
      </c>
      <c r="L140" s="5">
        <v>-0.31711</v>
      </c>
      <c r="M140" s="5">
        <v>-0.04758</v>
      </c>
      <c r="N140" s="5">
        <v>-0.36469</v>
      </c>
      <c r="O140" s="5">
        <v>0.00301</v>
      </c>
    </row>
    <row r="141">
      <c r="A141" s="12" t="str">
        <f>IFERROR(__xludf.DUMMYFUNCTION("""COMPUTED_VALUE"""),"Bjorn Rohwer")</f>
        <v>Bjorn Rohwer</v>
      </c>
      <c r="B141" s="13" t="str">
        <f>IFERROR(__xludf.DUMMYFUNCTION("""COMPUTED_VALUE"""),"RUL")</f>
        <v>RUL</v>
      </c>
      <c r="C141" s="14">
        <f>IFERROR(__xludf.DUMMYFUNCTION("""COMPUTED_VALUE"""),4.7)</f>
        <v>4.7</v>
      </c>
      <c r="D141" s="15">
        <f>IFERROR(__xludf.DUMMYFUNCTION("""COMPUTED_VALUE"""),-0.3289029063853223)</f>
        <v>-0.3289029064</v>
      </c>
      <c r="E141" s="15">
        <f>IFERROR(__xludf.DUMMYFUNCTION("""COMPUTED_VALUE"""),-0.07700051270005415)</f>
        <v>-0.0770005127</v>
      </c>
      <c r="F141" s="15">
        <f>IFERROR(__xludf.DUMMYFUNCTION("""COMPUTED_VALUE"""),-0.40590341908537647)</f>
        <v>-0.4059034191</v>
      </c>
      <c r="G141" s="17">
        <f>IFERROR(__xludf.DUMMYFUNCTION("""COMPUTED_VALUE"""),0.00227609008437707)</f>
        <v>0.002276090084</v>
      </c>
      <c r="H141" s="4"/>
      <c r="I141" s="5" t="s">
        <v>974</v>
      </c>
      <c r="J141" s="5" t="s">
        <v>697</v>
      </c>
      <c r="K141" s="5">
        <v>87.0</v>
      </c>
      <c r="L141" s="5">
        <v>0.5429</v>
      </c>
      <c r="M141" s="5">
        <v>-0.91209</v>
      </c>
      <c r="N141" s="5">
        <v>-0.36919</v>
      </c>
      <c r="O141" s="5">
        <v>0.04315</v>
      </c>
    </row>
    <row r="142">
      <c r="A142" s="18" t="str">
        <f>IFERROR(__xludf.DUMMYFUNCTION("""COMPUTED_VALUE"""),"Lennart Stechmann")</f>
        <v>Lennart Stechmann</v>
      </c>
      <c r="B142" s="19" t="str">
        <f>IFERROR(__xludf.DUMMYFUNCTION("""COMPUTED_VALUE"""),"GOE")</f>
        <v>GOE</v>
      </c>
      <c r="C142" s="20">
        <f>IFERROR(__xludf.DUMMYFUNCTION("""COMPUTED_VALUE"""),4.4)</f>
        <v>4.4</v>
      </c>
      <c r="D142" s="21">
        <f>IFERROR(__xludf.DUMMYFUNCTION("""COMPUTED_VALUE"""),-0.28970724912261087)</f>
        <v>-0.2897072491</v>
      </c>
      <c r="E142" s="21">
        <f>IFERROR(__xludf.DUMMYFUNCTION("""COMPUTED_VALUE"""),-0.1417483906370547)</f>
        <v>-0.1417483906</v>
      </c>
      <c r="F142" s="21">
        <f>IFERROR(__xludf.DUMMYFUNCTION("""COMPUTED_VALUE"""),-0.43145563975966555)</f>
        <v>-0.4314556398</v>
      </c>
      <c r="G142" s="23">
        <f>IFERROR(__xludf.DUMMYFUNCTION("""COMPUTED_VALUE"""),0.0020809383308331053)</f>
        <v>0.002080938331</v>
      </c>
      <c r="H142" s="4"/>
      <c r="I142" s="5" t="s">
        <v>977</v>
      </c>
      <c r="J142" s="5" t="s">
        <v>669</v>
      </c>
      <c r="K142" s="5">
        <v>94.0</v>
      </c>
      <c r="L142" s="5">
        <v>-1.36982</v>
      </c>
      <c r="M142" s="5">
        <v>0.99878</v>
      </c>
      <c r="N142" s="5">
        <v>-0.37104</v>
      </c>
      <c r="O142" s="5">
        <v>0.0466</v>
      </c>
    </row>
    <row r="143">
      <c r="A143" s="12" t="str">
        <f>IFERROR(__xludf.DUMMYFUNCTION("""COMPUTED_VALUE"""),"Stephan Haukohl")</f>
        <v>Stephan Haukohl</v>
      </c>
      <c r="B143" s="13" t="str">
        <f>IFERROR(__xludf.DUMMYFUNCTION("""COMPUTED_VALUE"""),"GOE")</f>
        <v>GOE</v>
      </c>
      <c r="C143" s="14">
        <f>IFERROR(__xludf.DUMMYFUNCTION("""COMPUTED_VALUE"""),551.8)</f>
        <v>551.8</v>
      </c>
      <c r="D143" s="15">
        <f>IFERROR(__xludf.DUMMYFUNCTION("""COMPUTED_VALUE"""),0.1564320379099614)</f>
        <v>0.1564320379</v>
      </c>
      <c r="E143" s="15">
        <f>IFERROR(__xludf.DUMMYFUNCTION("""COMPUTED_VALUE"""),-0.5957190791686479)</f>
        <v>-0.5957190792</v>
      </c>
      <c r="F143" s="15">
        <f>IFERROR(__xludf.DUMMYFUNCTION("""COMPUTED_VALUE"""),-0.43928704125868645)</f>
        <v>-0.4392870413</v>
      </c>
      <c r="G143" s="17">
        <f>IFERROR(__xludf.DUMMYFUNCTION("""COMPUTED_VALUE"""),0.2596656248159502)</f>
        <v>0.2596656248</v>
      </c>
      <c r="H143" s="4"/>
      <c r="I143" s="5" t="s">
        <v>981</v>
      </c>
      <c r="J143" s="5" t="s">
        <v>693</v>
      </c>
      <c r="K143" s="5">
        <v>783.0</v>
      </c>
      <c r="L143" s="5">
        <v>0.11657</v>
      </c>
      <c r="M143" s="5">
        <v>-0.51022</v>
      </c>
      <c r="N143" s="5">
        <v>-0.39364</v>
      </c>
      <c r="O143" s="5">
        <v>0.38201</v>
      </c>
    </row>
    <row r="144">
      <c r="A144" s="18" t="str">
        <f>IFERROR(__xludf.DUMMYFUNCTION("""COMPUTED_VALUE"""),"Dane Watts")</f>
        <v>Dane Watts</v>
      </c>
      <c r="B144" s="19" t="str">
        <f>IFERROR(__xludf.DUMMYFUNCTION("""COMPUTED_VALUE"""),"BIG")</f>
        <v>BIG</v>
      </c>
      <c r="C144" s="20">
        <f>IFERROR(__xludf.DUMMYFUNCTION("""COMPUTED_VALUE"""),88.9)</f>
        <v>88.9</v>
      </c>
      <c r="D144" s="21">
        <f>IFERROR(__xludf.DUMMYFUNCTION("""COMPUTED_VALUE"""),0.026974782831491104)</f>
        <v>0.02697478283</v>
      </c>
      <c r="E144" s="21">
        <f>IFERROR(__xludf.DUMMYFUNCTION("""COMPUTED_VALUE"""),-0.4756409593344538)</f>
        <v>-0.4756409593</v>
      </c>
      <c r="F144" s="21">
        <f>IFERROR(__xludf.DUMMYFUNCTION("""COMPUTED_VALUE"""),-0.44866617650296264)</f>
        <v>-0.4486661765</v>
      </c>
      <c r="G144" s="23">
        <f>IFERROR(__xludf.DUMMYFUNCTION("""COMPUTED_VALUE"""),0.04326655738277164)</f>
        <v>0.04326655738</v>
      </c>
      <c r="H144" s="4"/>
      <c r="I144" s="5" t="s">
        <v>984</v>
      </c>
      <c r="J144" s="5" t="s">
        <v>654</v>
      </c>
      <c r="K144" s="24">
        <v>1162.0</v>
      </c>
      <c r="L144" s="5">
        <v>1.6328</v>
      </c>
      <c r="M144" s="5">
        <v>-2.03055</v>
      </c>
      <c r="N144" s="5">
        <v>-0.39775</v>
      </c>
      <c r="O144" s="5">
        <v>0.56585</v>
      </c>
    </row>
    <row r="145">
      <c r="A145" s="12" t="str">
        <f>IFERROR(__xludf.DUMMYFUNCTION("""COMPUTED_VALUE"""),"Mike Morrison")</f>
        <v>Mike Morrison</v>
      </c>
      <c r="B145" s="13" t="str">
        <f>IFERROR(__xludf.DUMMYFUNCTION("""COMPUTED_VALUE"""),"FRA")</f>
        <v>FRA</v>
      </c>
      <c r="C145" s="14">
        <f>IFERROR(__xludf.DUMMYFUNCTION("""COMPUTED_VALUE"""),702.4)</f>
        <v>702.4</v>
      </c>
      <c r="D145" s="15">
        <f>IFERROR(__xludf.DUMMYFUNCTION("""COMPUTED_VALUE"""),-1.7243628134746842)</f>
        <v>-1.724362813</v>
      </c>
      <c r="E145" s="15">
        <f>IFERROR(__xludf.DUMMYFUNCTION("""COMPUTED_VALUE"""),1.1951376882630886)</f>
        <v>1.195137688</v>
      </c>
      <c r="F145" s="15">
        <f>IFERROR(__xludf.DUMMYFUNCTION("""COMPUTED_VALUE"""),-0.5292251252115956)</f>
        <v>-0.5292251252</v>
      </c>
      <c r="G145" s="17">
        <f>IFERROR(__xludf.DUMMYFUNCTION("""COMPUTED_VALUE"""),0.3160347664124961)</f>
        <v>0.3160347664</v>
      </c>
      <c r="H145" s="4"/>
      <c r="I145" s="5" t="s">
        <v>987</v>
      </c>
      <c r="J145" s="5" t="s">
        <v>693</v>
      </c>
      <c r="K145" s="5">
        <v>5.0</v>
      </c>
      <c r="L145" s="5">
        <v>-0.32572</v>
      </c>
      <c r="M145" s="5">
        <v>-0.08018</v>
      </c>
      <c r="N145" s="5">
        <v>-0.4059</v>
      </c>
      <c r="O145" s="5">
        <v>0.00228</v>
      </c>
    </row>
    <row r="146">
      <c r="A146" s="18" t="str">
        <f>IFERROR(__xludf.DUMMYFUNCTION("""COMPUTED_VALUE"""),"Maik Zirbes")</f>
        <v>Maik Zirbes</v>
      </c>
      <c r="B146" s="19" t="str">
        <f>IFERROR(__xludf.DUMMYFUNCTION("""COMPUTED_VALUE"""),"BAY")</f>
        <v>BAY</v>
      </c>
      <c r="C146" s="20">
        <f>IFERROR(__xludf.DUMMYFUNCTION("""COMPUTED_VALUE"""),734.6)</f>
        <v>734.6</v>
      </c>
      <c r="D146" s="21">
        <f>IFERROR(__xludf.DUMMYFUNCTION("""COMPUTED_VALUE"""),-3.0175228742166778)</f>
        <v>-3.017522874</v>
      </c>
      <c r="E146" s="21">
        <f>IFERROR(__xludf.DUMMYFUNCTION("""COMPUTED_VALUE"""),2.486392074258114)</f>
        <v>2.486392074</v>
      </c>
      <c r="F146" s="21">
        <f>IFERROR(__xludf.DUMMYFUNCTION("""COMPUTED_VALUE"""),-0.5311307999585639)</f>
        <v>-0.5311308</v>
      </c>
      <c r="G146" s="23">
        <f>IFERROR(__xludf.DUMMYFUNCTION("""COMPUTED_VALUE"""),0.6579536640157555)</f>
        <v>0.657953664</v>
      </c>
      <c r="H146" s="4"/>
      <c r="I146" s="5" t="s">
        <v>989</v>
      </c>
      <c r="J146" s="5" t="s">
        <v>636</v>
      </c>
      <c r="K146" s="5">
        <v>303.0</v>
      </c>
      <c r="L146" s="5">
        <v>-0.33867</v>
      </c>
      <c r="M146" s="5">
        <v>-0.0758</v>
      </c>
      <c r="N146" s="5">
        <v>-0.41446</v>
      </c>
      <c r="O146" s="5">
        <v>0.14921</v>
      </c>
    </row>
    <row r="147">
      <c r="A147" s="12" t="str">
        <f>IFERROR(__xludf.DUMMYFUNCTION("""COMPUTED_VALUE"""),"Kruize Pinkins")</f>
        <v>Kruize Pinkins</v>
      </c>
      <c r="B147" s="13" t="str">
        <f>IFERROR(__xludf.DUMMYFUNCTION("""COMPUTED_VALUE"""),"BC")</f>
        <v>BC</v>
      </c>
      <c r="C147" s="14">
        <f>IFERROR(__xludf.DUMMYFUNCTION("""COMPUTED_VALUE"""),805.1)</f>
        <v>805.1</v>
      </c>
      <c r="D147" s="15">
        <f>IFERROR(__xludf.DUMMYFUNCTION("""COMPUTED_VALUE"""),0.6016651789783507)</f>
        <v>0.601665179</v>
      </c>
      <c r="E147" s="15">
        <f>IFERROR(__xludf.DUMMYFUNCTION("""COMPUTED_VALUE"""),-1.1377742959866912)</f>
        <v>-1.137774296</v>
      </c>
      <c r="F147" s="15">
        <f>IFERROR(__xludf.DUMMYFUNCTION("""COMPUTED_VALUE"""),-0.5361091170083405)</f>
        <v>-0.536109117</v>
      </c>
      <c r="G147" s="17">
        <f>IFERROR(__xludf.DUMMYFUNCTION("""COMPUTED_VALUE"""),0.38921439409337916)</f>
        <v>0.3892143941</v>
      </c>
      <c r="H147" s="4"/>
      <c r="I147" s="5" t="s">
        <v>992</v>
      </c>
      <c r="J147" s="5" t="s">
        <v>734</v>
      </c>
      <c r="K147" s="5">
        <v>4.0</v>
      </c>
      <c r="L147" s="5">
        <v>-0.30584</v>
      </c>
      <c r="M147" s="5">
        <v>-0.12562</v>
      </c>
      <c r="N147" s="5">
        <v>-0.43146</v>
      </c>
      <c r="O147" s="5">
        <v>0.00208</v>
      </c>
    </row>
    <row r="148">
      <c r="A148" s="18" t="str">
        <f>IFERROR(__xludf.DUMMYFUNCTION("""COMPUTED_VALUE"""),"Florian Koch")</f>
        <v>Florian Koch</v>
      </c>
      <c r="B148" s="19" t="str">
        <f>IFERROR(__xludf.DUMMYFUNCTION("""COMPUTED_VALUE"""),"LUD")</f>
        <v>LUD</v>
      </c>
      <c r="C148" s="20">
        <f>IFERROR(__xludf.DUMMYFUNCTION("""COMPUTED_VALUE"""),196.6)</f>
        <v>196.6</v>
      </c>
      <c r="D148" s="21">
        <f>IFERROR(__xludf.DUMMYFUNCTION("""COMPUTED_VALUE"""),-0.18142141910630596)</f>
        <v>-0.1814214191</v>
      </c>
      <c r="E148" s="21">
        <f>IFERROR(__xludf.DUMMYFUNCTION("""COMPUTED_VALUE"""),-0.3658832696272192)</f>
        <v>-0.3658832696</v>
      </c>
      <c r="F148" s="21">
        <f>IFERROR(__xludf.DUMMYFUNCTION("""COMPUTED_VALUE"""),-0.5473046887335251)</f>
        <v>-0.5473046887</v>
      </c>
      <c r="G148" s="23">
        <f>IFERROR(__xludf.DUMMYFUNCTION("""COMPUTED_VALUE"""),0.08873658084875481)</f>
        <v>0.08873658085</v>
      </c>
      <c r="H148" s="4"/>
      <c r="I148" s="5" t="s">
        <v>994</v>
      </c>
      <c r="J148" s="5" t="s">
        <v>734</v>
      </c>
      <c r="K148" s="5">
        <v>552.0</v>
      </c>
      <c r="L148" s="5">
        <v>-0.94482</v>
      </c>
      <c r="M148" s="5">
        <v>0.50413</v>
      </c>
      <c r="N148" s="5">
        <v>-0.44069</v>
      </c>
      <c r="O148" s="5">
        <v>0.25958</v>
      </c>
    </row>
    <row r="149">
      <c r="A149" s="12" t="str">
        <f>IFERROR(__xludf.DUMMYFUNCTION("""COMPUTED_VALUE"""),"Elias Harris")</f>
        <v>Elias Harris</v>
      </c>
      <c r="B149" s="13" t="str">
        <f>IFERROR(__xludf.DUMMYFUNCTION("""COMPUTED_VALUE"""),"BRO")</f>
        <v>BRO</v>
      </c>
      <c r="C149" s="14">
        <f>IFERROR(__xludf.DUMMYFUNCTION("""COMPUTED_VALUE"""),23.7)</f>
        <v>23.7</v>
      </c>
      <c r="D149" s="15">
        <f>IFERROR(__xludf.DUMMYFUNCTION("""COMPUTED_VALUE"""),-0.488510024555513)</f>
        <v>-0.4885100246</v>
      </c>
      <c r="E149" s="15">
        <f>IFERROR(__xludf.DUMMYFUNCTION("""COMPUTED_VALUE"""),-0.06325508991292245)</f>
        <v>-0.06325508991</v>
      </c>
      <c r="F149" s="15">
        <f>IFERROR(__xludf.DUMMYFUNCTION("""COMPUTED_VALUE"""),-0.5517651144684355)</f>
        <v>-0.5517651145</v>
      </c>
      <c r="G149" s="17">
        <f>IFERROR(__xludf.DUMMYFUNCTION("""COMPUTED_VALUE"""),0.010516191598576549)</f>
        <v>0.0105161916</v>
      </c>
      <c r="H149" s="4"/>
      <c r="I149" s="5" t="s">
        <v>998</v>
      </c>
      <c r="J149" s="5" t="s">
        <v>798</v>
      </c>
      <c r="K149" s="24">
        <v>89.0</v>
      </c>
      <c r="L149" s="5">
        <v>-0.58082</v>
      </c>
      <c r="M149" s="5">
        <v>0.13215</v>
      </c>
      <c r="N149" s="5">
        <v>-0.44867</v>
      </c>
      <c r="O149" s="5">
        <v>0.04327</v>
      </c>
    </row>
    <row r="150">
      <c r="A150" s="18" t="str">
        <f>IFERROR(__xludf.DUMMYFUNCTION("""COMPUTED_VALUE"""),"Da'Sean Butler")</f>
        <v>Da'Sean Butler</v>
      </c>
      <c r="B150" s="19" t="str">
        <f>IFERROR(__xludf.DUMMYFUNCTION("""COMPUTED_VALUE"""),"RUL")</f>
        <v>RUL</v>
      </c>
      <c r="C150" s="20">
        <f>IFERROR(__xludf.DUMMYFUNCTION("""COMPUTED_VALUE"""),612.6)</f>
        <v>612.6</v>
      </c>
      <c r="D150" s="21">
        <f>IFERROR(__xludf.DUMMYFUNCTION("""COMPUTED_VALUE"""),-0.5389576883577776)</f>
        <v>-0.5389576884</v>
      </c>
      <c r="E150" s="21">
        <f>IFERROR(__xludf.DUMMYFUNCTION("""COMPUTED_VALUE"""),-0.01897270229328818)</f>
        <v>-0.01897270229</v>
      </c>
      <c r="F150" s="21">
        <f>IFERROR(__xludf.DUMMYFUNCTION("""COMPUTED_VALUE"""),-0.5579303906510658)</f>
        <v>-0.5579303907</v>
      </c>
      <c r="G150" s="23">
        <f>IFERROR(__xludf.DUMMYFUNCTION("""COMPUTED_VALUE"""),0.2683738370679253)</f>
        <v>0.2683738371</v>
      </c>
      <c r="H150" s="4"/>
      <c r="I150" s="5" t="s">
        <v>1001</v>
      </c>
      <c r="J150" s="5" t="s">
        <v>72</v>
      </c>
      <c r="K150" s="5">
        <v>24.0</v>
      </c>
      <c r="L150" s="5">
        <v>-0.41072</v>
      </c>
      <c r="M150" s="5">
        <v>-0.11526</v>
      </c>
      <c r="N150" s="5">
        <v>-0.52598</v>
      </c>
      <c r="O150" s="5">
        <v>0.01071</v>
      </c>
    </row>
    <row r="151">
      <c r="A151" s="12" t="str">
        <f>IFERROR(__xludf.DUMMYFUNCTION("""COMPUTED_VALUE"""),"Eimantas Stankevicius")</f>
        <v>Eimantas Stankevicius</v>
      </c>
      <c r="B151" s="13" t="str">
        <f>IFERROR(__xludf.DUMMYFUNCTION("""COMPUTED_VALUE"""),"BC")</f>
        <v>BC</v>
      </c>
      <c r="C151" s="14">
        <f>IFERROR(__xludf.DUMMYFUNCTION("""COMPUTED_VALUE"""),33.4)</f>
        <v>33.4</v>
      </c>
      <c r="D151" s="15">
        <f>IFERROR(__xludf.DUMMYFUNCTION("""COMPUTED_VALUE"""),-0.11561989457966464)</f>
        <v>-0.1156198946</v>
      </c>
      <c r="E151" s="15">
        <f>IFERROR(__xludf.DUMMYFUNCTION("""COMPUTED_VALUE"""),-0.4558804867521697)</f>
        <v>-0.4558804868</v>
      </c>
      <c r="F151" s="15">
        <f>IFERROR(__xludf.DUMMYFUNCTION("""COMPUTED_VALUE"""),-0.5715003813318343)</f>
        <v>-0.5715003813</v>
      </c>
      <c r="G151" s="17">
        <f>IFERROR(__xludf.DUMMYFUNCTION("""COMPUTED_VALUE"""),0.015756398497113938)</f>
        <v>0.0157563985</v>
      </c>
      <c r="H151" s="4"/>
      <c r="I151" s="5" t="s">
        <v>1003</v>
      </c>
      <c r="J151" s="5" t="s">
        <v>697</v>
      </c>
      <c r="K151" s="5">
        <v>702.0</v>
      </c>
      <c r="L151" s="5">
        <v>-2.43356</v>
      </c>
      <c r="M151" s="5">
        <v>1.90421</v>
      </c>
      <c r="N151" s="5">
        <v>-0.52935</v>
      </c>
      <c r="O151" s="5">
        <v>0.31601</v>
      </c>
    </row>
    <row r="152">
      <c r="A152" s="18" t="str">
        <f>IFERROR(__xludf.DUMMYFUNCTION("""COMPUTED_VALUE"""),"Tai Webster")</f>
        <v>Tai Webster</v>
      </c>
      <c r="B152" s="19" t="str">
        <f>IFERROR(__xludf.DUMMYFUNCTION("""COMPUTED_VALUE"""),"FRA")</f>
        <v>FRA</v>
      </c>
      <c r="C152" s="20">
        <f>IFERROR(__xludf.DUMMYFUNCTION("""COMPUTED_VALUE"""),1055.2)</f>
        <v>1055.2</v>
      </c>
      <c r="D152" s="21">
        <f>IFERROR(__xludf.DUMMYFUNCTION("""COMPUTED_VALUE"""),0.7041512894028564)</f>
        <v>0.7041512894</v>
      </c>
      <c r="E152" s="21">
        <f>IFERROR(__xludf.DUMMYFUNCTION("""COMPUTED_VALUE"""),-1.2831432762728294)</f>
        <v>-1.283143276</v>
      </c>
      <c r="F152" s="21">
        <f>IFERROR(__xludf.DUMMYFUNCTION("""COMPUTED_VALUE"""),-0.5789919868699731)</f>
        <v>-0.5789919869</v>
      </c>
      <c r="G152" s="23">
        <f>IFERROR(__xludf.DUMMYFUNCTION("""COMPUTED_VALUE"""),0.45870710342311644)</f>
        <v>0.4587071034</v>
      </c>
      <c r="H152" s="4"/>
      <c r="I152" s="5" t="s">
        <v>1006</v>
      </c>
      <c r="J152" s="5" t="s">
        <v>634</v>
      </c>
      <c r="K152" s="5">
        <v>43.0</v>
      </c>
      <c r="L152" s="5">
        <v>-0.55614</v>
      </c>
      <c r="M152" s="5">
        <v>0.02473</v>
      </c>
      <c r="N152" s="5">
        <v>-0.53142</v>
      </c>
      <c r="O152" s="5">
        <v>0.01896</v>
      </c>
    </row>
    <row r="153">
      <c r="A153" s="12" t="str">
        <f>IFERROR(__xludf.DUMMYFUNCTION("""COMPUTED_VALUE"""),"Marco Rahn")</f>
        <v>Marco Rahn</v>
      </c>
      <c r="B153" s="13" t="str">
        <f>IFERROR(__xludf.DUMMYFUNCTION("""COMPUTED_VALUE"""),"SCJ")</f>
        <v>SCJ</v>
      </c>
      <c r="C153" s="14">
        <f>IFERROR(__xludf.DUMMYFUNCTION("""COMPUTED_VALUE"""),12.8)</f>
        <v>12.8</v>
      </c>
      <c r="D153" s="15">
        <f>IFERROR(__xludf.DUMMYFUNCTION("""COMPUTED_VALUE"""),-0.478982803815449)</f>
        <v>-0.4789828038</v>
      </c>
      <c r="E153" s="15">
        <f>IFERROR(__xludf.DUMMYFUNCTION("""COMPUTED_VALUE"""),-0.10712070570198462)</f>
        <v>-0.1071207057</v>
      </c>
      <c r="F153" s="15">
        <f>IFERROR(__xludf.DUMMYFUNCTION("""COMPUTED_VALUE"""),-0.5861035095174336)</f>
        <v>-0.5861035095</v>
      </c>
      <c r="G153" s="17">
        <f>IFERROR(__xludf.DUMMYFUNCTION("""COMPUTED_VALUE"""),0.005495662192139019)</f>
        <v>0.005495662192</v>
      </c>
      <c r="H153" s="4"/>
      <c r="I153" s="5" t="s">
        <v>1008</v>
      </c>
      <c r="J153" s="5" t="s">
        <v>737</v>
      </c>
      <c r="K153" s="5">
        <v>805.0</v>
      </c>
      <c r="L153" s="5">
        <v>0.02119</v>
      </c>
      <c r="M153" s="5">
        <v>-0.55724</v>
      </c>
      <c r="N153" s="5">
        <v>-0.53605</v>
      </c>
      <c r="O153" s="5">
        <v>0.38923</v>
      </c>
    </row>
    <row r="154">
      <c r="A154" s="18" t="str">
        <f>IFERROR(__xludf.DUMMYFUNCTION("""COMPUTED_VALUE"""),"Aleksej Nikolic")</f>
        <v>Aleksej Nikolic</v>
      </c>
      <c r="B154" s="19" t="str">
        <f>IFERROR(__xludf.DUMMYFUNCTION("""COMPUTED_VALUE"""),"BRO")</f>
        <v>BRO</v>
      </c>
      <c r="C154" s="20">
        <f>IFERROR(__xludf.DUMMYFUNCTION("""COMPUTED_VALUE"""),490.7)</f>
        <v>490.7</v>
      </c>
      <c r="D154" s="21">
        <f>IFERROR(__xludf.DUMMYFUNCTION("""COMPUTED_VALUE"""),-1.4207040009349954)</f>
        <v>-1.420704001</v>
      </c>
      <c r="E154" s="21">
        <f>IFERROR(__xludf.DUMMYFUNCTION("""COMPUTED_VALUE"""),0.8229773769458797)</f>
        <v>0.8229773769</v>
      </c>
      <c r="F154" s="21">
        <f>IFERROR(__xludf.DUMMYFUNCTION("""COMPUTED_VALUE"""),-0.5977266239891157)</f>
        <v>-0.597726624</v>
      </c>
      <c r="G154" s="23">
        <f>IFERROR(__xludf.DUMMYFUNCTION("""COMPUTED_VALUE"""),0.21082392078304726)</f>
        <v>0.2108239208</v>
      </c>
      <c r="H154" s="4"/>
      <c r="I154" s="5" t="s">
        <v>1011</v>
      </c>
      <c r="J154" s="5" t="s">
        <v>644</v>
      </c>
      <c r="K154" s="5">
        <v>627.0</v>
      </c>
      <c r="L154" s="5">
        <v>-1.69951</v>
      </c>
      <c r="M154" s="5">
        <v>1.16009</v>
      </c>
      <c r="N154" s="5">
        <v>-0.53942</v>
      </c>
      <c r="O154" s="5">
        <v>0.55968</v>
      </c>
    </row>
    <row r="155">
      <c r="A155" s="12" t="str">
        <f>IFERROR(__xludf.DUMMYFUNCTION("""COMPUTED_VALUE"""),"Konstantin Schubert")</f>
        <v>Konstantin Schubert</v>
      </c>
      <c r="B155" s="13" t="str">
        <f>IFERROR(__xludf.DUMMYFUNCTION("""COMPUTED_VALUE"""),"FRA")</f>
        <v>FRA</v>
      </c>
      <c r="C155" s="14">
        <f>IFERROR(__xludf.DUMMYFUNCTION("""COMPUTED_VALUE"""),12.8)</f>
        <v>12.8</v>
      </c>
      <c r="D155" s="15">
        <f>IFERROR(__xludf.DUMMYFUNCTION("""COMPUTED_VALUE"""),-0.46390559704867257)</f>
        <v>-0.463905597</v>
      </c>
      <c r="E155" s="15">
        <f>IFERROR(__xludf.DUMMYFUNCTION("""COMPUTED_VALUE"""),-0.13552234349439735)</f>
        <v>-0.1355223435</v>
      </c>
      <c r="F155" s="15">
        <f>IFERROR(__xludf.DUMMYFUNCTION("""COMPUTED_VALUE"""),-0.5994279405430699)</f>
        <v>-0.5994279405</v>
      </c>
      <c r="G155" s="17">
        <f>IFERROR(__xludf.DUMMYFUNCTION("""COMPUTED_VALUE"""),0.00548427954950841)</f>
        <v>0.00548427955</v>
      </c>
      <c r="H155" s="4"/>
      <c r="I155" s="5" t="s">
        <v>1014</v>
      </c>
      <c r="J155" s="5" t="s">
        <v>693</v>
      </c>
      <c r="K155" s="5">
        <v>613.0</v>
      </c>
      <c r="L155" s="5">
        <v>-0.33592</v>
      </c>
      <c r="M155" s="5">
        <v>-0.22201</v>
      </c>
      <c r="N155" s="5">
        <v>-0.55793</v>
      </c>
      <c r="O155" s="5">
        <v>0.26837</v>
      </c>
    </row>
    <row r="156">
      <c r="A156" s="18" t="str">
        <f>IFERROR(__xludf.DUMMYFUNCTION("""COMPUTED_VALUE"""),"Bryon Allen")</f>
        <v>Bryon Allen</v>
      </c>
      <c r="B156" s="19" t="str">
        <f>IFERROR(__xludf.DUMMYFUNCTION("""COMPUTED_VALUE"""),"EWE")</f>
        <v>EWE</v>
      </c>
      <c r="C156" s="20">
        <f>IFERROR(__xludf.DUMMYFUNCTION("""COMPUTED_VALUE"""),350.7)</f>
        <v>350.7</v>
      </c>
      <c r="D156" s="21">
        <f>IFERROR(__xludf.DUMMYFUNCTION("""COMPUTED_VALUE"""),-0.9334671236009753)</f>
        <v>-0.9334671236</v>
      </c>
      <c r="E156" s="21">
        <f>IFERROR(__xludf.DUMMYFUNCTION("""COMPUTED_VALUE"""),0.3118859671140236)</f>
        <v>0.3118859671</v>
      </c>
      <c r="F156" s="21">
        <f>IFERROR(__xludf.DUMMYFUNCTION("""COMPUTED_VALUE"""),-0.6215811564869517)</f>
        <v>-0.6215811565</v>
      </c>
      <c r="G156" s="23">
        <f>IFERROR(__xludf.DUMMYFUNCTION("""COMPUTED_VALUE"""),0.14690880634254355)</f>
        <v>0.1469088063</v>
      </c>
      <c r="H156" s="4"/>
      <c r="I156" s="5" t="s">
        <v>1017</v>
      </c>
      <c r="J156" s="5" t="s">
        <v>737</v>
      </c>
      <c r="K156" s="5">
        <v>33.0</v>
      </c>
      <c r="L156" s="5">
        <v>-0.18036</v>
      </c>
      <c r="M156" s="5">
        <v>-0.39123</v>
      </c>
      <c r="N156" s="5">
        <v>-0.57158</v>
      </c>
      <c r="O156" s="5">
        <v>0.01576</v>
      </c>
    </row>
    <row r="157">
      <c r="A157" s="12" t="str">
        <f>IFERROR(__xludf.DUMMYFUNCTION("""COMPUTED_VALUE"""),"Ryan Thompson")</f>
        <v>Ryan Thompson</v>
      </c>
      <c r="B157" s="13" t="str">
        <f>IFERROR(__xludf.DUMMYFUNCTION("""COMPUTED_VALUE"""),"RUL")</f>
        <v>RUL</v>
      </c>
      <c r="C157" s="14">
        <f>IFERROR(__xludf.DUMMYFUNCTION("""COMPUTED_VALUE"""),913.3)</f>
        <v>913.3</v>
      </c>
      <c r="D157" s="15">
        <f>IFERROR(__xludf.DUMMYFUNCTION("""COMPUTED_VALUE"""),-0.4710195228268116)</f>
        <v>-0.4710195228</v>
      </c>
      <c r="E157" s="15">
        <f>IFERROR(__xludf.DUMMYFUNCTION("""COMPUTED_VALUE"""),-0.17070080255810693)</f>
        <v>-0.1707008026</v>
      </c>
      <c r="F157" s="15">
        <f>IFERROR(__xludf.DUMMYFUNCTION("""COMPUTED_VALUE"""),-0.6417203253849185)</f>
        <v>-0.6417203254</v>
      </c>
      <c r="G157" s="17">
        <f>IFERROR(__xludf.DUMMYFUNCTION("""COMPUTED_VALUE"""),0.3768596306677611)</f>
        <v>0.3768596307</v>
      </c>
      <c r="H157" s="4"/>
      <c r="I157" s="5" t="s">
        <v>1020</v>
      </c>
      <c r="J157" s="5" t="s">
        <v>697</v>
      </c>
      <c r="K157" s="24">
        <v>1055.0</v>
      </c>
      <c r="L157" s="5">
        <v>-0.004</v>
      </c>
      <c r="M157" s="5">
        <v>-0.57425</v>
      </c>
      <c r="N157" s="5">
        <v>-0.57826</v>
      </c>
      <c r="O157" s="5">
        <v>0.45894</v>
      </c>
    </row>
    <row r="158">
      <c r="A158" s="18" t="str">
        <f>IFERROR(__xludf.DUMMYFUNCTION("""COMPUTED_VALUE"""),"Niklas Geske")</f>
        <v>Niklas Geske</v>
      </c>
      <c r="B158" s="19" t="str">
        <f>IFERROR(__xludf.DUMMYFUNCTION("""COMPUTED_VALUE"""),"LUD")</f>
        <v>LUD</v>
      </c>
      <c r="C158" s="20">
        <f>IFERROR(__xludf.DUMMYFUNCTION("""COMPUTED_VALUE"""),245.9)</f>
        <v>245.9</v>
      </c>
      <c r="D158" s="21">
        <f>IFERROR(__xludf.DUMMYFUNCTION("""COMPUTED_VALUE"""),-1.649120278067437)</f>
        <v>-1.649120278</v>
      </c>
      <c r="E158" s="21">
        <f>IFERROR(__xludf.DUMMYFUNCTION("""COMPUTED_VALUE"""),0.9912067001814653)</f>
        <v>0.9912067002</v>
      </c>
      <c r="F158" s="21">
        <f>IFERROR(__xludf.DUMMYFUNCTION("""COMPUTED_VALUE"""),-0.6579135778859717)</f>
        <v>-0.6579135779</v>
      </c>
      <c r="G158" s="23">
        <f>IFERROR(__xludf.DUMMYFUNCTION("""COMPUTED_VALUE"""),0.10253771938760539)</f>
        <v>0.1025377194</v>
      </c>
      <c r="H158" s="4"/>
      <c r="I158" s="5" t="s">
        <v>1024</v>
      </c>
      <c r="J158" s="5" t="s">
        <v>724</v>
      </c>
      <c r="K158" s="5">
        <v>13.0</v>
      </c>
      <c r="L158" s="5">
        <v>-0.50201</v>
      </c>
      <c r="M158" s="5">
        <v>-0.08417</v>
      </c>
      <c r="N158" s="5">
        <v>-0.58618</v>
      </c>
      <c r="O158" s="5">
        <v>0.0055</v>
      </c>
    </row>
    <row r="159">
      <c r="A159" s="12" t="str">
        <f>IFERROR(__xludf.DUMMYFUNCTION("""COMPUTED_VALUE"""),"Michael Stockton")</f>
        <v>Michael Stockton</v>
      </c>
      <c r="B159" s="13" t="str">
        <f>IFERROR(__xludf.DUMMYFUNCTION("""COMPUTED_VALUE"""),"GOE")</f>
        <v>GOE</v>
      </c>
      <c r="C159" s="14">
        <f>IFERROR(__xludf.DUMMYFUNCTION("""COMPUTED_VALUE"""),1026.8)</f>
        <v>1026.8</v>
      </c>
      <c r="D159" s="15">
        <f>IFERROR(__xludf.DUMMYFUNCTION("""COMPUTED_VALUE"""),2.5727085898671658)</f>
        <v>2.57270859</v>
      </c>
      <c r="E159" s="15">
        <f>IFERROR(__xludf.DUMMYFUNCTION("""COMPUTED_VALUE"""),-3.2346073812678715)</f>
        <v>-3.234607381</v>
      </c>
      <c r="F159" s="15">
        <f>IFERROR(__xludf.DUMMYFUNCTION("""COMPUTED_VALUE"""),-0.6618987914007057)</f>
        <v>-0.6618987914</v>
      </c>
      <c r="G159" s="17">
        <f>IFERROR(__xludf.DUMMYFUNCTION("""COMPUTED_VALUE"""),0.41427101738135225)</f>
        <v>0.4142710174</v>
      </c>
      <c r="H159" s="4"/>
      <c r="I159" s="5" t="s">
        <v>1028</v>
      </c>
      <c r="J159" s="5" t="s">
        <v>697</v>
      </c>
      <c r="K159" s="5">
        <v>13.0</v>
      </c>
      <c r="L159" s="5">
        <v>-0.49417</v>
      </c>
      <c r="M159" s="5">
        <v>-0.10527</v>
      </c>
      <c r="N159" s="5">
        <v>-0.59944</v>
      </c>
      <c r="O159" s="5">
        <v>0.00548</v>
      </c>
    </row>
    <row r="160">
      <c r="A160" s="18" t="str">
        <f>IFERROR(__xludf.DUMMYFUNCTION("""COMPUTED_VALUE"""),"Jan Heber")</f>
        <v>Jan Heber</v>
      </c>
      <c r="B160" s="19" t="str">
        <f>IFERROR(__xludf.DUMMYFUNCTION("""COMPUTED_VALUE"""),"SCJ")</f>
        <v>SCJ</v>
      </c>
      <c r="C160" s="20">
        <f>IFERROR(__xludf.DUMMYFUNCTION("""COMPUTED_VALUE"""),23.4)</f>
        <v>23.4</v>
      </c>
      <c r="D160" s="21">
        <f>IFERROR(__xludf.DUMMYFUNCTION("""COMPUTED_VALUE"""),-0.7486887091704372)</f>
        <v>-0.7486887092</v>
      </c>
      <c r="E160" s="21">
        <f>IFERROR(__xludf.DUMMYFUNCTION("""COMPUTED_VALUE"""),0.06788044826713824)</f>
        <v>0.06788044827</v>
      </c>
      <c r="F160" s="21">
        <f>IFERROR(__xludf.DUMMYFUNCTION("""COMPUTED_VALUE"""),-0.6808082609032989)</f>
        <v>-0.6808082609</v>
      </c>
      <c r="G160" s="23">
        <f>IFERROR(__xludf.DUMMYFUNCTION("""COMPUTED_VALUE"""),0.009373811672475588)</f>
        <v>0.009373811672</v>
      </c>
      <c r="H160" s="4"/>
      <c r="I160" s="5" t="s">
        <v>1031</v>
      </c>
      <c r="J160" s="5" t="s">
        <v>654</v>
      </c>
      <c r="K160" s="5">
        <v>351.0</v>
      </c>
      <c r="L160" s="5">
        <v>0.80667</v>
      </c>
      <c r="M160" s="5">
        <v>-1.42761</v>
      </c>
      <c r="N160" s="5">
        <v>-0.62094</v>
      </c>
      <c r="O160" s="5">
        <v>0.14698</v>
      </c>
    </row>
    <row r="161">
      <c r="A161" s="12" t="str">
        <f>IFERROR(__xludf.DUMMYFUNCTION("""COMPUTED_VALUE"""),"Ryan Anderson")</f>
        <v>Ryan Anderson</v>
      </c>
      <c r="B161" s="13" t="str">
        <f>IFERROR(__xludf.DUMMYFUNCTION("""COMPUTED_VALUE"""),"OLI")</f>
        <v>OLI</v>
      </c>
      <c r="C161" s="14">
        <f>IFERROR(__xludf.DUMMYFUNCTION("""COMPUTED_VALUE"""),95.3)</f>
        <v>95.3</v>
      </c>
      <c r="D161" s="15">
        <f>IFERROR(__xludf.DUMMYFUNCTION("""COMPUTED_VALUE"""),-1.7919806572162538)</f>
        <v>-1.791980657</v>
      </c>
      <c r="E161" s="15">
        <f>IFERROR(__xludf.DUMMYFUNCTION("""COMPUTED_VALUE"""),1.0882793344465704)</f>
        <v>1.088279334</v>
      </c>
      <c r="F161" s="15">
        <f>IFERROR(__xludf.DUMMYFUNCTION("""COMPUTED_VALUE"""),-0.7037013227696833)</f>
        <v>-0.7037013228</v>
      </c>
      <c r="G161" s="17">
        <f>IFERROR(__xludf.DUMMYFUNCTION("""COMPUTED_VALUE"""),0.03757318230674722)</f>
        <v>0.03757318231</v>
      </c>
      <c r="H161" s="4"/>
      <c r="I161" s="5" t="s">
        <v>1034</v>
      </c>
      <c r="J161" s="5" t="s">
        <v>693</v>
      </c>
      <c r="K161" s="24">
        <v>913.0</v>
      </c>
      <c r="L161" s="5">
        <v>-0.26819</v>
      </c>
      <c r="M161" s="5">
        <v>-0.3737</v>
      </c>
      <c r="N161" s="5">
        <v>-0.64189</v>
      </c>
      <c r="O161" s="5">
        <v>0.37681</v>
      </c>
    </row>
    <row r="162">
      <c r="A162" s="18" t="str">
        <f>IFERROR(__xludf.DUMMYFUNCTION("""COMPUTED_VALUE"""),"Alen Pjanic")</f>
        <v>Alen Pjanic</v>
      </c>
      <c r="B162" s="19" t="str">
        <f>IFERROR(__xludf.DUMMYFUNCTION("""COMPUTED_VALUE"""),"GIE")</f>
        <v>GIE</v>
      </c>
      <c r="C162" s="20">
        <f>IFERROR(__xludf.DUMMYFUNCTION("""COMPUTED_VALUE"""),39.1)</f>
        <v>39.1</v>
      </c>
      <c r="D162" s="21">
        <f>IFERROR(__xludf.DUMMYFUNCTION("""COMPUTED_VALUE"""),-0.3142505166011836)</f>
        <v>-0.3142505166</v>
      </c>
      <c r="E162" s="21">
        <f>IFERROR(__xludf.DUMMYFUNCTION("""COMPUTED_VALUE"""),-0.40192308184075315)</f>
        <v>-0.4019230818</v>
      </c>
      <c r="F162" s="21">
        <f>IFERROR(__xludf.DUMMYFUNCTION("""COMPUTED_VALUE"""),-0.7161735984419367)</f>
        <v>-0.7161735984</v>
      </c>
      <c r="G162" s="23">
        <f>IFERROR(__xludf.DUMMYFUNCTION("""COMPUTED_VALUE"""),0.015399035324108714)</f>
        <v>0.01539903532</v>
      </c>
      <c r="H162" s="4"/>
      <c r="I162" s="5" t="s">
        <v>1037</v>
      </c>
      <c r="J162" s="5" t="s">
        <v>734</v>
      </c>
      <c r="K162" s="24">
        <v>1027.0</v>
      </c>
      <c r="L162" s="5">
        <v>1.47265</v>
      </c>
      <c r="M162" s="5">
        <v>-2.13497</v>
      </c>
      <c r="N162" s="5">
        <v>-0.66232</v>
      </c>
      <c r="O162" s="5">
        <v>0.41437</v>
      </c>
    </row>
    <row r="163">
      <c r="A163" s="12" t="str">
        <f>IFERROR(__xludf.DUMMYFUNCTION("""COMPUTED_VALUE"""),"Julius Wolf")</f>
        <v>Julius Wolf</v>
      </c>
      <c r="B163" s="13" t="str">
        <f>IFERROR(__xludf.DUMMYFUNCTION("""COMPUTED_VALUE"""),"SCJ")</f>
        <v>SCJ</v>
      </c>
      <c r="C163" s="14">
        <f>IFERROR(__xludf.DUMMYFUNCTION("""COMPUTED_VALUE"""),349.5)</f>
        <v>349.5</v>
      </c>
      <c r="D163" s="15">
        <f>IFERROR(__xludf.DUMMYFUNCTION("""COMPUTED_VALUE"""),0.7757298547131752)</f>
        <v>0.7757298547</v>
      </c>
      <c r="E163" s="15">
        <f>IFERROR(__xludf.DUMMYFUNCTION("""COMPUTED_VALUE"""),-1.4926562346176666)</f>
        <v>-1.492656235</v>
      </c>
      <c r="F163" s="15">
        <f>IFERROR(__xludf.DUMMYFUNCTION("""COMPUTED_VALUE"""),-0.7169263799044914)</f>
        <v>-0.7169263799</v>
      </c>
      <c r="G163" s="17">
        <f>IFERROR(__xludf.DUMMYFUNCTION("""COMPUTED_VALUE"""),0.13617306087339068)</f>
        <v>0.1361730609</v>
      </c>
      <c r="H163" s="4"/>
      <c r="I163" s="5" t="s">
        <v>1040</v>
      </c>
      <c r="J163" s="5" t="s">
        <v>724</v>
      </c>
      <c r="K163" s="5">
        <v>23.0</v>
      </c>
      <c r="L163" s="5">
        <v>-0.79072</v>
      </c>
      <c r="M163" s="5">
        <v>0.10983</v>
      </c>
      <c r="N163" s="5">
        <v>-0.6809</v>
      </c>
      <c r="O163" s="5">
        <v>0.00937</v>
      </c>
    </row>
    <row r="164">
      <c r="A164" s="18" t="str">
        <f>IFERROR(__xludf.DUMMYFUNCTION("""COMPUTED_VALUE"""),"Stefan Peno")</f>
        <v>Stefan Peno</v>
      </c>
      <c r="B164" s="19" t="str">
        <f>IFERROR(__xludf.DUMMYFUNCTION("""COMPUTED_VALUE"""),"BER")</f>
        <v>BER</v>
      </c>
      <c r="C164" s="20">
        <f>IFERROR(__xludf.DUMMYFUNCTION("""COMPUTED_VALUE"""),844.7)</f>
        <v>844.7</v>
      </c>
      <c r="D164" s="21">
        <f>IFERROR(__xludf.DUMMYFUNCTION("""COMPUTED_VALUE"""),-5.061809566452814)</f>
        <v>-5.061809566</v>
      </c>
      <c r="E164" s="21">
        <f>IFERROR(__xludf.DUMMYFUNCTION("""COMPUTED_VALUE"""),4.339032834321667)</f>
        <v>4.339032834</v>
      </c>
      <c r="F164" s="21">
        <f>IFERROR(__xludf.DUMMYFUNCTION("""COMPUTED_VALUE"""),-0.722776732131146)</f>
        <v>-0.7227767321</v>
      </c>
      <c r="G164" s="23">
        <f>IFERROR(__xludf.DUMMYFUNCTION("""COMPUTED_VALUE"""),0.3263444215798592)</f>
        <v>0.3263444216</v>
      </c>
      <c r="H164" s="4"/>
      <c r="I164" s="5" t="s">
        <v>1043</v>
      </c>
      <c r="J164" s="5" t="s">
        <v>711</v>
      </c>
      <c r="K164" s="5">
        <v>95.0</v>
      </c>
      <c r="L164" s="5">
        <v>-1.76267</v>
      </c>
      <c r="M164" s="5">
        <v>1.05906</v>
      </c>
      <c r="N164" s="5">
        <v>-0.70361</v>
      </c>
      <c r="O164" s="5">
        <v>0.03758</v>
      </c>
    </row>
    <row r="165">
      <c r="A165" s="12" t="str">
        <f>IFERROR(__xludf.DUMMYFUNCTION("""COMPUTED_VALUE"""),"D.J. Richardson")</f>
        <v>D.J. Richardson</v>
      </c>
      <c r="B165" s="13" t="str">
        <f>IFERROR(__xludf.DUMMYFUNCTION("""COMPUTED_VALUE"""),"OLI")</f>
        <v>OLI</v>
      </c>
      <c r="C165" s="14">
        <f>IFERROR(__xludf.DUMMYFUNCTION("""COMPUTED_VALUE"""),83.7)</f>
        <v>83.7</v>
      </c>
      <c r="D165" s="15">
        <f>IFERROR(__xludf.DUMMYFUNCTION("""COMPUTED_VALUE"""),-0.7409690709246209)</f>
        <v>-0.7409690709</v>
      </c>
      <c r="E165" s="15">
        <f>IFERROR(__xludf.DUMMYFUNCTION("""COMPUTED_VALUE"""),-0.005009801535829195)</f>
        <v>-0.005009801536</v>
      </c>
      <c r="F165" s="15">
        <f>IFERROR(__xludf.DUMMYFUNCTION("""COMPUTED_VALUE"""),-0.7459788724604501)</f>
        <v>-0.7459788725</v>
      </c>
      <c r="G165" s="17">
        <f>IFERROR(__xludf.DUMMYFUNCTION("""COMPUTED_VALUE"""),0.03192348622576014)</f>
        <v>0.03192348623</v>
      </c>
      <c r="H165" s="4"/>
      <c r="I165" s="5" t="s">
        <v>1046</v>
      </c>
      <c r="J165" s="5" t="s">
        <v>673</v>
      </c>
      <c r="K165" s="5">
        <v>39.0</v>
      </c>
      <c r="L165" s="5">
        <v>-0.34098</v>
      </c>
      <c r="M165" s="5">
        <v>-0.37528</v>
      </c>
      <c r="N165" s="5">
        <v>-0.71626</v>
      </c>
      <c r="O165" s="5">
        <v>0.0154</v>
      </c>
    </row>
    <row r="166">
      <c r="A166" s="18" t="str">
        <f>IFERROR(__xludf.DUMMYFUNCTION("""COMPUTED_VALUE"""),"Benjamin David Lischka")</f>
        <v>Benjamin David Lischka</v>
      </c>
      <c r="B166" s="19" t="str">
        <f>IFERROR(__xludf.DUMMYFUNCTION("""COMPUTED_VALUE"""),"GIE")</f>
        <v>GIE</v>
      </c>
      <c r="C166" s="20">
        <f>IFERROR(__xludf.DUMMYFUNCTION("""COMPUTED_VALUE"""),763.4)</f>
        <v>763.4</v>
      </c>
      <c r="D166" s="21">
        <f>IFERROR(__xludf.DUMMYFUNCTION("""COMPUTED_VALUE"""),0.24043550056404955)</f>
        <v>0.2404355006</v>
      </c>
      <c r="E166" s="21">
        <f>IFERROR(__xludf.DUMMYFUNCTION("""COMPUTED_VALUE"""),-1.0002296311633359)</f>
        <v>-1.000229631</v>
      </c>
      <c r="F166" s="21">
        <f>IFERROR(__xludf.DUMMYFUNCTION("""COMPUTED_VALUE"""),-0.7597941305992864)</f>
        <v>-0.7597941306</v>
      </c>
      <c r="G166" s="23">
        <f>IFERROR(__xludf.DUMMYFUNCTION("""COMPUTED_VALUE"""),0.2904399766695247)</f>
        <v>0.2904399767</v>
      </c>
      <c r="H166" s="4"/>
      <c r="I166" s="5" t="s">
        <v>1048</v>
      </c>
      <c r="J166" s="5" t="s">
        <v>724</v>
      </c>
      <c r="K166" s="24">
        <v>350.0</v>
      </c>
      <c r="L166" s="5">
        <v>0.23785</v>
      </c>
      <c r="M166" s="5">
        <v>-0.95506</v>
      </c>
      <c r="N166" s="5">
        <v>-0.71721</v>
      </c>
      <c r="O166" s="5">
        <v>0.13614</v>
      </c>
    </row>
    <row r="167">
      <c r="A167" s="12" t="str">
        <f>IFERROR(__xludf.DUMMYFUNCTION("""COMPUTED_VALUE"""),"Adrian Breitlauch")</f>
        <v>Adrian Breitlauch</v>
      </c>
      <c r="B167" s="13" t="str">
        <f>IFERROR(__xludf.DUMMYFUNCTION("""COMPUTED_VALUE"""),"EIS")</f>
        <v>EIS</v>
      </c>
      <c r="C167" s="14">
        <f>IFERROR(__xludf.DUMMYFUNCTION("""COMPUTED_VALUE"""),191.0)</f>
        <v>191</v>
      </c>
      <c r="D167" s="15">
        <f>IFERROR(__xludf.DUMMYFUNCTION("""COMPUTED_VALUE"""),0.9521178743279409)</f>
        <v>0.9521178743</v>
      </c>
      <c r="E167" s="15">
        <f>IFERROR(__xludf.DUMMYFUNCTION("""COMPUTED_VALUE"""),-1.7264640081845313)</f>
        <v>-1.726464008</v>
      </c>
      <c r="F167" s="15">
        <f>IFERROR(__xludf.DUMMYFUNCTION("""COMPUTED_VALUE"""),-0.7743461338565902)</f>
        <v>-0.7743461339</v>
      </c>
      <c r="G167" s="17">
        <f>IFERROR(__xludf.DUMMYFUNCTION("""COMPUTED_VALUE"""),0.07086750730039938)</f>
        <v>0.0708675073</v>
      </c>
      <c r="H167" s="4"/>
      <c r="I167" s="5" t="s">
        <v>1044</v>
      </c>
      <c r="J167" s="5" t="s">
        <v>711</v>
      </c>
      <c r="K167" s="5">
        <v>84.0</v>
      </c>
      <c r="L167" s="5">
        <v>-0.71529</v>
      </c>
      <c r="M167" s="5">
        <v>-0.03066</v>
      </c>
      <c r="N167" s="5">
        <v>-0.74595</v>
      </c>
      <c r="O167" s="5">
        <v>0.03192</v>
      </c>
    </row>
    <row r="168">
      <c r="A168" s="18" t="str">
        <f>IFERROR(__xludf.DUMMYFUNCTION("""COMPUTED_VALUE"""),"Isaac Bonga")</f>
        <v>Isaac Bonga</v>
      </c>
      <c r="B168" s="19" t="str">
        <f>IFERROR(__xludf.DUMMYFUNCTION("""COMPUTED_VALUE"""),"FRA")</f>
        <v>FRA</v>
      </c>
      <c r="C168" s="20">
        <f>IFERROR(__xludf.DUMMYFUNCTION("""COMPUTED_VALUE"""),703.1)</f>
        <v>703.1</v>
      </c>
      <c r="D168" s="21">
        <f>IFERROR(__xludf.DUMMYFUNCTION("""COMPUTED_VALUE"""),-2.704711036897471)</f>
        <v>-2.704711037</v>
      </c>
      <c r="E168" s="21">
        <f>IFERROR(__xludf.DUMMYFUNCTION("""COMPUTED_VALUE"""),1.927694891135388)</f>
        <v>1.927694891</v>
      </c>
      <c r="F168" s="21">
        <f>IFERROR(__xludf.DUMMYFUNCTION("""COMPUTED_VALUE"""),-0.777016145762083)</f>
        <v>-0.7770161458</v>
      </c>
      <c r="G168" s="23">
        <f>IFERROR(__xludf.DUMMYFUNCTION("""COMPUTED_VALUE"""),0.2630522237736439)</f>
        <v>0.2630522238</v>
      </c>
      <c r="H168" s="4"/>
      <c r="I168" s="5" t="s">
        <v>1054</v>
      </c>
      <c r="J168" s="5" t="s">
        <v>673</v>
      </c>
      <c r="K168" s="5">
        <v>763.0</v>
      </c>
      <c r="L168" s="5">
        <v>0.03591</v>
      </c>
      <c r="M168" s="5">
        <v>-0.79589</v>
      </c>
      <c r="N168" s="5">
        <v>-0.75998</v>
      </c>
      <c r="O168" s="5">
        <v>0.2904</v>
      </c>
    </row>
    <row r="169">
      <c r="A169" s="12" t="str">
        <f>IFERROR(__xludf.DUMMYFUNCTION("""COMPUTED_VALUE"""),"Paul Watson")</f>
        <v>Paul Watson</v>
      </c>
      <c r="B169" s="13" t="str">
        <f>IFERROR(__xludf.DUMMYFUNCTION("""COMPUTED_VALUE"""),"GOE")</f>
        <v>GOE</v>
      </c>
      <c r="C169" s="14">
        <f>IFERROR(__xludf.DUMMYFUNCTION("""COMPUTED_VALUE"""),14.4)</f>
        <v>14.4</v>
      </c>
      <c r="D169" s="15">
        <f>IFERROR(__xludf.DUMMYFUNCTION("""COMPUTED_VALUE"""),-0.38247481625291335)</f>
        <v>-0.3824748163</v>
      </c>
      <c r="E169" s="15">
        <f>IFERROR(__xludf.DUMMYFUNCTION("""COMPUTED_VALUE"""),-0.3954454623189686)</f>
        <v>-0.3954454623</v>
      </c>
      <c r="F169" s="15">
        <f>IFERROR(__xludf.DUMMYFUNCTION("""COMPUTED_VALUE"""),-0.777920278571882)</f>
        <v>-0.7779202786</v>
      </c>
      <c r="G169" s="17">
        <f>IFERROR(__xludf.DUMMYFUNCTION("""COMPUTED_VALUE"""),0.0053060551266028945)</f>
        <v>0.005306055127</v>
      </c>
      <c r="H169" s="4"/>
      <c r="I169" s="5" t="s">
        <v>1056</v>
      </c>
      <c r="J169" s="5" t="s">
        <v>684</v>
      </c>
      <c r="K169" s="5">
        <v>191.0</v>
      </c>
      <c r="L169" s="5">
        <v>0.44984</v>
      </c>
      <c r="M169" s="5">
        <v>-1.2245</v>
      </c>
      <c r="N169" s="5">
        <v>-0.77465</v>
      </c>
      <c r="O169" s="5">
        <v>0.07085</v>
      </c>
    </row>
    <row r="170">
      <c r="A170" s="18" t="str">
        <f>IFERROR(__xludf.DUMMYFUNCTION("""COMPUTED_VALUE"""),"Leon Okpara")</f>
        <v>Leon Okpara</v>
      </c>
      <c r="B170" s="19" t="str">
        <f>IFERROR(__xludf.DUMMYFUNCTION("""COMPUTED_VALUE"""),"GIE")</f>
        <v>GIE</v>
      </c>
      <c r="C170" s="20">
        <f>IFERROR(__xludf.DUMMYFUNCTION("""COMPUTED_VALUE"""),23.0)</f>
        <v>23</v>
      </c>
      <c r="D170" s="21">
        <f>IFERROR(__xludf.DUMMYFUNCTION("""COMPUTED_VALUE"""),-0.5395611380450714)</f>
        <v>-0.539561138</v>
      </c>
      <c r="E170" s="21">
        <f>IFERROR(__xludf.DUMMYFUNCTION("""COMPUTED_VALUE"""),-0.26243996849176665)</f>
        <v>-0.2624399685</v>
      </c>
      <c r="F170" s="21">
        <f>IFERROR(__xludf.DUMMYFUNCTION("""COMPUTED_VALUE"""),-0.8020011065368381)</f>
        <v>-0.8020011065</v>
      </c>
      <c r="G170" s="23">
        <f>IFERROR(__xludf.DUMMYFUNCTION("""COMPUTED_VALUE"""),0.008452685455756547)</f>
        <v>0.008452685456</v>
      </c>
      <c r="H170" s="4"/>
      <c r="I170" s="5" t="s">
        <v>1059</v>
      </c>
      <c r="J170" s="5" t="s">
        <v>697</v>
      </c>
      <c r="K170" s="5">
        <v>703.0</v>
      </c>
      <c r="L170" s="5">
        <v>-3.41446</v>
      </c>
      <c r="M170" s="5">
        <v>2.63687</v>
      </c>
      <c r="N170" s="5">
        <v>-0.7776</v>
      </c>
      <c r="O170" s="5">
        <v>0.26293</v>
      </c>
    </row>
    <row r="171">
      <c r="A171" s="12" t="str">
        <f>IFERROR(__xludf.DUMMYFUNCTION("""COMPUTED_VALUE"""),"Johannes Thiemann")</f>
        <v>Johannes Thiemann</v>
      </c>
      <c r="B171" s="13" t="str">
        <f>IFERROR(__xludf.DUMMYFUNCTION("""COMPUTED_VALUE"""),"LUD")</f>
        <v>LUD</v>
      </c>
      <c r="C171" s="14">
        <f>IFERROR(__xludf.DUMMYFUNCTION("""COMPUTED_VALUE"""),319.8)</f>
        <v>319.8</v>
      </c>
      <c r="D171" s="15">
        <f>IFERROR(__xludf.DUMMYFUNCTION("""COMPUTED_VALUE"""),-1.6485048393852015)</f>
        <v>-1.648504839</v>
      </c>
      <c r="E171" s="15">
        <f>IFERROR(__xludf.DUMMYFUNCTION("""COMPUTED_VALUE"""),0.8122843949421907)</f>
        <v>0.8122843949</v>
      </c>
      <c r="F171" s="15">
        <f>IFERROR(__xludf.DUMMYFUNCTION("""COMPUTED_VALUE"""),-0.8362204444430108)</f>
        <v>-0.8362204444</v>
      </c>
      <c r="G171" s="17">
        <f>IFERROR(__xludf.DUMMYFUNCTION("""COMPUTED_VALUE"""),0.11563620366806743)</f>
        <v>0.1156362037</v>
      </c>
      <c r="H171" s="4"/>
      <c r="I171" s="5" t="s">
        <v>1062</v>
      </c>
      <c r="J171" s="5" t="s">
        <v>734</v>
      </c>
      <c r="K171" s="5">
        <v>14.0</v>
      </c>
      <c r="L171" s="5">
        <v>-0.43533</v>
      </c>
      <c r="M171" s="5">
        <v>-0.34265</v>
      </c>
      <c r="N171" s="5">
        <v>-0.77798</v>
      </c>
      <c r="O171" s="5">
        <v>0.00531</v>
      </c>
    </row>
    <row r="172">
      <c r="A172" s="18" t="str">
        <f>IFERROR(__xludf.DUMMYFUNCTION("""COMPUTED_VALUE"""),"Bennet Hundt")</f>
        <v>Bennet Hundt</v>
      </c>
      <c r="B172" s="19" t="str">
        <f>IFERROR(__xludf.DUMMYFUNCTION("""COMPUTED_VALUE"""),"BER")</f>
        <v>BER</v>
      </c>
      <c r="C172" s="20">
        <f>IFERROR(__xludf.DUMMYFUNCTION("""COMPUTED_VALUE"""),48.5)</f>
        <v>48.5</v>
      </c>
      <c r="D172" s="21">
        <f>IFERROR(__xludf.DUMMYFUNCTION("""COMPUTED_VALUE"""),-1.1726288521918007)</f>
        <v>-1.172628852</v>
      </c>
      <c r="E172" s="21">
        <f>IFERROR(__xludf.DUMMYFUNCTION("""COMPUTED_VALUE"""),0.33351814318507655)</f>
        <v>0.3335181432</v>
      </c>
      <c r="F172" s="21">
        <f>IFERROR(__xludf.DUMMYFUNCTION("""COMPUTED_VALUE"""),-0.8391107090067241)</f>
        <v>-0.839110709</v>
      </c>
      <c r="G172" s="23">
        <f>IFERROR(__xludf.DUMMYFUNCTION("""COMPUTED_VALUE"""),0.01703097145486501)</f>
        <v>0.01703097145</v>
      </c>
      <c r="H172" s="4"/>
      <c r="I172" s="5" t="s">
        <v>1065</v>
      </c>
      <c r="J172" s="5" t="s">
        <v>644</v>
      </c>
      <c r="K172" s="5">
        <v>70.0</v>
      </c>
      <c r="L172" s="5">
        <v>-0.61793</v>
      </c>
      <c r="M172" s="5">
        <v>-0.18219</v>
      </c>
      <c r="N172" s="5">
        <v>-0.80012</v>
      </c>
      <c r="O172" s="5">
        <v>0.05152</v>
      </c>
    </row>
    <row r="173">
      <c r="A173" s="12" t="str">
        <f>IFERROR(__xludf.DUMMYFUNCTION("""COMPUTED_VALUE"""),"Dejan Kovacevic")</f>
        <v>Dejan Kovacevic</v>
      </c>
      <c r="B173" s="13" t="str">
        <f>IFERROR(__xludf.DUMMYFUNCTION("""COMPUTED_VALUE"""),"OLI")</f>
        <v>OLI</v>
      </c>
      <c r="C173" s="14">
        <f>IFERROR(__xludf.DUMMYFUNCTION("""COMPUTED_VALUE"""),86.5)</f>
        <v>86.5</v>
      </c>
      <c r="D173" s="15">
        <f>IFERROR(__xludf.DUMMYFUNCTION("""COMPUTED_VALUE"""),-0.21278412252800094)</f>
        <v>-0.2127841225</v>
      </c>
      <c r="E173" s="15">
        <f>IFERROR(__xludf.DUMMYFUNCTION("""COMPUTED_VALUE"""),-0.6277474256848482)</f>
        <v>-0.6277474257</v>
      </c>
      <c r="F173" s="15">
        <f>IFERROR(__xludf.DUMMYFUNCTION("""COMPUTED_VALUE"""),-0.8405315482128491)</f>
        <v>-0.8405315482</v>
      </c>
      <c r="G173" s="17">
        <f>IFERROR(__xludf.DUMMYFUNCTION("""COMPUTED_VALUE"""),0.03050387727648607)</f>
        <v>0.03050387728</v>
      </c>
      <c r="H173" s="4"/>
      <c r="I173" s="5" t="s">
        <v>1068</v>
      </c>
      <c r="J173" s="5" t="s">
        <v>673</v>
      </c>
      <c r="K173" s="5">
        <v>23.0</v>
      </c>
      <c r="L173" s="5">
        <v>-0.55534</v>
      </c>
      <c r="M173" s="5">
        <v>-0.24676</v>
      </c>
      <c r="N173" s="5">
        <v>-0.80209</v>
      </c>
      <c r="O173" s="5">
        <v>0.00845</v>
      </c>
    </row>
    <row r="174">
      <c r="A174" s="18" t="str">
        <f>IFERROR(__xludf.DUMMYFUNCTION("""COMPUTED_VALUE"""),"Mateo Seric")</f>
        <v>Mateo Seric</v>
      </c>
      <c r="B174" s="19" t="str">
        <f>IFERROR(__xludf.DUMMYFUNCTION("""COMPUTED_VALUE"""),"LUD")</f>
        <v>LUD</v>
      </c>
      <c r="C174" s="20">
        <f>IFERROR(__xludf.DUMMYFUNCTION("""COMPUTED_VALUE"""),23.4)</f>
        <v>23.4</v>
      </c>
      <c r="D174" s="21">
        <f>IFERROR(__xludf.DUMMYFUNCTION("""COMPUTED_VALUE"""),-0.8975508122096317)</f>
        <v>-0.8975508122</v>
      </c>
      <c r="E174" s="21">
        <f>IFERROR(__xludf.DUMMYFUNCTION("""COMPUTED_VALUE"""),0.016895949690385437)</f>
        <v>0.01689594969</v>
      </c>
      <c r="F174" s="21">
        <f>IFERROR(__xludf.DUMMYFUNCTION("""COMPUTED_VALUE"""),-0.8806548625192463)</f>
        <v>-0.8806548625</v>
      </c>
      <c r="G174" s="23">
        <f>IFERROR(__xludf.DUMMYFUNCTION("""COMPUTED_VALUE"""),0.008138128008689405)</f>
        <v>0.008138128009</v>
      </c>
      <c r="H174" s="4"/>
      <c r="I174" s="5" t="s">
        <v>1070</v>
      </c>
      <c r="J174" s="5" t="s">
        <v>711</v>
      </c>
      <c r="K174" s="5">
        <v>87.0</v>
      </c>
      <c r="L174" s="5">
        <v>-0.18611</v>
      </c>
      <c r="M174" s="5">
        <v>-0.65428</v>
      </c>
      <c r="N174" s="5">
        <v>-0.84039</v>
      </c>
      <c r="O174" s="5">
        <v>0.03051</v>
      </c>
    </row>
    <row r="175">
      <c r="A175" s="12" t="str">
        <f>IFERROR(__xludf.DUMMYFUNCTION("""COMPUTED_VALUE"""),"Dennis Mavin")</f>
        <v>Dennis Mavin</v>
      </c>
      <c r="B175" s="13" t="str">
        <f>IFERROR(__xludf.DUMMYFUNCTION("""COMPUTED_VALUE"""),"GIE")</f>
        <v>GIE</v>
      </c>
      <c r="C175" s="14">
        <f>IFERROR(__xludf.DUMMYFUNCTION("""COMPUTED_VALUE"""),17.0)</f>
        <v>17</v>
      </c>
      <c r="D175" s="15">
        <f>IFERROR(__xludf.DUMMYFUNCTION("""COMPUTED_VALUE"""),-0.8100245374702885)</f>
        <v>-0.8100245375</v>
      </c>
      <c r="E175" s="15">
        <f>IFERROR(__xludf.DUMMYFUNCTION("""COMPUTED_VALUE"""),-0.07470837437660349)</f>
        <v>-0.07470837438</v>
      </c>
      <c r="F175" s="15">
        <f>IFERROR(__xludf.DUMMYFUNCTION("""COMPUTED_VALUE"""),-0.884732911846892)</f>
        <v>-0.8847329118</v>
      </c>
      <c r="G175" s="17">
        <f>IFERROR(__xludf.DUMMYFUNCTION("""COMPUTED_VALUE"""),0.005816185680638486)</f>
        <v>0.005816185681</v>
      </c>
      <c r="H175" s="4"/>
      <c r="I175" s="5" t="s">
        <v>1073</v>
      </c>
      <c r="J175" s="5" t="s">
        <v>636</v>
      </c>
      <c r="K175" s="5">
        <v>23.0</v>
      </c>
      <c r="L175" s="5">
        <v>-0.80691</v>
      </c>
      <c r="M175" s="5">
        <v>-0.04368</v>
      </c>
      <c r="N175" s="5">
        <v>-0.85059</v>
      </c>
      <c r="O175" s="5">
        <v>0.00836</v>
      </c>
    </row>
    <row r="176">
      <c r="A176" s="18" t="str">
        <f>IFERROR(__xludf.DUMMYFUNCTION("""COMPUTED_VALUE"""),"Thomas Klepeisz")</f>
        <v>Thomas Klepeisz</v>
      </c>
      <c r="B176" s="19" t="str">
        <f>IFERROR(__xludf.DUMMYFUNCTION("""COMPUTED_VALUE"""),"BLB")</f>
        <v>BLB</v>
      </c>
      <c r="C176" s="20">
        <f>IFERROR(__xludf.DUMMYFUNCTION("""COMPUTED_VALUE"""),853.0)</f>
        <v>853</v>
      </c>
      <c r="D176" s="21">
        <f>IFERROR(__xludf.DUMMYFUNCTION("""COMPUTED_VALUE"""),3.365904545073492)</f>
        <v>3.365904545</v>
      </c>
      <c r="E176" s="21">
        <f>IFERROR(__xludf.DUMMYFUNCTION("""COMPUTED_VALUE"""),-4.265033839104635)</f>
        <v>-4.265033839</v>
      </c>
      <c r="F176" s="21">
        <f>IFERROR(__xludf.DUMMYFUNCTION("""COMPUTED_VALUE"""),-0.8991292940311433)</f>
        <v>-0.899129294</v>
      </c>
      <c r="G176" s="23">
        <f>IFERROR(__xludf.DUMMYFUNCTION("""COMPUTED_VALUE"""),0.29012702648053185)</f>
        <v>0.2901270265</v>
      </c>
      <c r="H176" s="4"/>
      <c r="I176" s="5" t="s">
        <v>1075</v>
      </c>
      <c r="J176" s="5" t="s">
        <v>673</v>
      </c>
      <c r="K176" s="5">
        <v>17.0</v>
      </c>
      <c r="L176" s="5">
        <v>-0.82168</v>
      </c>
      <c r="M176" s="5">
        <v>-0.06312</v>
      </c>
      <c r="N176" s="5">
        <v>-0.8848</v>
      </c>
      <c r="O176" s="5">
        <v>0.00582</v>
      </c>
    </row>
    <row r="177">
      <c r="A177" s="12" t="str">
        <f>IFERROR(__xludf.DUMMYFUNCTION("""COMPUTED_VALUE"""),"Armin Trtovac")</f>
        <v>Armin Trtovac</v>
      </c>
      <c r="B177" s="13" t="str">
        <f>IFERROR(__xludf.DUMMYFUNCTION("""COMPUTED_VALUE"""),"FRA")</f>
        <v>FRA</v>
      </c>
      <c r="C177" s="14">
        <f>IFERROR(__xludf.DUMMYFUNCTION("""COMPUTED_VALUE"""),33.3)</f>
        <v>33.3</v>
      </c>
      <c r="D177" s="15">
        <f>IFERROR(__xludf.DUMMYFUNCTION("""COMPUTED_VALUE"""),0.04858719944258353)</f>
        <v>0.04858719944</v>
      </c>
      <c r="E177" s="15">
        <f>IFERROR(__xludf.DUMMYFUNCTION("""COMPUTED_VALUE"""),-0.9735449146585969)</f>
        <v>-0.9735449147</v>
      </c>
      <c r="F177" s="15">
        <f>IFERROR(__xludf.DUMMYFUNCTION("""COMPUTED_VALUE"""),-0.9249577152160134)</f>
        <v>-0.9249577152</v>
      </c>
      <c r="G177" s="17">
        <f>IFERROR(__xludf.DUMMYFUNCTION("""COMPUTED_VALUE"""),0.010951508292313969)</f>
        <v>0.01095150829</v>
      </c>
      <c r="H177" s="4"/>
      <c r="I177" s="5" t="s">
        <v>1078</v>
      </c>
      <c r="J177" s="5" t="s">
        <v>681</v>
      </c>
      <c r="K177" s="5">
        <v>853.0</v>
      </c>
      <c r="L177" s="5">
        <v>1.13199</v>
      </c>
      <c r="M177" s="5">
        <v>-2.03137</v>
      </c>
      <c r="N177" s="5">
        <v>-0.89938</v>
      </c>
      <c r="O177" s="5">
        <v>0.29006</v>
      </c>
    </row>
    <row r="178">
      <c r="A178" s="18" t="str">
        <f>IFERROR(__xludf.DUMMYFUNCTION("""COMPUTED_VALUE"""),"Karim Jallow")</f>
        <v>Karim Jallow</v>
      </c>
      <c r="B178" s="19" t="str">
        <f>IFERROR(__xludf.DUMMYFUNCTION("""COMPUTED_VALUE"""),"BAY")</f>
        <v>BAY</v>
      </c>
      <c r="C178" s="20">
        <f>IFERROR(__xludf.DUMMYFUNCTION("""COMPUTED_VALUE"""),73.7)</f>
        <v>73.7</v>
      </c>
      <c r="D178" s="21">
        <f>IFERROR(__xludf.DUMMYFUNCTION("""COMPUTED_VALUE"""),-0.9959389413406304)</f>
        <v>-0.9959389413</v>
      </c>
      <c r="E178" s="21">
        <f>IFERROR(__xludf.DUMMYFUNCTION("""COMPUTED_VALUE"""),0.07092411852597769)</f>
        <v>0.07092411853</v>
      </c>
      <c r="F178" s="21">
        <f>IFERROR(__xludf.DUMMYFUNCTION("""COMPUTED_VALUE"""),-0.9250148228146527)</f>
        <v>-0.9250148228</v>
      </c>
      <c r="G178" s="23">
        <f>IFERROR(__xludf.DUMMYFUNCTION("""COMPUTED_VALUE"""),0.04830935344201759)</f>
        <v>0.04830935344</v>
      </c>
      <c r="H178" s="4"/>
      <c r="I178" s="5" t="s">
        <v>1081</v>
      </c>
      <c r="J178" s="5" t="s">
        <v>697</v>
      </c>
      <c r="K178" s="5">
        <v>33.0</v>
      </c>
      <c r="L178" s="5">
        <v>-0.03005</v>
      </c>
      <c r="M178" s="5">
        <v>-0.89485</v>
      </c>
      <c r="N178" s="5">
        <v>-0.9249</v>
      </c>
      <c r="O178" s="5">
        <v>0.01095</v>
      </c>
    </row>
    <row r="179">
      <c r="A179" s="12" t="str">
        <f>IFERROR(__xludf.DUMMYFUNCTION("""COMPUTED_VALUE"""),"Mahir Agva")</f>
        <v>Mahir Agva</v>
      </c>
      <c r="B179" s="13" t="str">
        <f>IFERROR(__xludf.DUMMYFUNCTION("""COMPUTED_VALUE"""),"GIE")</f>
        <v>GIE</v>
      </c>
      <c r="C179" s="14">
        <f>IFERROR(__xludf.DUMMYFUNCTION("""COMPUTED_VALUE"""),546.2)</f>
        <v>546.2</v>
      </c>
      <c r="D179" s="15">
        <f>IFERROR(__xludf.DUMMYFUNCTION("""COMPUTED_VALUE"""),-0.3399461983297116)</f>
        <v>-0.3399461983</v>
      </c>
      <c r="E179" s="15">
        <f>IFERROR(__xludf.DUMMYFUNCTION("""COMPUTED_VALUE"""),-0.633286955505983)</f>
        <v>-0.6332869555</v>
      </c>
      <c r="F179" s="15">
        <f>IFERROR(__xludf.DUMMYFUNCTION("""COMPUTED_VALUE"""),-0.9732331538356946)</f>
        <v>-0.9732331538</v>
      </c>
      <c r="G179" s="17">
        <f>IFERROR(__xludf.DUMMYFUNCTION("""COMPUTED_VALUE"""),0.1720418040965844)</f>
        <v>0.1720418041</v>
      </c>
      <c r="H179" s="4"/>
      <c r="I179" s="5" t="s">
        <v>1084</v>
      </c>
      <c r="J179" s="5" t="s">
        <v>673</v>
      </c>
      <c r="K179" s="5">
        <v>546.0</v>
      </c>
      <c r="L179" s="5">
        <v>-0.5443</v>
      </c>
      <c r="M179" s="5">
        <v>-0.42897</v>
      </c>
      <c r="N179" s="5">
        <v>-0.97327</v>
      </c>
      <c r="O179" s="5">
        <v>0.17203</v>
      </c>
    </row>
    <row r="180">
      <c r="A180" s="18" t="str">
        <f>IFERROR(__xludf.DUMMYFUNCTION("""COMPUTED_VALUE"""),"Marcel Kessen")</f>
        <v>Marcel Kessen</v>
      </c>
      <c r="B180" s="19" t="str">
        <f>IFERROR(__xludf.DUMMYFUNCTION("""COMPUTED_VALUE"""),"EWE")</f>
        <v>EWE</v>
      </c>
      <c r="C180" s="20">
        <f>IFERROR(__xludf.DUMMYFUNCTION("""COMPUTED_VALUE"""),16.0)</f>
        <v>16</v>
      </c>
      <c r="D180" s="21">
        <f>IFERROR(__xludf.DUMMYFUNCTION("""COMPUTED_VALUE"""),-0.6464448701884787)</f>
        <v>-0.6464448702</v>
      </c>
      <c r="E180" s="21">
        <f>IFERROR(__xludf.DUMMYFUNCTION("""COMPUTED_VALUE"""),-0.38534110020009427)</f>
        <v>-0.3853411002</v>
      </c>
      <c r="F180" s="21">
        <f>IFERROR(__xludf.DUMMYFUNCTION("""COMPUTED_VALUE"""),-1.031785970388573)</f>
        <v>-1.03178597</v>
      </c>
      <c r="G180" s="23">
        <f>IFERROR(__xludf.DUMMYFUNCTION("""COMPUTED_VALUE"""),0.004707845660489731)</f>
        <v>0.00470784566</v>
      </c>
      <c r="H180" s="4"/>
      <c r="I180" s="5" t="s">
        <v>1087</v>
      </c>
      <c r="J180" s="5" t="s">
        <v>654</v>
      </c>
      <c r="K180" s="5">
        <v>16.0</v>
      </c>
      <c r="L180" s="5">
        <v>-0.55365</v>
      </c>
      <c r="M180" s="5">
        <v>-0.47811</v>
      </c>
      <c r="N180" s="5">
        <v>-1.03176</v>
      </c>
      <c r="O180" s="5">
        <v>0.00471</v>
      </c>
    </row>
    <row r="181">
      <c r="A181" s="12" t="str">
        <f>IFERROR(__xludf.DUMMYFUNCTION("""COMPUTED_VALUE"""),"Radenko Pilcevic")</f>
        <v>Radenko Pilcevic</v>
      </c>
      <c r="B181" s="13" t="str">
        <f>IFERROR(__xludf.DUMMYFUNCTION("""COMPUTED_VALUE"""),"SCJ")</f>
        <v>SCJ</v>
      </c>
      <c r="C181" s="14">
        <f>IFERROR(__xludf.DUMMYFUNCTION("""COMPUTED_VALUE"""),30.4)</f>
        <v>30.4</v>
      </c>
      <c r="D181" s="15">
        <f>IFERROR(__xludf.DUMMYFUNCTION("""COMPUTED_VALUE"""),-0.4550721170998038)</f>
        <v>-0.4550721171</v>
      </c>
      <c r="E181" s="15">
        <f>IFERROR(__xludf.DUMMYFUNCTION("""COMPUTED_VALUE"""),-0.5993097806479775)</f>
        <v>-0.5993097806</v>
      </c>
      <c r="F181" s="15">
        <f>IFERROR(__xludf.DUMMYFUNCTION("""COMPUTED_VALUE"""),-1.0543818977477812)</f>
        <v>-1.054381898</v>
      </c>
      <c r="G181" s="17">
        <f>IFERROR(__xludf.DUMMYFUNCTION("""COMPUTED_VALUE"""),0.008729347946162742)</f>
        <v>0.008729347946</v>
      </c>
      <c r="H181" s="4"/>
      <c r="I181" s="5" t="s">
        <v>1090</v>
      </c>
      <c r="J181" s="5" t="s">
        <v>724</v>
      </c>
      <c r="K181" s="5">
        <v>30.0</v>
      </c>
      <c r="L181" s="5">
        <v>-0.5096</v>
      </c>
      <c r="M181" s="5">
        <v>-0.54483</v>
      </c>
      <c r="N181" s="5">
        <v>-1.05443</v>
      </c>
      <c r="O181" s="5">
        <v>0.00873</v>
      </c>
    </row>
    <row r="182">
      <c r="A182" s="18" t="str">
        <f>IFERROR(__xludf.DUMMYFUNCTION("""COMPUTED_VALUE"""),"Frantz Massenat")</f>
        <v>Frantz Massenat</v>
      </c>
      <c r="B182" s="19" t="str">
        <f>IFERROR(__xludf.DUMMYFUNCTION("""COMPUTED_VALUE"""),"EWE")</f>
        <v>EWE</v>
      </c>
      <c r="C182" s="20">
        <f>IFERROR(__xludf.DUMMYFUNCTION("""COMPUTED_VALUE"""),737.4)</f>
        <v>737.4</v>
      </c>
      <c r="D182" s="21">
        <f>IFERROR(__xludf.DUMMYFUNCTION("""COMPUTED_VALUE"""),-0.636129002548435)</f>
        <v>-0.6361290025</v>
      </c>
      <c r="E182" s="21">
        <f>IFERROR(__xludf.DUMMYFUNCTION("""COMPUTED_VALUE"""),-0.4250992894867267)</f>
        <v>-0.4250992895</v>
      </c>
      <c r="F182" s="21">
        <f>IFERROR(__xludf.DUMMYFUNCTION("""COMPUTED_VALUE"""),-1.0612282920351617)</f>
        <v>-1.061228292</v>
      </c>
      <c r="G182" s="23">
        <f>IFERROR(__xludf.DUMMYFUNCTION("""COMPUTED_VALUE"""),0.21037493201736998)</f>
        <v>0.210374932</v>
      </c>
      <c r="H182" s="4"/>
      <c r="I182" s="5" t="s">
        <v>1094</v>
      </c>
      <c r="J182" s="5" t="s">
        <v>654</v>
      </c>
      <c r="K182" s="5">
        <v>737.0</v>
      </c>
      <c r="L182" s="5">
        <v>1.10354</v>
      </c>
      <c r="M182" s="5">
        <v>-2.16451</v>
      </c>
      <c r="N182" s="5">
        <v>-1.06097</v>
      </c>
      <c r="O182" s="5">
        <v>0.21043</v>
      </c>
    </row>
    <row r="183">
      <c r="A183" s="12" t="str">
        <f>IFERROR(__xludf.DUMMYFUNCTION("""COMPUTED_VALUE"""),"Jamar Abrams")</f>
        <v>Jamar Abrams</v>
      </c>
      <c r="B183" s="13" t="str">
        <f>IFERROR(__xludf.DUMMYFUNCTION("""COMPUTED_VALUE"""),"GIE")</f>
        <v>GIE</v>
      </c>
      <c r="C183" s="14">
        <f>IFERROR(__xludf.DUMMYFUNCTION("""COMPUTED_VALUE"""),745.3)</f>
        <v>745.3</v>
      </c>
      <c r="D183" s="15">
        <f>IFERROR(__xludf.DUMMYFUNCTION("""COMPUTED_VALUE"""),0.2256872394260015)</f>
        <v>0.2256872394</v>
      </c>
      <c r="E183" s="15">
        <f>IFERROR(__xludf.DUMMYFUNCTION("""COMPUTED_VALUE"""),-1.3109679337599196)</f>
        <v>-1.310967934</v>
      </c>
      <c r="F183" s="15">
        <f>IFERROR(__xludf.DUMMYFUNCTION("""COMPUTED_VALUE"""),-1.0852806943339182)</f>
        <v>-1.085280694</v>
      </c>
      <c r="G183" s="17">
        <f>IFERROR(__xludf.DUMMYFUNCTION("""COMPUTED_VALUE"""),0.20913630066178623)</f>
        <v>0.2091363007</v>
      </c>
      <c r="H183" s="4"/>
      <c r="I183" s="5" t="s">
        <v>1096</v>
      </c>
      <c r="J183" s="5" t="s">
        <v>673</v>
      </c>
      <c r="K183" s="5">
        <v>745.0</v>
      </c>
      <c r="L183" s="5">
        <v>0.02123</v>
      </c>
      <c r="M183" s="5">
        <v>-1.10664</v>
      </c>
      <c r="N183" s="5">
        <v>-1.08541</v>
      </c>
      <c r="O183" s="5">
        <v>0.20911</v>
      </c>
    </row>
    <row r="184">
      <c r="A184" s="18" t="str">
        <f>IFERROR(__xludf.DUMMYFUNCTION("""COMPUTED_VALUE"""),"Tony Easley")</f>
        <v>Tony Easley</v>
      </c>
      <c r="B184" s="19" t="str">
        <f>IFERROR(__xludf.DUMMYFUNCTION("""COMPUTED_VALUE"""),"TUB")</f>
        <v>TUB</v>
      </c>
      <c r="C184" s="20">
        <f>IFERROR(__xludf.DUMMYFUNCTION("""COMPUTED_VALUE"""),253.5)</f>
        <v>253.5</v>
      </c>
      <c r="D184" s="21">
        <f>IFERROR(__xludf.DUMMYFUNCTION("""COMPUTED_VALUE"""),0.1733794326362859)</f>
        <v>0.1733794326</v>
      </c>
      <c r="E184" s="21">
        <f>IFERROR(__xludf.DUMMYFUNCTION("""COMPUTED_VALUE"""),-1.2884058978290436)</f>
        <v>-1.288405898</v>
      </c>
      <c r="F184" s="21">
        <f>IFERROR(__xludf.DUMMYFUNCTION("""COMPUTED_VALUE"""),-1.1150264651927577)</f>
        <v>-1.115026465</v>
      </c>
      <c r="G184" s="23">
        <f>IFERROR(__xludf.DUMMYFUNCTION("""COMPUTED_VALUE"""),0.06881147536350467)</f>
        <v>0.06881147536</v>
      </c>
      <c r="H184" s="4"/>
      <c r="I184" s="5" t="s">
        <v>1097</v>
      </c>
      <c r="J184" s="5" t="s">
        <v>824</v>
      </c>
      <c r="K184" s="5">
        <v>254.0</v>
      </c>
      <c r="L184" s="5">
        <v>-1.3859</v>
      </c>
      <c r="M184" s="5">
        <v>0.26995</v>
      </c>
      <c r="N184" s="5">
        <v>-1.11596</v>
      </c>
      <c r="O184" s="5">
        <v>0.06874</v>
      </c>
    </row>
    <row r="185">
      <c r="A185" s="12" t="str">
        <f>IFERROR(__xludf.DUMMYFUNCTION("""COMPUTED_VALUE"""),"Jake Wiley")</f>
        <v>Jake Wiley</v>
      </c>
      <c r="B185" s="13" t="str">
        <f>IFERROR(__xludf.DUMMYFUNCTION("""COMPUTED_VALUE"""),"LUD")</f>
        <v>LUD</v>
      </c>
      <c r="C185" s="14">
        <f>IFERROR(__xludf.DUMMYFUNCTION("""COMPUTED_VALUE"""),24.3)</f>
        <v>24.3</v>
      </c>
      <c r="D185" s="15">
        <f>IFERROR(__xludf.DUMMYFUNCTION("""COMPUTED_VALUE"""),-0.6642710142930308)</f>
        <v>-0.6642710143</v>
      </c>
      <c r="E185" s="15">
        <f>IFERROR(__xludf.DUMMYFUNCTION("""COMPUTED_VALUE"""),-0.48250735584522)</f>
        <v>-0.4825073558</v>
      </c>
      <c r="F185" s="15">
        <f>IFERROR(__xludf.DUMMYFUNCTION("""COMPUTED_VALUE"""),-1.1467783701382508)</f>
        <v>-1.14677837</v>
      </c>
      <c r="G185" s="17">
        <f>IFERROR(__xludf.DUMMYFUNCTION("""COMPUTED_VALUE"""),0.006441882108617375)</f>
        <v>0.006441882109</v>
      </c>
      <c r="H185" s="4"/>
      <c r="I185" s="5" t="s">
        <v>1098</v>
      </c>
      <c r="J185" s="5" t="s">
        <v>636</v>
      </c>
      <c r="K185" s="5">
        <v>24.0</v>
      </c>
      <c r="L185" s="5">
        <v>-0.57073</v>
      </c>
      <c r="M185" s="5">
        <v>-0.54546</v>
      </c>
      <c r="N185" s="5">
        <v>-1.11619</v>
      </c>
      <c r="O185" s="5">
        <v>0.00667</v>
      </c>
    </row>
    <row r="186">
      <c r="A186" s="18" t="str">
        <f>IFERROR(__xludf.DUMMYFUNCTION("""COMPUTED_VALUE"""),"Akeem Vargas")</f>
        <v>Akeem Vargas</v>
      </c>
      <c r="B186" s="19" t="str">
        <f>IFERROR(__xludf.DUMMYFUNCTION("""COMPUTED_VALUE"""),"BER")</f>
        <v>BER</v>
      </c>
      <c r="C186" s="20">
        <f>IFERROR(__xludf.DUMMYFUNCTION("""COMPUTED_VALUE"""),507.9)</f>
        <v>507.9</v>
      </c>
      <c r="D186" s="21">
        <f>IFERROR(__xludf.DUMMYFUNCTION("""COMPUTED_VALUE"""),-2.319847403001039)</f>
        <v>-2.319847403</v>
      </c>
      <c r="E186" s="21">
        <f>IFERROR(__xludf.DUMMYFUNCTION("""COMPUTED_VALUE"""),1.1688800868240459)</f>
        <v>1.168880087</v>
      </c>
      <c r="F186" s="21">
        <f>IFERROR(__xludf.DUMMYFUNCTION("""COMPUTED_VALUE"""),-1.150967316176993)</f>
        <v>-1.150967316</v>
      </c>
      <c r="G186" s="23">
        <f>IFERROR(__xludf.DUMMYFUNCTION("""COMPUTED_VALUE"""),0.13043961227938164)</f>
        <v>0.1304396123</v>
      </c>
      <c r="H186" s="4"/>
      <c r="I186" s="5" t="s">
        <v>306</v>
      </c>
      <c r="J186" s="5" t="s">
        <v>72</v>
      </c>
      <c r="K186" s="5">
        <v>562.0</v>
      </c>
      <c r="L186" s="5">
        <v>-0.38838</v>
      </c>
      <c r="M186" s="5">
        <v>-0.77405</v>
      </c>
      <c r="N186" s="5">
        <v>-1.16243</v>
      </c>
      <c r="O186" s="5">
        <v>0.14428</v>
      </c>
    </row>
    <row r="187">
      <c r="A187" s="12" t="str">
        <f>IFERROR(__xludf.DUMMYFUNCTION("""COMPUTED_VALUE"""),"Johnny Berhanemeskel")</f>
        <v>Johnny Berhanemeskel</v>
      </c>
      <c r="B187" s="13" t="str">
        <f>IFERROR(__xludf.DUMMYFUNCTION("""COMPUTED_VALUE"""),"EIS")</f>
        <v>EIS</v>
      </c>
      <c r="C187" s="14">
        <f>IFERROR(__xludf.DUMMYFUNCTION("""COMPUTED_VALUE"""),958.2)</f>
        <v>958.2</v>
      </c>
      <c r="D187" s="15">
        <f>IFERROR(__xludf.DUMMYFUNCTION("""COMPUTED_VALUE"""),2.714098703293143)</f>
        <v>2.714098703</v>
      </c>
      <c r="E187" s="15">
        <f>IFERROR(__xludf.DUMMYFUNCTION("""COMPUTED_VALUE"""),-3.881565898759148)</f>
        <v>-3.881565899</v>
      </c>
      <c r="F187" s="15">
        <f>IFERROR(__xludf.DUMMYFUNCTION("""COMPUTED_VALUE"""),-1.167467195466005)</f>
        <v>-1.167467195</v>
      </c>
      <c r="G187" s="17">
        <f>IFERROR(__xludf.DUMMYFUNCTION("""COMPUTED_VALUE"""),0.2414924024656651)</f>
        <v>0.2414924025</v>
      </c>
      <c r="H187" s="4"/>
      <c r="I187" s="5" t="s">
        <v>1100</v>
      </c>
      <c r="J187" s="5" t="s">
        <v>684</v>
      </c>
      <c r="K187" s="5">
        <v>958.0</v>
      </c>
      <c r="L187" s="5">
        <v>1.92652</v>
      </c>
      <c r="M187" s="5">
        <v>-3.09337</v>
      </c>
      <c r="N187" s="5">
        <v>-1.16685</v>
      </c>
      <c r="O187" s="5">
        <v>0.24167</v>
      </c>
    </row>
    <row r="188">
      <c r="A188" s="18" t="str">
        <f>IFERROR(__xludf.DUMMYFUNCTION("""COMPUTED_VALUE"""),"Jan Wimberg")</f>
        <v>Jan Wimberg</v>
      </c>
      <c r="B188" s="19" t="str">
        <f>IFERROR(__xludf.DUMMYFUNCTION("""COMPUTED_VALUE"""),"BIG")</f>
        <v>BIG</v>
      </c>
      <c r="C188" s="20">
        <f>IFERROR(__xludf.DUMMYFUNCTION("""COMPUTED_VALUE"""),416.5)</f>
        <v>416.5</v>
      </c>
      <c r="D188" s="21">
        <f>IFERROR(__xludf.DUMMYFUNCTION("""COMPUTED_VALUE"""),0.875140561774909)</f>
        <v>0.8751405618</v>
      </c>
      <c r="E188" s="21">
        <f>IFERROR(__xludf.DUMMYFUNCTION("""COMPUTED_VALUE"""),-2.057255903686913)</f>
        <v>-2.057255904</v>
      </c>
      <c r="F188" s="21">
        <f>IFERROR(__xludf.DUMMYFUNCTION("""COMPUTED_VALUE"""),-1.1821153419120038)</f>
        <v>-1.182115342</v>
      </c>
      <c r="G188" s="23">
        <f>IFERROR(__xludf.DUMMYFUNCTION("""COMPUTED_VALUE"""),0.10686915755227364)</f>
        <v>0.1068691576</v>
      </c>
      <c r="H188" s="4"/>
      <c r="I188" s="5" t="s">
        <v>1102</v>
      </c>
      <c r="J188" s="5" t="s">
        <v>644</v>
      </c>
      <c r="K188" s="5">
        <v>636.0</v>
      </c>
      <c r="L188" s="5">
        <v>-1.61394</v>
      </c>
      <c r="M188" s="5">
        <v>0.4413</v>
      </c>
      <c r="N188" s="5">
        <v>-1.17264</v>
      </c>
      <c r="O188" s="5">
        <v>0.32113</v>
      </c>
    </row>
    <row r="189">
      <c r="A189" s="12" t="str">
        <f>IFERROR(__xludf.DUMMYFUNCTION("""COMPUTED_VALUE"""),"Andrej Mangold")</f>
        <v>Andrej Mangold</v>
      </c>
      <c r="B189" s="13" t="str">
        <f>IFERROR(__xludf.DUMMYFUNCTION("""COMPUTED_VALUE"""),"OLI")</f>
        <v>OLI</v>
      </c>
      <c r="C189" s="14">
        <f>IFERROR(__xludf.DUMMYFUNCTION("""COMPUTED_VALUE"""),30.4)</f>
        <v>30.4</v>
      </c>
      <c r="D189" s="15">
        <f>IFERROR(__xludf.DUMMYFUNCTION("""COMPUTED_VALUE"""),-0.9935843916743299)</f>
        <v>-0.9935843917</v>
      </c>
      <c r="E189" s="15">
        <f>IFERROR(__xludf.DUMMYFUNCTION("""COMPUTED_VALUE"""),-0.25048925795890864)</f>
        <v>-0.250489258</v>
      </c>
      <c r="F189" s="15">
        <f>IFERROR(__xludf.DUMMYFUNCTION("""COMPUTED_VALUE"""),-1.2440736496332385)</f>
        <v>-1.24407365</v>
      </c>
      <c r="G189" s="17">
        <f>IFERROR(__xludf.DUMMYFUNCTION("""COMPUTED_VALUE"""),0.006989290138660246)</f>
        <v>0.006989290139</v>
      </c>
      <c r="H189" s="4"/>
      <c r="I189" s="5" t="s">
        <v>1104</v>
      </c>
      <c r="J189" s="5" t="s">
        <v>798</v>
      </c>
      <c r="K189" s="5">
        <v>417.0</v>
      </c>
      <c r="L189" s="5">
        <v>-1.17648</v>
      </c>
      <c r="M189" s="5">
        <v>-0.00612</v>
      </c>
      <c r="N189" s="5">
        <v>-1.1826</v>
      </c>
      <c r="O189" s="5">
        <v>0.10681</v>
      </c>
    </row>
    <row r="190">
      <c r="A190" s="18" t="str">
        <f>IFERROR(__xludf.DUMMYFUNCTION("""COMPUTED_VALUE"""),"Julian Jasinski")</f>
        <v>Julian Jasinski</v>
      </c>
      <c r="B190" s="19" t="str">
        <f>IFERROR(__xludf.DUMMYFUNCTION("""COMPUTED_VALUE"""),"TBB")</f>
        <v>TBB</v>
      </c>
      <c r="C190" s="20">
        <f>IFERROR(__xludf.DUMMYFUNCTION("""COMPUTED_VALUE"""),25.6)</f>
        <v>25.6</v>
      </c>
      <c r="D190" s="21">
        <f>IFERROR(__xludf.DUMMYFUNCTION("""COMPUTED_VALUE"""),-0.7782070561781199)</f>
        <v>-0.7782070562</v>
      </c>
      <c r="E190" s="21">
        <f>IFERROR(__xludf.DUMMYFUNCTION("""COMPUTED_VALUE"""),-0.48023939874007426)</f>
        <v>-0.4802393987</v>
      </c>
      <c r="F190" s="21">
        <f>IFERROR(__xludf.DUMMYFUNCTION("""COMPUTED_VALUE"""),-1.2584464549181942)</f>
        <v>-1.258446455</v>
      </c>
      <c r="G190" s="23">
        <f>IFERROR(__xludf.DUMMYFUNCTION("""COMPUTED_VALUE"""),0.005771045745604887)</f>
        <v>0.005771045746</v>
      </c>
      <c r="H190" s="4"/>
      <c r="I190" s="5" t="s">
        <v>1106</v>
      </c>
      <c r="J190" s="5" t="s">
        <v>711</v>
      </c>
      <c r="K190" s="5">
        <v>30.0</v>
      </c>
      <c r="L190" s="5">
        <v>-0.98441</v>
      </c>
      <c r="M190" s="5">
        <v>-0.25978</v>
      </c>
      <c r="N190" s="5">
        <v>-1.24419</v>
      </c>
      <c r="O190" s="5">
        <v>0.00699</v>
      </c>
    </row>
    <row r="191">
      <c r="A191" s="12" t="str">
        <f>IFERROR(__xludf.DUMMYFUNCTION("""COMPUTED_VALUE"""),"Jordan Loveridge")</f>
        <v>Jordan Loveridge</v>
      </c>
      <c r="B191" s="13" t="str">
        <f>IFERROR(__xludf.DUMMYFUNCTION("""COMPUTED_VALUE"""),"GOE")</f>
        <v>GOE</v>
      </c>
      <c r="C191" s="14">
        <f>IFERROR(__xludf.DUMMYFUNCTION("""COMPUTED_VALUE"""),706.4)</f>
        <v>706.4</v>
      </c>
      <c r="D191" s="15">
        <f>IFERROR(__xludf.DUMMYFUNCTION("""COMPUTED_VALUE"""),1.1995978188016387)</f>
        <v>1.199597819</v>
      </c>
      <c r="E191" s="15">
        <f>IFERROR(__xludf.DUMMYFUNCTION("""COMPUTED_VALUE"""),-2.4914717356273406)</f>
        <v>-2.491471736</v>
      </c>
      <c r="F191" s="15">
        <f>IFERROR(__xludf.DUMMYFUNCTION("""COMPUTED_VALUE"""),-1.2918739168257019)</f>
        <v>-1.291873917</v>
      </c>
      <c r="G191" s="17">
        <f>IFERROR(__xludf.DUMMYFUNCTION("""COMPUTED_VALUE"""),0.15082419291598378)</f>
        <v>0.1508241929</v>
      </c>
      <c r="H191" s="4"/>
      <c r="I191" s="5" t="s">
        <v>1107</v>
      </c>
      <c r="J191" s="5" t="s">
        <v>669</v>
      </c>
      <c r="K191" s="5">
        <v>26.0</v>
      </c>
      <c r="L191" s="5">
        <v>-0.71859</v>
      </c>
      <c r="M191" s="5">
        <v>-0.53987</v>
      </c>
      <c r="N191" s="5">
        <v>-1.25846</v>
      </c>
      <c r="O191" s="5">
        <v>0.00577</v>
      </c>
    </row>
    <row r="192">
      <c r="A192" s="18" t="str">
        <f>IFERROR(__xludf.DUMMYFUNCTION("""COMPUTED_VALUE"""),"Vuk Radojcic")</f>
        <v>Vuk Radojcic</v>
      </c>
      <c r="B192" s="19" t="str">
        <f>IFERROR(__xludf.DUMMYFUNCTION("""COMPUTED_VALUE"""),"SCJ")</f>
        <v>SCJ</v>
      </c>
      <c r="C192" s="20">
        <f>IFERROR(__xludf.DUMMYFUNCTION("""COMPUTED_VALUE"""),17.2)</f>
        <v>17.2</v>
      </c>
      <c r="D192" s="21">
        <f>IFERROR(__xludf.DUMMYFUNCTION("""COMPUTED_VALUE"""),-0.9864013703202261)</f>
        <v>-0.9864013703</v>
      </c>
      <c r="E192" s="21">
        <f>IFERROR(__xludf.DUMMYFUNCTION("""COMPUTED_VALUE"""),-0.32418215807040074)</f>
        <v>-0.3241821581</v>
      </c>
      <c r="F192" s="21">
        <f>IFERROR(__xludf.DUMMYFUNCTION("""COMPUTED_VALUE"""),-1.3105835283906269)</f>
        <v>-1.310583528</v>
      </c>
      <c r="G192" s="23">
        <f>IFERROR(__xludf.DUMMYFUNCTION("""COMPUTED_VALUE"""),0.0036008293993784676)</f>
        <v>0.003600829399</v>
      </c>
      <c r="H192" s="4"/>
      <c r="I192" s="5" t="s">
        <v>1110</v>
      </c>
      <c r="J192" s="5" t="s">
        <v>734</v>
      </c>
      <c r="K192" s="5">
        <v>706.0</v>
      </c>
      <c r="L192" s="5">
        <v>0.09876</v>
      </c>
      <c r="M192" s="5">
        <v>-1.3917</v>
      </c>
      <c r="N192" s="5">
        <v>-1.29294</v>
      </c>
      <c r="O192" s="5">
        <v>0.15068</v>
      </c>
    </row>
    <row r="193">
      <c r="A193" s="12" t="str">
        <f>IFERROR(__xludf.DUMMYFUNCTION("""COMPUTED_VALUE"""),"Oliver Mackeldanz")</f>
        <v>Oliver Mackeldanz</v>
      </c>
      <c r="B193" s="13" t="str">
        <f>IFERROR(__xludf.DUMMYFUNCTION("""COMPUTED_VALUE"""),"SCJ")</f>
        <v>SCJ</v>
      </c>
      <c r="C193" s="14">
        <f>IFERROR(__xludf.DUMMYFUNCTION("""COMPUTED_VALUE"""),368.4)</f>
        <v>368.4</v>
      </c>
      <c r="D193" s="15">
        <f>IFERROR(__xludf.DUMMYFUNCTION("""COMPUTED_VALUE"""),-2.2729737331793296)</f>
        <v>-2.272973733</v>
      </c>
      <c r="E193" s="15">
        <f>IFERROR(__xludf.DUMMYFUNCTION("""COMPUTED_VALUE"""),0.9623000498898158)</f>
        <v>0.9623000499</v>
      </c>
      <c r="F193" s="15">
        <f>IFERROR(__xludf.DUMMYFUNCTION("""COMPUTED_VALUE"""),-1.3106736832895138)</f>
        <v>-1.310673683</v>
      </c>
      <c r="G193" s="17">
        <f>IFERROR(__xludf.DUMMYFUNCTION("""COMPUTED_VALUE"""),0.0771146557295644)</f>
        <v>0.07711465573</v>
      </c>
      <c r="H193" s="4"/>
      <c r="I193" s="5" t="s">
        <v>1111</v>
      </c>
      <c r="J193" s="5" t="s">
        <v>724</v>
      </c>
      <c r="K193" s="5">
        <v>17.0</v>
      </c>
      <c r="L193" s="5">
        <v>-1.01725</v>
      </c>
      <c r="M193" s="5">
        <v>-0.29336</v>
      </c>
      <c r="N193" s="5">
        <v>-1.31061</v>
      </c>
      <c r="O193" s="5">
        <v>0.0036</v>
      </c>
    </row>
    <row r="194">
      <c r="A194" s="18" t="str">
        <f>IFERROR(__xludf.DUMMYFUNCTION("""COMPUTED_VALUE"""),"Leon Kratzer")</f>
        <v>Leon Kratzer</v>
      </c>
      <c r="B194" s="19" t="str">
        <f>IFERROR(__xludf.DUMMYFUNCTION("""COMPUTED_VALUE"""),"OLI")</f>
        <v>OLI</v>
      </c>
      <c r="C194" s="20">
        <f>IFERROR(__xludf.DUMMYFUNCTION("""COMPUTED_VALUE"""),324.2)</f>
        <v>324.2</v>
      </c>
      <c r="D194" s="21">
        <f>IFERROR(__xludf.DUMMYFUNCTION("""COMPUTED_VALUE"""),-4.9869052559621725)</f>
        <v>-4.986905256</v>
      </c>
      <c r="E194" s="21">
        <f>IFERROR(__xludf.DUMMYFUNCTION("""COMPUTED_VALUE"""),3.6381523557167643)</f>
        <v>3.638152356</v>
      </c>
      <c r="F194" s="21">
        <f>IFERROR(__xludf.DUMMYFUNCTION("""COMPUTED_VALUE"""),-1.348752900245408)</f>
        <v>-1.3487529</v>
      </c>
      <c r="G194" s="23">
        <f>IFERROR(__xludf.DUMMYFUNCTION("""COMPUTED_VALUE"""),0.06421534408384261)</f>
        <v>0.06421534408</v>
      </c>
      <c r="H194" s="4"/>
      <c r="I194" s="5" t="s">
        <v>1113</v>
      </c>
      <c r="J194" s="5" t="s">
        <v>724</v>
      </c>
      <c r="K194" s="5">
        <v>368.0</v>
      </c>
      <c r="L194" s="5">
        <v>-2.81114</v>
      </c>
      <c r="M194" s="5">
        <v>1.49995</v>
      </c>
      <c r="N194" s="5">
        <v>-1.31119</v>
      </c>
      <c r="O194" s="5">
        <v>0.07706</v>
      </c>
    </row>
    <row r="195">
      <c r="A195" s="12" t="str">
        <f>IFERROR(__xludf.DUMMYFUNCTION("""COMPUTED_VALUE"""),"Marcell Pongo")</f>
        <v>Marcell Pongo</v>
      </c>
      <c r="B195" s="13" t="str">
        <f>IFERROR(__xludf.DUMMYFUNCTION("""COMPUTED_VALUE"""),"RUL")</f>
        <v>RUL</v>
      </c>
      <c r="C195" s="14">
        <f>IFERROR(__xludf.DUMMYFUNCTION("""COMPUTED_VALUE"""),31.9)</f>
        <v>31.9</v>
      </c>
      <c r="D195" s="15">
        <f>IFERROR(__xludf.DUMMYFUNCTION("""COMPUTED_VALUE"""),-1.151563937260808)</f>
        <v>-1.151563937</v>
      </c>
      <c r="E195" s="15">
        <f>IFERROR(__xludf.DUMMYFUNCTION("""COMPUTED_VALUE"""),-0.20572145354068883)</f>
        <v>-0.2057214535</v>
      </c>
      <c r="F195" s="15">
        <f>IFERROR(__xludf.DUMMYFUNCTION("""COMPUTED_VALUE"""),-1.3572853908014968)</f>
        <v>-1.357285391</v>
      </c>
      <c r="G195" s="17">
        <f>IFERROR(__xludf.DUMMYFUNCTION("""COMPUTED_VALUE"""),0.006228533625504487)</f>
        <v>0.006228533626</v>
      </c>
      <c r="H195" s="4"/>
      <c r="I195" s="5" t="s">
        <v>1116</v>
      </c>
      <c r="J195" s="5" t="s">
        <v>644</v>
      </c>
      <c r="K195" s="5">
        <v>350.0</v>
      </c>
      <c r="L195" s="5">
        <v>-2.82903</v>
      </c>
      <c r="M195" s="5">
        <v>1.49889</v>
      </c>
      <c r="N195" s="5">
        <v>-1.33014</v>
      </c>
      <c r="O195" s="5">
        <v>0.14315</v>
      </c>
    </row>
    <row r="196">
      <c r="A196" s="18" t="str">
        <f>IFERROR(__xludf.DUMMYFUNCTION("""COMPUTED_VALUE"""),"Quincy Miller")</f>
        <v>Quincy Miller</v>
      </c>
      <c r="B196" s="19" t="str">
        <f>IFERROR(__xludf.DUMMYFUNCTION("""COMPUTED_VALUE"""),"BRO")</f>
        <v>BRO</v>
      </c>
      <c r="C196" s="20">
        <f>IFERROR(__xludf.DUMMYFUNCTION("""COMPUTED_VALUE"""),21.9)</f>
        <v>21.9</v>
      </c>
      <c r="D196" s="21">
        <f>IFERROR(__xludf.DUMMYFUNCTION("""COMPUTED_VALUE"""),-1.3694235864112896)</f>
        <v>-1.369423586</v>
      </c>
      <c r="E196" s="21">
        <f>IFERROR(__xludf.DUMMYFUNCTION("""COMPUTED_VALUE"""),0.005460283579539871)</f>
        <v>0.00546028358</v>
      </c>
      <c r="F196" s="21">
        <f>IFERROR(__xludf.DUMMYFUNCTION("""COMPUTED_VALUE"""),-1.3639633028317497)</f>
        <v>-1.363963303</v>
      </c>
      <c r="G196" s="23">
        <f>IFERROR(__xludf.DUMMYFUNCTION("""COMPUTED_VALUE"""),0.00426773483626179)</f>
        <v>0.004267734836</v>
      </c>
      <c r="H196" s="4"/>
      <c r="I196" s="5" t="s">
        <v>1118</v>
      </c>
      <c r="J196" s="5" t="s">
        <v>72</v>
      </c>
      <c r="K196" s="5">
        <v>22.0</v>
      </c>
      <c r="L196" s="5">
        <v>-1.30068</v>
      </c>
      <c r="M196" s="5">
        <v>-0.0427</v>
      </c>
      <c r="N196" s="5">
        <v>-1.34338</v>
      </c>
      <c r="O196" s="5">
        <v>0.00441</v>
      </c>
    </row>
    <row r="197">
      <c r="A197" s="12" t="str">
        <f>IFERROR(__xludf.DUMMYFUNCTION("""COMPUTED_VALUE"""),"Jarekious Bradley")</f>
        <v>Jarekious Bradley</v>
      </c>
      <c r="B197" s="13" t="str">
        <f>IFERROR(__xludf.DUMMYFUNCTION("""COMPUTED_VALUE"""),"BLB")</f>
        <v>BLB</v>
      </c>
      <c r="C197" s="14">
        <f>IFERROR(__xludf.DUMMYFUNCTION("""COMPUTED_VALUE"""),241.7)</f>
        <v>241.7</v>
      </c>
      <c r="D197" s="15">
        <f>IFERROR(__xludf.DUMMYFUNCTION("""COMPUTED_VALUE"""),0.5865735097894202)</f>
        <v>0.5865735098</v>
      </c>
      <c r="E197" s="15">
        <f>IFERROR(__xludf.DUMMYFUNCTION("""COMPUTED_VALUE"""),-1.959438044033011)</f>
        <v>-1.959438044</v>
      </c>
      <c r="F197" s="15">
        <f>IFERROR(__xludf.DUMMYFUNCTION("""COMPUTED_VALUE"""),-1.3728645342435908)</f>
        <v>-1.372864534</v>
      </c>
      <c r="G197" s="17">
        <f>IFERROR(__xludf.DUMMYFUNCTION("""COMPUTED_VALUE"""),0.04683180022776761)</f>
        <v>0.04683180023</v>
      </c>
      <c r="H197" s="4"/>
      <c r="I197" s="5" t="s">
        <v>1120</v>
      </c>
      <c r="J197" s="5" t="s">
        <v>711</v>
      </c>
      <c r="K197" s="5">
        <v>324.0</v>
      </c>
      <c r="L197" s="5">
        <v>-4.89567</v>
      </c>
      <c r="M197" s="5">
        <v>3.54636</v>
      </c>
      <c r="N197" s="5">
        <v>-1.34931</v>
      </c>
      <c r="O197" s="5">
        <v>0.06416</v>
      </c>
    </row>
    <row r="198">
      <c r="A198" s="18" t="str">
        <f>IFERROR(__xludf.DUMMYFUNCTION("""COMPUTED_VALUE"""),"Brandon Spearman")</f>
        <v>Brandon Spearman</v>
      </c>
      <c r="B198" s="19" t="str">
        <f>IFERROR(__xludf.DUMMYFUNCTION("""COMPUTED_VALUE"""),"SCJ")</f>
        <v>SCJ</v>
      </c>
      <c r="C198" s="20">
        <f>IFERROR(__xludf.DUMMYFUNCTION("""COMPUTED_VALUE"""),301.4)</f>
        <v>301.4</v>
      </c>
      <c r="D198" s="21">
        <f>IFERROR(__xludf.DUMMYFUNCTION("""COMPUTED_VALUE"""),-0.020326097778179675)</f>
        <v>-0.02032609778</v>
      </c>
      <c r="E198" s="21">
        <f>IFERROR(__xludf.DUMMYFUNCTION("""COMPUTED_VALUE"""),-1.4508397536411777)</f>
        <v>-1.450839754</v>
      </c>
      <c r="F198" s="21">
        <f>IFERROR(__xludf.DUMMYFUNCTION("""COMPUTED_VALUE"""),-1.4711658514193573)</f>
        <v>-1.471165851</v>
      </c>
      <c r="G198" s="23">
        <f>IFERROR(__xludf.DUMMYFUNCTION("""COMPUTED_VALUE"""),0.04840109451893819)</f>
        <v>0.04840109452</v>
      </c>
      <c r="H198" s="4"/>
      <c r="I198" s="5" t="s">
        <v>1121</v>
      </c>
      <c r="J198" s="5" t="s">
        <v>693</v>
      </c>
      <c r="K198" s="24">
        <v>32.0</v>
      </c>
      <c r="L198" s="5">
        <v>-1.13003</v>
      </c>
      <c r="M198" s="5">
        <v>-0.2273</v>
      </c>
      <c r="N198" s="5">
        <v>-1.35733</v>
      </c>
      <c r="O198" s="5">
        <v>0.00623</v>
      </c>
    </row>
    <row r="199">
      <c r="A199" s="12" t="str">
        <f>IFERROR(__xludf.DUMMYFUNCTION("""COMPUTED_VALUE"""),"Fabian Bleck")</f>
        <v>Fabian Bleck</v>
      </c>
      <c r="B199" s="13" t="str">
        <f>IFERROR(__xludf.DUMMYFUNCTION("""COMPUTED_VALUE"""),"EIS")</f>
        <v>EIS</v>
      </c>
      <c r="C199" s="14">
        <f>IFERROR(__xludf.DUMMYFUNCTION("""COMPUTED_VALUE"""),706.7)</f>
        <v>706.7</v>
      </c>
      <c r="D199" s="15">
        <f>IFERROR(__xludf.DUMMYFUNCTION("""COMPUTED_VALUE"""),-0.8435117172084396)</f>
        <v>-0.8435117172</v>
      </c>
      <c r="E199" s="15">
        <f>IFERROR(__xludf.DUMMYFUNCTION("""COMPUTED_VALUE"""),-0.6494416565921104)</f>
        <v>-0.6494416566</v>
      </c>
      <c r="F199" s="15">
        <f>IFERROR(__xludf.DUMMYFUNCTION("""COMPUTED_VALUE"""),-1.49295337380055)</f>
        <v>-1.492953374</v>
      </c>
      <c r="G199" s="17">
        <f>IFERROR(__xludf.DUMMYFUNCTION("""COMPUTED_VALUE"""),0.10847482022679274)</f>
        <v>0.1084748202</v>
      </c>
      <c r="H199" s="4"/>
      <c r="I199" s="5" t="s">
        <v>1123</v>
      </c>
      <c r="J199" s="5" t="s">
        <v>681</v>
      </c>
      <c r="K199" s="5">
        <v>242.0</v>
      </c>
      <c r="L199" s="5">
        <v>-1.21265</v>
      </c>
      <c r="M199" s="5">
        <v>-0.15995</v>
      </c>
      <c r="N199" s="5">
        <v>-1.3726</v>
      </c>
      <c r="O199" s="5">
        <v>0.04685</v>
      </c>
    </row>
    <row r="200">
      <c r="A200" s="18" t="str">
        <f>IFERROR(__xludf.DUMMYFUNCTION("""COMPUTED_VALUE"""),"Javon McCrea")</f>
        <v>Javon McCrea</v>
      </c>
      <c r="B200" s="19" t="str">
        <f>IFERROR(__xludf.DUMMYFUNCTION("""COMPUTED_VALUE"""),"TUB")</f>
        <v>TUB</v>
      </c>
      <c r="C200" s="20">
        <f>IFERROR(__xludf.DUMMYFUNCTION("""COMPUTED_VALUE"""),101.39999999999999)</f>
        <v>101.4</v>
      </c>
      <c r="D200" s="21">
        <f>IFERROR(__xludf.DUMMYFUNCTION("""COMPUTED_VALUE"""),0.385610389817338)</f>
        <v>0.3856103898</v>
      </c>
      <c r="E200" s="21">
        <f>IFERROR(__xludf.DUMMYFUNCTION("""COMPUTED_VALUE"""),-1.8921266594483075)</f>
        <v>-1.892126659</v>
      </c>
      <c r="F200" s="21">
        <f>IFERROR(__xludf.DUMMYFUNCTION("""COMPUTED_VALUE"""),-1.5065162696309695)</f>
        <v>-1.50651627</v>
      </c>
      <c r="G200" s="23">
        <f>IFERROR(__xludf.DUMMYFUNCTION("""COMPUTED_VALUE"""),0.015348410870603145)</f>
        <v>0.01534841087</v>
      </c>
      <c r="H200" s="4"/>
      <c r="I200" s="5" t="s">
        <v>1126</v>
      </c>
      <c r="J200" s="5" t="s">
        <v>724</v>
      </c>
      <c r="K200" s="5">
        <v>301.0</v>
      </c>
      <c r="L200" s="5">
        <v>-0.55752</v>
      </c>
      <c r="M200" s="5">
        <v>-0.91336</v>
      </c>
      <c r="N200" s="5">
        <v>-1.47088</v>
      </c>
      <c r="O200" s="5">
        <v>0.04843</v>
      </c>
    </row>
    <row r="201">
      <c r="A201" s="12" t="str">
        <f>IFERROR(__xludf.DUMMYFUNCTION("""COMPUTED_VALUE"""),"Tim Ohlbrecht")</f>
        <v>Tim Ohlbrecht</v>
      </c>
      <c r="B201" s="13" t="str">
        <f>IFERROR(__xludf.DUMMYFUNCTION("""COMPUTED_VALUE"""),"RUL")</f>
        <v>RUL</v>
      </c>
      <c r="C201" s="14">
        <f>IFERROR(__xludf.DUMMYFUNCTION("""COMPUTED_VALUE"""),196.6)</f>
        <v>196.6</v>
      </c>
      <c r="D201" s="15">
        <f>IFERROR(__xludf.DUMMYFUNCTION("""COMPUTED_VALUE"""),-1.7744582829089064)</f>
        <v>-1.774458283</v>
      </c>
      <c r="E201" s="15">
        <f>IFERROR(__xludf.DUMMYFUNCTION("""COMPUTED_VALUE"""),0.23968896192657763)</f>
        <v>0.2396889619</v>
      </c>
      <c r="F201" s="15">
        <f>IFERROR(__xludf.DUMMYFUNCTION("""COMPUTED_VALUE"""),-1.5347693209823288)</f>
        <v>-1.534769321</v>
      </c>
      <c r="G201" s="17">
        <f>IFERROR(__xludf.DUMMYFUNCTION("""COMPUTED_VALUE"""),0.027786178291365198)</f>
        <v>0.02778617829</v>
      </c>
      <c r="H201" s="4"/>
      <c r="I201" s="5" t="s">
        <v>1127</v>
      </c>
      <c r="J201" s="5" t="s">
        <v>824</v>
      </c>
      <c r="K201" s="5">
        <v>101.0</v>
      </c>
      <c r="L201" s="5">
        <v>-0.48029</v>
      </c>
      <c r="M201" s="5">
        <v>-0.9989</v>
      </c>
      <c r="N201" s="5">
        <v>-1.47919</v>
      </c>
      <c r="O201" s="5">
        <v>0.0162</v>
      </c>
    </row>
    <row r="202">
      <c r="A202" s="18" t="str">
        <f>IFERROR(__xludf.DUMMYFUNCTION("""COMPUTED_VALUE"""),"Immanuel McElroy")</f>
        <v>Immanuel McElroy</v>
      </c>
      <c r="B202" s="19" t="str">
        <f>IFERROR(__xludf.DUMMYFUNCTION("""COMPUTED_VALUE"""),"SCJ")</f>
        <v>SCJ</v>
      </c>
      <c r="C202" s="20">
        <f>IFERROR(__xludf.DUMMYFUNCTION("""COMPUTED_VALUE"""),683.4)</f>
        <v>683.4</v>
      </c>
      <c r="D202" s="21">
        <f>IFERROR(__xludf.DUMMYFUNCTION("""COMPUTED_VALUE"""),-1.145660035758491)</f>
        <v>-1.145660036</v>
      </c>
      <c r="E202" s="21">
        <f>IFERROR(__xludf.DUMMYFUNCTION("""COMPUTED_VALUE"""),-0.45392201140372745)</f>
        <v>-0.4539220114</v>
      </c>
      <c r="F202" s="21">
        <f>IFERROR(__xludf.DUMMYFUNCTION("""COMPUTED_VALUE"""),-1.5995820471622184)</f>
        <v>-1.599582047</v>
      </c>
      <c r="G202" s="23">
        <f>IFERROR(__xludf.DUMMYFUNCTION("""COMPUTED_VALUE"""),0.08309616077438416)</f>
        <v>0.08309616077</v>
      </c>
      <c r="H202" s="4"/>
      <c r="I202" s="5" t="s">
        <v>1128</v>
      </c>
      <c r="J202" s="5" t="s">
        <v>684</v>
      </c>
      <c r="K202" s="5">
        <v>707.0</v>
      </c>
      <c r="L202" s="5">
        <v>-1.63296</v>
      </c>
      <c r="M202" s="5">
        <v>0.13908</v>
      </c>
      <c r="N202" s="5">
        <v>-1.49387</v>
      </c>
      <c r="O202" s="5">
        <v>0.10828</v>
      </c>
    </row>
    <row r="203">
      <c r="A203" s="12" t="str">
        <f>IFERROR(__xludf.DUMMYFUNCTION("""COMPUTED_VALUE"""),"Marc Liyanage")</f>
        <v>Marc Liyanage</v>
      </c>
      <c r="B203" s="13" t="str">
        <f>IFERROR(__xludf.DUMMYFUNCTION("""COMPUTED_VALUE"""),"BC")</f>
        <v>BC</v>
      </c>
      <c r="C203" s="14">
        <f>IFERROR(__xludf.DUMMYFUNCTION("""COMPUTED_VALUE"""),41.3)</f>
        <v>41.3</v>
      </c>
      <c r="D203" s="15">
        <f>IFERROR(__xludf.DUMMYFUNCTION("""COMPUTED_VALUE"""),-0.9504581515490135)</f>
        <v>-0.9504581515</v>
      </c>
      <c r="E203" s="15">
        <f>IFERROR(__xludf.DUMMYFUNCTION("""COMPUTED_VALUE"""),-0.6769684348545176)</f>
        <v>-0.6769684349</v>
      </c>
      <c r="F203" s="15">
        <f>IFERROR(__xludf.DUMMYFUNCTION("""COMPUTED_VALUE"""),-1.627426586403531)</f>
        <v>-1.627426586</v>
      </c>
      <c r="G203" s="17">
        <f>IFERROR(__xludf.DUMMYFUNCTION("""COMPUTED_VALUE"""),0.005081504014910415)</f>
        <v>0.005081504015</v>
      </c>
      <c r="H203" s="4"/>
      <c r="I203" s="5" t="s">
        <v>1130</v>
      </c>
      <c r="J203" s="5" t="s">
        <v>693</v>
      </c>
      <c r="K203" s="5">
        <v>197.0</v>
      </c>
      <c r="L203" s="5">
        <v>-1.64167</v>
      </c>
      <c r="M203" s="5">
        <v>0.10668</v>
      </c>
      <c r="N203" s="5">
        <v>-1.53498</v>
      </c>
      <c r="O203" s="5">
        <v>0.02777</v>
      </c>
    </row>
    <row r="204">
      <c r="A204" s="18" t="str">
        <f>IFERROR(__xludf.DUMMYFUNCTION("""COMPUTED_VALUE"""),"Max Landis")</f>
        <v>Max Landis</v>
      </c>
      <c r="B204" s="19" t="str">
        <f>IFERROR(__xludf.DUMMYFUNCTION("""COMPUTED_VALUE"""),"GIE")</f>
        <v>GIE</v>
      </c>
      <c r="C204" s="20">
        <f>IFERROR(__xludf.DUMMYFUNCTION("""COMPUTED_VALUE"""),459.8)</f>
        <v>459.8</v>
      </c>
      <c r="D204" s="21">
        <f>IFERROR(__xludf.DUMMYFUNCTION("""COMPUTED_VALUE"""),1.1625378726275555)</f>
        <v>1.162537873</v>
      </c>
      <c r="E204" s="21">
        <f>IFERROR(__xludf.DUMMYFUNCTION("""COMPUTED_VALUE"""),-2.8151011248282582)</f>
        <v>-2.815101125</v>
      </c>
      <c r="F204" s="21">
        <f>IFERROR(__xludf.DUMMYFUNCTION("""COMPUTED_VALUE"""),-1.652563252200703)</f>
        <v>-1.652563252</v>
      </c>
      <c r="G204" s="23">
        <f>IFERROR(__xludf.DUMMYFUNCTION("""COMPUTED_VALUE"""),0.04900666775024415)</f>
        <v>0.04900666775</v>
      </c>
      <c r="H204" s="4"/>
      <c r="I204" s="5" t="s">
        <v>1132</v>
      </c>
      <c r="J204" s="5" t="s">
        <v>644</v>
      </c>
      <c r="K204" s="5">
        <v>441.0</v>
      </c>
      <c r="L204" s="5">
        <v>-0.75466</v>
      </c>
      <c r="M204" s="5">
        <v>-0.81083</v>
      </c>
      <c r="N204" s="5">
        <v>-1.5655</v>
      </c>
      <c r="O204" s="5">
        <v>0.11692</v>
      </c>
    </row>
    <row r="205">
      <c r="A205" s="12" t="str">
        <f>IFERROR(__xludf.DUMMYFUNCTION("""COMPUTED_VALUE"""),"Anton Gavel")</f>
        <v>Anton Gavel</v>
      </c>
      <c r="B205" s="13" t="str">
        <f>IFERROR(__xludf.DUMMYFUNCTION("""COMPUTED_VALUE"""),"BAY")</f>
        <v>BAY</v>
      </c>
      <c r="C205" s="14">
        <f>IFERROR(__xludf.DUMMYFUNCTION("""COMPUTED_VALUE"""),744.0)</f>
        <v>744</v>
      </c>
      <c r="D205" s="15">
        <f>IFERROR(__xludf.DUMMYFUNCTION("""COMPUTED_VALUE"""),-3.1796167018377504)</f>
        <v>-3.179616702</v>
      </c>
      <c r="E205" s="15">
        <f>IFERROR(__xludf.DUMMYFUNCTION("""COMPUTED_VALUE"""),1.459865355150416)</f>
        <v>1.459865355</v>
      </c>
      <c r="F205" s="15">
        <f>IFERROR(__xludf.DUMMYFUNCTION("""COMPUTED_VALUE"""),-1.7197513466873344)</f>
        <v>-1.719751347</v>
      </c>
      <c r="G205" s="17">
        <f>IFERROR(__xludf.DUMMYFUNCTION("""COMPUTED_VALUE"""),0.1271386896911339)</f>
        <v>0.1271386897</v>
      </c>
      <c r="H205" s="4"/>
      <c r="I205" s="5" t="s">
        <v>1134</v>
      </c>
      <c r="J205" s="5" t="s">
        <v>724</v>
      </c>
      <c r="K205" s="5">
        <v>683.0</v>
      </c>
      <c r="L205" s="5">
        <v>-1.68369</v>
      </c>
      <c r="M205" s="5">
        <v>0.0837</v>
      </c>
      <c r="N205" s="5">
        <v>-1.59998</v>
      </c>
      <c r="O205" s="5">
        <v>0.08301</v>
      </c>
    </row>
    <row r="206">
      <c r="A206" s="18" t="str">
        <f>IFERROR(__xludf.DUMMYFUNCTION("""COMPUTED_VALUE"""),"Jeril Taylor")</f>
        <v>Jeril Taylor</v>
      </c>
      <c r="B206" s="19" t="str">
        <f>IFERROR(__xludf.DUMMYFUNCTION("""COMPUTED_VALUE"""),"GIE")</f>
        <v>GIE</v>
      </c>
      <c r="C206" s="20">
        <f>IFERROR(__xludf.DUMMYFUNCTION("""COMPUTED_VALUE"""),432.1)</f>
        <v>432.1</v>
      </c>
      <c r="D206" s="21">
        <f>IFERROR(__xludf.DUMMYFUNCTION("""COMPUTED_VALUE"""),-2.0725201725606732)</f>
        <v>-2.072520173</v>
      </c>
      <c r="E206" s="21">
        <f>IFERROR(__xludf.DUMMYFUNCTION("""COMPUTED_VALUE"""),0.3487753682193253)</f>
        <v>0.3487753682</v>
      </c>
      <c r="F206" s="21">
        <f>IFERROR(__xludf.DUMMYFUNCTION("""COMPUTED_VALUE"""),-1.723744804341348)</f>
        <v>-1.723744804</v>
      </c>
      <c r="G206" s="23">
        <f>IFERROR(__xludf.DUMMYFUNCTION("""COMPUTED_VALUE"""),0.03661889004648371)</f>
        <v>0.03661889005</v>
      </c>
      <c r="H206" s="4"/>
      <c r="I206" s="5" t="s">
        <v>1137</v>
      </c>
      <c r="J206" s="5" t="s">
        <v>737</v>
      </c>
      <c r="K206" s="5">
        <v>41.0</v>
      </c>
      <c r="L206" s="5">
        <v>-1.03063</v>
      </c>
      <c r="M206" s="5">
        <v>-0.597</v>
      </c>
      <c r="N206" s="5">
        <v>-1.62763</v>
      </c>
      <c r="O206" s="5">
        <v>0.00508</v>
      </c>
    </row>
    <row r="207">
      <c r="A207" s="12" t="str">
        <f>IFERROR(__xludf.DUMMYFUNCTION("""COMPUTED_VALUE"""),"John Cox")</f>
        <v>John Cox</v>
      </c>
      <c r="B207" s="13" t="str">
        <f>IFERROR(__xludf.DUMMYFUNCTION("""COMPUTED_VALUE"""),"BAY")</f>
        <v>BAY</v>
      </c>
      <c r="C207" s="14">
        <f>IFERROR(__xludf.DUMMYFUNCTION("""COMPUTED_VALUE"""),440.6)</f>
        <v>440.6</v>
      </c>
      <c r="D207" s="15">
        <f>IFERROR(__xludf.DUMMYFUNCTION("""COMPUTED_VALUE"""),-2.09587911652356)</f>
        <v>-2.095879117</v>
      </c>
      <c r="E207" s="15">
        <f>IFERROR(__xludf.DUMMYFUNCTION("""COMPUTED_VALUE"""),0.3242807094124909)</f>
        <v>0.3242807094</v>
      </c>
      <c r="F207" s="15">
        <f>IFERROR(__xludf.DUMMYFUNCTION("""COMPUTED_VALUE"""),-1.7715984071110693)</f>
        <v>-1.771598407</v>
      </c>
      <c r="G207" s="17">
        <f>IFERROR(__xludf.DUMMYFUNCTION("""COMPUTED_VALUE"""),0.06136275961412562)</f>
        <v>0.06136275961</v>
      </c>
      <c r="H207" s="4"/>
      <c r="I207" s="5" t="s">
        <v>1138</v>
      </c>
      <c r="J207" s="5" t="s">
        <v>673</v>
      </c>
      <c r="K207" s="5">
        <v>460.0</v>
      </c>
      <c r="L207" s="5">
        <v>0.9581</v>
      </c>
      <c r="M207" s="5">
        <v>-2.61077</v>
      </c>
      <c r="N207" s="5">
        <v>-1.65267</v>
      </c>
      <c r="O207" s="5">
        <v>0.04899</v>
      </c>
    </row>
    <row r="208">
      <c r="A208" s="18" t="str">
        <f>IFERROR(__xludf.DUMMYFUNCTION("""COMPUTED_VALUE"""),"Haris Hujic")</f>
        <v>Haris Hujic</v>
      </c>
      <c r="B208" s="19" t="str">
        <f>IFERROR(__xludf.DUMMYFUNCTION("""COMPUTED_VALUE"""),"EWE")</f>
        <v>EWE</v>
      </c>
      <c r="C208" s="20">
        <f>IFERROR(__xludf.DUMMYFUNCTION("""COMPUTED_VALUE"""),53.6)</f>
        <v>53.6</v>
      </c>
      <c r="D208" s="21">
        <f>IFERROR(__xludf.DUMMYFUNCTION("""COMPUTED_VALUE"""),-0.984606624468794)</f>
        <v>-0.9846066245</v>
      </c>
      <c r="E208" s="21">
        <f>IFERROR(__xludf.DUMMYFUNCTION("""COMPUTED_VALUE"""),-0.8017510707302861)</f>
        <v>-0.8017510707</v>
      </c>
      <c r="F208" s="21">
        <f>IFERROR(__xludf.DUMMYFUNCTION("""COMPUTED_VALUE"""),-1.78635769519908)</f>
        <v>-1.786357695</v>
      </c>
      <c r="G208" s="23">
        <f>IFERROR(__xludf.DUMMYFUNCTION("""COMPUTED_VALUE"""),0.0034800293517315223)</f>
        <v>0.003480029352</v>
      </c>
      <c r="H208" s="4"/>
      <c r="I208" s="5" t="s">
        <v>1140</v>
      </c>
      <c r="J208" s="5" t="s">
        <v>673</v>
      </c>
      <c r="K208" s="5">
        <v>432.0</v>
      </c>
      <c r="L208" s="5">
        <v>-2.27693</v>
      </c>
      <c r="M208" s="5">
        <v>0.5531</v>
      </c>
      <c r="N208" s="5">
        <v>-1.72383</v>
      </c>
      <c r="O208" s="5">
        <v>0.03661</v>
      </c>
    </row>
    <row r="209">
      <c r="A209" s="12" t="str">
        <f>IFERROR(__xludf.DUMMYFUNCTION("""COMPUTED_VALUE"""),"Lennard Larysz")</f>
        <v>Lennard Larysz</v>
      </c>
      <c r="B209" s="13" t="str">
        <f>IFERROR(__xludf.DUMMYFUNCTION("""COMPUTED_VALUE"""),"GOE")</f>
        <v>GOE</v>
      </c>
      <c r="C209" s="14">
        <f>IFERROR(__xludf.DUMMYFUNCTION("""COMPUTED_VALUE"""),49.7)</f>
        <v>49.7</v>
      </c>
      <c r="D209" s="15">
        <f>IFERROR(__xludf.DUMMYFUNCTION("""COMPUTED_VALUE"""),-0.8827609621603462)</f>
        <v>-0.8827609622</v>
      </c>
      <c r="E209" s="15">
        <f>IFERROR(__xludf.DUMMYFUNCTION("""COMPUTED_VALUE"""),-0.9666187475155893)</f>
        <v>-0.9666187475</v>
      </c>
      <c r="F209" s="15">
        <f>IFERROR(__xludf.DUMMYFUNCTION("""COMPUTED_VALUE"""),-1.8493797096759355)</f>
        <v>-1.84937971</v>
      </c>
      <c r="G209" s="17">
        <f>IFERROR(__xludf.DUMMYFUNCTION("""COMPUTED_VALUE"""),0.0022570937440511652)</f>
        <v>0.002257093744</v>
      </c>
      <c r="H209" s="4"/>
      <c r="I209" s="5" t="s">
        <v>1141</v>
      </c>
      <c r="J209" s="5" t="s">
        <v>654</v>
      </c>
      <c r="K209" s="5">
        <v>54.0</v>
      </c>
      <c r="L209" s="5">
        <v>-0.67383</v>
      </c>
      <c r="M209" s="5">
        <v>-1.11252</v>
      </c>
      <c r="N209" s="5">
        <v>-1.78635</v>
      </c>
      <c r="O209" s="5">
        <v>0.00348</v>
      </c>
    </row>
    <row r="210">
      <c r="A210" s="18" t="str">
        <f>IFERROR(__xludf.DUMMYFUNCTION("""COMPUTED_VALUE"""),"Anthony Morse")</f>
        <v>Anthony Morse</v>
      </c>
      <c r="B210" s="19" t="str">
        <f>IFERROR(__xludf.DUMMYFUNCTION("""COMPUTED_VALUE"""),"BLB")</f>
        <v>BLB</v>
      </c>
      <c r="C210" s="20">
        <f>IFERROR(__xludf.DUMMYFUNCTION("""COMPUTED_VALUE"""),601.5)</f>
        <v>601.5</v>
      </c>
      <c r="D210" s="21">
        <f>IFERROR(__xludf.DUMMYFUNCTION("""COMPUTED_VALUE"""),-1.0658718599045276)</f>
        <v>-1.06587186</v>
      </c>
      <c r="E210" s="21">
        <f>IFERROR(__xludf.DUMMYFUNCTION("""COMPUTED_VALUE"""),-0.7927371845301336)</f>
        <v>-0.7927371845</v>
      </c>
      <c r="F210" s="21">
        <f>IFERROR(__xludf.DUMMYFUNCTION("""COMPUTED_VALUE"""),-1.8586090444346612)</f>
        <v>-1.858609044</v>
      </c>
      <c r="G210" s="23">
        <f>IFERROR(__xludf.DUMMYFUNCTION("""COMPUTED_VALUE"""),0.026276051335651713)</f>
        <v>0.02627605134</v>
      </c>
      <c r="H210" s="4"/>
      <c r="I210" s="5" t="s">
        <v>1143</v>
      </c>
      <c r="J210" s="5" t="s">
        <v>734</v>
      </c>
      <c r="K210" s="5">
        <v>50.0</v>
      </c>
      <c r="L210" s="5">
        <v>-1.06505</v>
      </c>
      <c r="M210" s="5">
        <v>-0.78444</v>
      </c>
      <c r="N210" s="5">
        <v>-1.84949</v>
      </c>
      <c r="O210" s="5">
        <v>0.00226</v>
      </c>
    </row>
    <row r="211">
      <c r="A211" s="12" t="str">
        <f>IFERROR(__xludf.DUMMYFUNCTION("""COMPUTED_VALUE"""),"Jerome Randle")</f>
        <v>Jerome Randle</v>
      </c>
      <c r="B211" s="13" t="str">
        <f>IFERROR(__xludf.DUMMYFUNCTION("""COMPUTED_VALUE"""),"BIG")</f>
        <v>BIG</v>
      </c>
      <c r="C211" s="14">
        <f>IFERROR(__xludf.DUMMYFUNCTION("""COMPUTED_VALUE"""),356.7)</f>
        <v>356.7</v>
      </c>
      <c r="D211" s="15">
        <f>IFERROR(__xludf.DUMMYFUNCTION("""COMPUTED_VALUE"""),3.707438693034573)</f>
        <v>3.707438693</v>
      </c>
      <c r="E211" s="15">
        <f>IFERROR(__xludf.DUMMYFUNCTION("""COMPUTED_VALUE"""),-5.583967803620734)</f>
        <v>-5.583967804</v>
      </c>
      <c r="F211" s="15">
        <f>IFERROR(__xludf.DUMMYFUNCTION("""COMPUTED_VALUE"""),-1.8765291105861606)</f>
        <v>-1.876529111</v>
      </c>
      <c r="G211" s="17">
        <f>IFERROR(__xludf.DUMMYFUNCTION("""COMPUTED_VALUE"""),0.013816976033402576)</f>
        <v>0.01381697603</v>
      </c>
      <c r="H211" s="4"/>
      <c r="I211" s="5" t="s">
        <v>1145</v>
      </c>
      <c r="J211" s="5" t="s">
        <v>681</v>
      </c>
      <c r="K211" s="5">
        <v>602.0</v>
      </c>
      <c r="L211" s="5">
        <v>-3.29986</v>
      </c>
      <c r="M211" s="5">
        <v>1.44094</v>
      </c>
      <c r="N211" s="5">
        <v>-1.85892</v>
      </c>
      <c r="O211" s="5">
        <v>0.02622</v>
      </c>
    </row>
    <row r="212">
      <c r="A212" s="18" t="str">
        <f>IFERROR(__xludf.DUMMYFUNCTION("""COMPUTED_VALUE"""),"Ivan Elliott")</f>
        <v>Ivan Elliott</v>
      </c>
      <c r="B212" s="19" t="str">
        <f>IFERROR(__xludf.DUMMYFUNCTION("""COMPUTED_VALUE"""),"EIS")</f>
        <v>EIS</v>
      </c>
      <c r="C212" s="20">
        <f>IFERROR(__xludf.DUMMYFUNCTION("""COMPUTED_VALUE"""),766.2)</f>
        <v>766.2</v>
      </c>
      <c r="D212" s="21">
        <f>IFERROR(__xludf.DUMMYFUNCTION("""COMPUTED_VALUE"""),-0.6963739538910332)</f>
        <v>-0.6963739539</v>
      </c>
      <c r="E212" s="21">
        <f>IFERROR(__xludf.DUMMYFUNCTION("""COMPUTED_VALUE"""),-1.2803644022384266)</f>
        <v>-1.280364402</v>
      </c>
      <c r="F212" s="21">
        <f>IFERROR(__xludf.DUMMYFUNCTION("""COMPUTED_VALUE"""),-1.9767383561294598)</f>
        <v>-1.976738356</v>
      </c>
      <c r="G212" s="23">
        <f>IFERROR(__xludf.DUMMYFUNCTION("""COMPUTED_VALUE"""),0.005395460290374649)</f>
        <v>0.00539546029</v>
      </c>
      <c r="H212" s="4"/>
      <c r="I212" s="5" t="s">
        <v>291</v>
      </c>
      <c r="J212" s="5" t="s">
        <v>798</v>
      </c>
      <c r="K212" s="5">
        <v>357.0</v>
      </c>
      <c r="L212" s="5">
        <v>1.65775</v>
      </c>
      <c r="M212" s="5">
        <v>-3.53317</v>
      </c>
      <c r="N212" s="5">
        <v>-1.87543</v>
      </c>
      <c r="O212" s="5">
        <v>0.01394</v>
      </c>
    </row>
    <row r="213">
      <c r="A213" s="12" t="str">
        <f>IFERROR(__xludf.DUMMYFUNCTION("""COMPUTED_VALUE"""),"Darius Carter")</f>
        <v>Darius Carter</v>
      </c>
      <c r="B213" s="13" t="str">
        <f>IFERROR(__xludf.DUMMYFUNCTION("""COMPUTED_VALUE"""),"GOE")</f>
        <v>GOE</v>
      </c>
      <c r="C213" s="14">
        <f>IFERROR(__xludf.DUMMYFUNCTION("""COMPUTED_VALUE"""),525.2)</f>
        <v>525.2</v>
      </c>
      <c r="D213" s="15">
        <f>IFERROR(__xludf.DUMMYFUNCTION("""COMPUTED_VALUE"""),-0.4071693631071709)</f>
        <v>-0.4071693631</v>
      </c>
      <c r="E213" s="15">
        <f>IFERROR(__xludf.DUMMYFUNCTION("""COMPUTED_VALUE"""),-1.569792549040591)</f>
        <v>-1.569792549</v>
      </c>
      <c r="F213" s="15">
        <f>IFERROR(__xludf.DUMMYFUNCTION("""COMPUTED_VALUE"""),-1.976961912147762)</f>
        <v>-1.976961912</v>
      </c>
      <c r="G213" s="17">
        <f>IFERROR(__xludf.DUMMYFUNCTION("""COMPUTED_VALUE"""),0.0036482187864280546)</f>
        <v>0.003648218786</v>
      </c>
      <c r="H213" s="4"/>
      <c r="I213" s="5" t="s">
        <v>1147</v>
      </c>
      <c r="J213" s="5" t="s">
        <v>684</v>
      </c>
      <c r="K213" s="5">
        <v>766.0</v>
      </c>
      <c r="L213" s="5">
        <v>-1.48507</v>
      </c>
      <c r="M213" s="5">
        <v>-0.49197</v>
      </c>
      <c r="N213" s="5">
        <v>-1.97705</v>
      </c>
      <c r="O213" s="5">
        <v>0.00532</v>
      </c>
    </row>
    <row r="214">
      <c r="A214" s="18" t="str">
        <f>IFERROR(__xludf.DUMMYFUNCTION("""COMPUTED_VALUE"""),"Ricky Hickman")</f>
        <v>Ricky Hickman</v>
      </c>
      <c r="B214" s="19" t="str">
        <f>IFERROR(__xludf.DUMMYFUNCTION("""COMPUTED_VALUE"""),"BRO")</f>
        <v>BRO</v>
      </c>
      <c r="C214" s="20">
        <f>IFERROR(__xludf.DUMMYFUNCTION("""COMPUTED_VALUE"""),588.9)</f>
        <v>588.9</v>
      </c>
      <c r="D214" s="21">
        <f>IFERROR(__xludf.DUMMYFUNCTION("""COMPUTED_VALUE"""),-1.7499817327902147)</f>
        <v>-1.749981733</v>
      </c>
      <c r="E214" s="21">
        <f>IFERROR(__xludf.DUMMYFUNCTION("""COMPUTED_VALUE"""),-0.2352469101960617)</f>
        <v>-0.2352469102</v>
      </c>
      <c r="F214" s="21">
        <f>IFERROR(__xludf.DUMMYFUNCTION("""COMPUTED_VALUE"""),-1.9852286429862764)</f>
        <v>-1.985228643</v>
      </c>
      <c r="G214" s="23">
        <f>IFERROR(__xludf.DUMMYFUNCTION("""COMPUTED_VALUE"""),0.0026652201533720423)</f>
        <v>0.002665220153</v>
      </c>
      <c r="H214" s="4"/>
      <c r="I214" s="5" t="s">
        <v>1149</v>
      </c>
      <c r="J214" s="5" t="s">
        <v>734</v>
      </c>
      <c r="K214" s="5">
        <v>525.0</v>
      </c>
      <c r="L214" s="5">
        <v>-1.50726</v>
      </c>
      <c r="M214" s="5">
        <v>-0.47015</v>
      </c>
      <c r="N214" s="5">
        <v>-1.97742</v>
      </c>
      <c r="O214" s="5">
        <v>0.00358</v>
      </c>
    </row>
    <row r="215">
      <c r="A215" s="12" t="str">
        <f>IFERROR(__xludf.DUMMYFUNCTION("""COMPUTED_VALUE"""),"Marko Bacak")</f>
        <v>Marko Bacak</v>
      </c>
      <c r="B215" s="13" t="str">
        <f>IFERROR(__xludf.DUMMYFUNCTION("""COMPUTED_VALUE"""),"EWE")</f>
        <v>EWE</v>
      </c>
      <c r="C215" s="14">
        <f>IFERROR(__xludf.DUMMYFUNCTION("""COMPUTED_VALUE"""),114.6)</f>
        <v>114.6</v>
      </c>
      <c r="D215" s="15">
        <f>IFERROR(__xludf.DUMMYFUNCTION("""COMPUTED_VALUE"""),-1.9601098170419204)</f>
        <v>-1.960109817</v>
      </c>
      <c r="E215" s="15">
        <f>IFERROR(__xludf.DUMMYFUNCTION("""COMPUTED_VALUE"""),-0.18285911001832256)</f>
        <v>-0.18285911</v>
      </c>
      <c r="F215" s="15">
        <f>IFERROR(__xludf.DUMMYFUNCTION("""COMPUTED_VALUE"""),-2.142968927060243)</f>
        <v>-2.142968927</v>
      </c>
      <c r="G215" s="17">
        <f>IFERROR(__xludf.DUMMYFUNCTION("""COMPUTED_VALUE"""),-0.0049791721090999075)</f>
        <v>-0.004979172109</v>
      </c>
      <c r="H215" s="4"/>
      <c r="I215" s="5" t="s">
        <v>1151</v>
      </c>
      <c r="J215" s="5" t="s">
        <v>654</v>
      </c>
      <c r="K215" s="5">
        <v>115.0</v>
      </c>
      <c r="L215" s="5">
        <v>-1.29604</v>
      </c>
      <c r="M215" s="5">
        <v>-0.84723</v>
      </c>
      <c r="N215" s="5">
        <v>-2.14327</v>
      </c>
      <c r="O215" s="5">
        <v>-0.00499</v>
      </c>
    </row>
    <row r="216">
      <c r="A216" s="18" t="str">
        <f>IFERROR(__xludf.DUMMYFUNCTION("""COMPUTED_VALUE"""),"Luis Figge")</f>
        <v>Luis Figge</v>
      </c>
      <c r="B216" s="19" t="str">
        <f>IFERROR(__xludf.DUMMYFUNCTION("""COMPUTED_VALUE"""),"BLB")</f>
        <v>BLB</v>
      </c>
      <c r="C216" s="20">
        <f>IFERROR(__xludf.DUMMYFUNCTION("""COMPUTED_VALUE"""),91.6)</f>
        <v>91.6</v>
      </c>
      <c r="D216" s="21">
        <f>IFERROR(__xludf.DUMMYFUNCTION("""COMPUTED_VALUE"""),-0.6343475181824906)</f>
        <v>-0.6343475182</v>
      </c>
      <c r="E216" s="21">
        <f>IFERROR(__xludf.DUMMYFUNCTION("""COMPUTED_VALUE"""),-1.532479130934394)</f>
        <v>-1.532479131</v>
      </c>
      <c r="F216" s="21">
        <f>IFERROR(__xludf.DUMMYFUNCTION("""COMPUTED_VALUE"""),-2.1668266491168846)</f>
        <v>-2.166826649</v>
      </c>
      <c r="G216" s="23">
        <f>IFERROR(__xludf.DUMMYFUNCTION("""COMPUTED_VALUE"""),-0.004721323302990623)</f>
        <v>-0.004721323303</v>
      </c>
      <c r="H216" s="4"/>
      <c r="I216" s="5" t="s">
        <v>1153</v>
      </c>
      <c r="J216" s="5" t="s">
        <v>681</v>
      </c>
      <c r="K216" s="5">
        <v>92.0</v>
      </c>
      <c r="L216" s="5">
        <v>-1.31633</v>
      </c>
      <c r="M216" s="5">
        <v>-0.85049</v>
      </c>
      <c r="N216" s="5">
        <v>-2.16681</v>
      </c>
      <c r="O216" s="5">
        <v>-0.00472</v>
      </c>
    </row>
    <row r="217">
      <c r="A217" s="12" t="str">
        <f>IFERROR(__xludf.DUMMYFUNCTION("""COMPUTED_VALUE"""),"Nemanja Jaramaz")</f>
        <v>Nemanja Jaramaz</v>
      </c>
      <c r="B217" s="13" t="str">
        <f>IFERROR(__xludf.DUMMYFUNCTION("""COMPUTED_VALUE"""),"BLB")</f>
        <v>BLB</v>
      </c>
      <c r="C217" s="14">
        <f>IFERROR(__xludf.DUMMYFUNCTION("""COMPUTED_VALUE"""),279.15)</f>
        <v>279.15</v>
      </c>
      <c r="D217" s="15">
        <f>IFERROR(__xludf.DUMMYFUNCTION("""COMPUTED_VALUE"""),3.2655170497316446)</f>
        <v>3.26551705</v>
      </c>
      <c r="E217" s="15">
        <f>IFERROR(__xludf.DUMMYFUNCTION("""COMPUTED_VALUE"""),-5.441798045700307)</f>
        <v>-5.441798046</v>
      </c>
      <c r="F217" s="15">
        <f>IFERROR(__xludf.DUMMYFUNCTION("""COMPUTED_VALUE"""),-2.1762809959686624)</f>
        <v>-2.176280996</v>
      </c>
      <c r="G217" s="17">
        <f>IFERROR(__xludf.DUMMYFUNCTION("""COMPUTED_VALUE"""),-0.015203583657649433)</f>
        <v>-0.01520358366</v>
      </c>
      <c r="H217" s="4"/>
      <c r="I217" s="5" t="s">
        <v>1155</v>
      </c>
      <c r="J217" s="5" t="s">
        <v>681</v>
      </c>
      <c r="K217" s="5">
        <v>279.0</v>
      </c>
      <c r="L217" s="5">
        <v>-0.7772</v>
      </c>
      <c r="M217" s="5">
        <v>-1.40102</v>
      </c>
      <c r="N217" s="5">
        <v>-2.17822</v>
      </c>
      <c r="O217" s="5">
        <v>-0.01537</v>
      </c>
    </row>
    <row r="218">
      <c r="A218" s="18" t="str">
        <f>IFERROR(__xludf.DUMMYFUNCTION("""COMPUTED_VALUE"""),"Kristian Kullamae")</f>
        <v>Kristian Kullamae</v>
      </c>
      <c r="B218" s="19" t="str">
        <f>IFERROR(__xludf.DUMMYFUNCTION("""COMPUTED_VALUE"""),"BIG")</f>
        <v>BIG</v>
      </c>
      <c r="C218" s="20">
        <f>IFERROR(__xludf.DUMMYFUNCTION("""COMPUTED_VALUE"""),123.0)</f>
        <v>123</v>
      </c>
      <c r="D218" s="21">
        <f>IFERROR(__xludf.DUMMYFUNCTION("""COMPUTED_VALUE"""),-0.4097018604287301)</f>
        <v>-0.4097018604</v>
      </c>
      <c r="E218" s="21">
        <f>IFERROR(__xludf.DUMMYFUNCTION("""COMPUTED_VALUE"""),-1.7717327258353475)</f>
        <v>-1.771732726</v>
      </c>
      <c r="F218" s="21">
        <f>IFERROR(__xludf.DUMMYFUNCTION("""COMPUTED_VALUE"""),-2.1814345862640776)</f>
        <v>-2.181434586</v>
      </c>
      <c r="G218" s="23">
        <f>IFERROR(__xludf.DUMMYFUNCTION("""COMPUTED_VALUE"""),-0.007001168151769712)</f>
        <v>-0.007001168152</v>
      </c>
      <c r="H218" s="4"/>
      <c r="I218" s="5" t="s">
        <v>1157</v>
      </c>
      <c r="J218" s="5" t="s">
        <v>798</v>
      </c>
      <c r="K218" s="5">
        <v>123.0</v>
      </c>
      <c r="L218" s="5">
        <v>-1.2508</v>
      </c>
      <c r="M218" s="5">
        <v>-0.93078</v>
      </c>
      <c r="N218" s="5">
        <v>-2.18158</v>
      </c>
      <c r="O218" s="5">
        <v>-0.00701</v>
      </c>
    </row>
    <row r="219">
      <c r="A219" s="12" t="str">
        <f>IFERROR(__xludf.DUMMYFUNCTION("""COMPUTED_VALUE"""),"Ferdinand Zylka")</f>
        <v>Ferdinand Zylka</v>
      </c>
      <c r="B219" s="13" t="str">
        <f>IFERROR(__xludf.DUMMYFUNCTION("""COMPUTED_VALUE"""),"BIG")</f>
        <v>BIG</v>
      </c>
      <c r="C219" s="14">
        <f>IFERROR(__xludf.DUMMYFUNCTION("""COMPUTED_VALUE"""),89.1)</f>
        <v>89.1</v>
      </c>
      <c r="D219" s="15">
        <f>IFERROR(__xludf.DUMMYFUNCTION("""COMPUTED_VALUE"""),-0.966053531093257)</f>
        <v>-0.9660535311</v>
      </c>
      <c r="E219" s="15">
        <f>IFERROR(__xludf.DUMMYFUNCTION("""COMPUTED_VALUE"""),-1.234007571488918)</f>
        <v>-1.234007571</v>
      </c>
      <c r="F219" s="15">
        <f>IFERROR(__xludf.DUMMYFUNCTION("""COMPUTED_VALUE"""),-2.200061102582175)</f>
        <v>-2.200061103</v>
      </c>
      <c r="G219" s="17">
        <f>IFERROR(__xludf.DUMMYFUNCTION("""COMPUTED_VALUE"""),-0.005592238439265412)</f>
        <v>-0.005592238439</v>
      </c>
      <c r="H219" s="4"/>
      <c r="I219" s="5" t="s">
        <v>1158</v>
      </c>
      <c r="J219" s="5" t="s">
        <v>798</v>
      </c>
      <c r="K219" s="5">
        <v>89.0</v>
      </c>
      <c r="L219" s="5">
        <v>-1.57531</v>
      </c>
      <c r="M219" s="5">
        <v>-0.62483</v>
      </c>
      <c r="N219" s="5">
        <v>-2.20014</v>
      </c>
      <c r="O219" s="5">
        <v>-0.00559</v>
      </c>
    </row>
    <row r="220">
      <c r="A220" s="18" t="str">
        <f>IFERROR(__xludf.DUMMYFUNCTION("""COMPUTED_VALUE"""),"Maxime De Zeeuw")</f>
        <v>Maxime De Zeeuw</v>
      </c>
      <c r="B220" s="19" t="str">
        <f>IFERROR(__xludf.DUMMYFUNCTION("""COMPUTED_VALUE"""),"EWE")</f>
        <v>EWE</v>
      </c>
      <c r="C220" s="20">
        <f>IFERROR(__xludf.DUMMYFUNCTION("""COMPUTED_VALUE"""),375.4)</f>
        <v>375.4</v>
      </c>
      <c r="D220" s="21">
        <f>IFERROR(__xludf.DUMMYFUNCTION("""COMPUTED_VALUE"""),-1.5037355930731404)</f>
        <v>-1.503735593</v>
      </c>
      <c r="E220" s="21">
        <f>IFERROR(__xludf.DUMMYFUNCTION("""COMPUTED_VALUE"""),-0.7342368012266893)</f>
        <v>-0.7342368012</v>
      </c>
      <c r="F220" s="21">
        <f>IFERROR(__xludf.DUMMYFUNCTION("""COMPUTED_VALUE"""),-2.2379723942998297)</f>
        <v>-2.237972394</v>
      </c>
      <c r="G220" s="23">
        <f>IFERROR(__xludf.DUMMYFUNCTION("""COMPUTED_VALUE"""),-0.02714886707585197)</f>
        <v>-0.02714886708</v>
      </c>
      <c r="H220" s="4"/>
      <c r="I220" s="5" t="s">
        <v>1160</v>
      </c>
      <c r="J220" s="5" t="s">
        <v>654</v>
      </c>
      <c r="K220" s="5">
        <v>375.0</v>
      </c>
      <c r="L220" s="5">
        <v>0.23629</v>
      </c>
      <c r="M220" s="5">
        <v>-2.47371</v>
      </c>
      <c r="N220" s="5">
        <v>-2.23742</v>
      </c>
      <c r="O220" s="5">
        <v>-0.02709</v>
      </c>
    </row>
    <row r="221">
      <c r="A221" s="12" t="str">
        <f>IFERROR(__xludf.DUMMYFUNCTION("""COMPUTED_VALUE"""),"Trey Lewis")</f>
        <v>Trey Lewis</v>
      </c>
      <c r="B221" s="13" t="str">
        <f>IFERROR(__xludf.DUMMYFUNCTION("""COMPUTED_VALUE"""),"RUL")</f>
        <v>RUL</v>
      </c>
      <c r="C221" s="14">
        <f>IFERROR(__xludf.DUMMYFUNCTION("""COMPUTED_VALUE"""),448.9)</f>
        <v>448.9</v>
      </c>
      <c r="D221" s="15">
        <f>IFERROR(__xludf.DUMMYFUNCTION("""COMPUTED_VALUE"""),0.008878770341417375)</f>
        <v>0.008878770341</v>
      </c>
      <c r="E221" s="15">
        <f>IFERROR(__xludf.DUMMYFUNCTION("""COMPUTED_VALUE"""),-2.359782125681575)</f>
        <v>-2.359782126</v>
      </c>
      <c r="F221" s="15">
        <f>IFERROR(__xludf.DUMMYFUNCTION("""COMPUTED_VALUE"""),-2.3509033553401575)</f>
        <v>-2.350903355</v>
      </c>
      <c r="G221" s="17">
        <f>IFERROR(__xludf.DUMMYFUNCTION("""COMPUTED_VALUE"""),-0.04785354158735022)</f>
        <v>-0.04785354159</v>
      </c>
      <c r="H221" s="4"/>
      <c r="I221" s="5" t="s">
        <v>1162</v>
      </c>
      <c r="J221" s="5" t="s">
        <v>693</v>
      </c>
      <c r="K221" s="5">
        <v>449.0</v>
      </c>
      <c r="L221" s="5">
        <v>0.21267</v>
      </c>
      <c r="M221" s="5">
        <v>-2.56295</v>
      </c>
      <c r="N221" s="5">
        <v>-2.35028</v>
      </c>
      <c r="O221" s="5">
        <v>-0.04777</v>
      </c>
    </row>
    <row r="222">
      <c r="A222" s="18" t="str">
        <f>IFERROR(__xludf.DUMMYFUNCTION("""COMPUTED_VALUE"""),"Niklas Kiel")</f>
        <v>Niklas Kiel</v>
      </c>
      <c r="B222" s="19" t="str">
        <f>IFERROR(__xludf.DUMMYFUNCTION("""COMPUTED_VALUE"""),"FRA")</f>
        <v>FRA</v>
      </c>
      <c r="C222" s="20">
        <f>IFERROR(__xludf.DUMMYFUNCTION("""COMPUTED_VALUE"""),88.5)</f>
        <v>88.5</v>
      </c>
      <c r="D222" s="21">
        <f>IFERROR(__xludf.DUMMYFUNCTION("""COMPUTED_VALUE"""),-3.0316215169818306)</f>
        <v>-3.031621517</v>
      </c>
      <c r="E222" s="21">
        <f>IFERROR(__xludf.DUMMYFUNCTION("""COMPUTED_VALUE"""),0.5549831059682022)</f>
        <v>0.554983106</v>
      </c>
      <c r="F222" s="21">
        <f>IFERROR(__xludf.DUMMYFUNCTION("""COMPUTED_VALUE"""),-2.4766384110136284)</f>
        <v>-2.476638411</v>
      </c>
      <c r="G222" s="23">
        <f>IFERROR(__xludf.DUMMYFUNCTION("""COMPUTED_VALUE"""),-0.012904359837389523)</f>
        <v>-0.01290435984</v>
      </c>
      <c r="H222" s="4"/>
      <c r="I222" s="5" t="s">
        <v>1165</v>
      </c>
      <c r="J222" s="5" t="s">
        <v>697</v>
      </c>
      <c r="K222" s="5">
        <v>89.0</v>
      </c>
      <c r="L222" s="5">
        <v>-3.24113</v>
      </c>
      <c r="M222" s="5">
        <v>0.76421</v>
      </c>
      <c r="N222" s="5">
        <v>-2.47692</v>
      </c>
      <c r="O222" s="5">
        <v>-0.01291</v>
      </c>
    </row>
    <row r="223">
      <c r="A223" s="12" t="str">
        <f>IFERROR(__xludf.DUMMYFUNCTION("""COMPUTED_VALUE"""),"Konstantin Klein")</f>
        <v>Konstantin Klein</v>
      </c>
      <c r="B223" s="13" t="str">
        <f>IFERROR(__xludf.DUMMYFUNCTION("""COMPUTED_VALUE"""),"TBB")</f>
        <v>TBB</v>
      </c>
      <c r="C223" s="14">
        <f>IFERROR(__xludf.DUMMYFUNCTION("""COMPUTED_VALUE"""),530.7)</f>
        <v>530.7</v>
      </c>
      <c r="D223" s="15">
        <f>IFERROR(__xludf.DUMMYFUNCTION("""COMPUTED_VALUE"""),-1.6314428079581864)</f>
        <v>-1.631442808</v>
      </c>
      <c r="E223" s="15">
        <f>IFERROR(__xludf.DUMMYFUNCTION("""COMPUTED_VALUE"""),-0.8538697786663931)</f>
        <v>-0.8538697787</v>
      </c>
      <c r="F223" s="15">
        <f>IFERROR(__xludf.DUMMYFUNCTION("""COMPUTED_VALUE"""),-2.4853125866245795)</f>
        <v>-2.485312587</v>
      </c>
      <c r="G223" s="17">
        <f>IFERROR(__xludf.DUMMYFUNCTION("""COMPUTED_VALUE"""),-0.07829655948569943)</f>
        <v>-0.07829655949</v>
      </c>
      <c r="H223" s="4"/>
      <c r="I223" s="5" t="s">
        <v>1167</v>
      </c>
      <c r="J223" s="5" t="s">
        <v>669</v>
      </c>
      <c r="K223" s="5">
        <v>531.0</v>
      </c>
      <c r="L223" s="5">
        <v>-0.93292</v>
      </c>
      <c r="M223" s="5">
        <v>-1.55268</v>
      </c>
      <c r="N223" s="5">
        <v>-2.48561</v>
      </c>
      <c r="O223" s="5">
        <v>-0.07834</v>
      </c>
    </row>
    <row r="224">
      <c r="A224" s="18" t="str">
        <f>IFERROR(__xludf.DUMMYFUNCTION("""COMPUTED_VALUE"""),"Constantin Ebert")</f>
        <v>Constantin Ebert</v>
      </c>
      <c r="B224" s="19" t="str">
        <f>IFERROR(__xludf.DUMMYFUNCTION("""COMPUTED_VALUE"""),"BLB")</f>
        <v>BLB</v>
      </c>
      <c r="C224" s="20">
        <f>IFERROR(__xludf.DUMMYFUNCTION("""COMPUTED_VALUE"""),48.4)</f>
        <v>48.4</v>
      </c>
      <c r="D224" s="21">
        <f>IFERROR(__xludf.DUMMYFUNCTION("""COMPUTED_VALUE"""),-2.021343051789379)</f>
        <v>-2.021343052</v>
      </c>
      <c r="E224" s="21">
        <f>IFERROR(__xludf.DUMMYFUNCTION("""COMPUTED_VALUE"""),-0.56963987473251)</f>
        <v>-0.5696398747</v>
      </c>
      <c r="F224" s="21">
        <f>IFERROR(__xludf.DUMMYFUNCTION("""COMPUTED_VALUE"""),-2.590982926521889)</f>
        <v>-2.590982927</v>
      </c>
      <c r="G224" s="23">
        <f>IFERROR(__xludf.DUMMYFUNCTION("""COMPUTED_VALUE"""),-0.008837371996195246)</f>
        <v>-0.008837371996</v>
      </c>
      <c r="H224" s="4"/>
      <c r="I224" s="5" t="s">
        <v>1169</v>
      </c>
      <c r="J224" s="5" t="s">
        <v>681</v>
      </c>
      <c r="K224" s="5">
        <v>48.0</v>
      </c>
      <c r="L224" s="5">
        <v>-2.38176</v>
      </c>
      <c r="M224" s="5">
        <v>-0.20927</v>
      </c>
      <c r="N224" s="5">
        <v>-2.59103</v>
      </c>
      <c r="O224" s="5">
        <v>-0.00884</v>
      </c>
    </row>
    <row r="225">
      <c r="A225" s="12" t="str">
        <f>IFERROR(__xludf.DUMMYFUNCTION("""COMPUTED_VALUE"""),"Dominic Lockhart")</f>
        <v>Dominic Lockhart</v>
      </c>
      <c r="B225" s="13" t="str">
        <f>IFERROR(__xludf.DUMMYFUNCTION("""COMPUTED_VALUE"""),"GOE")</f>
        <v>GOE</v>
      </c>
      <c r="C225" s="14">
        <f>IFERROR(__xludf.DUMMYFUNCTION("""COMPUTED_VALUE"""),809.8)</f>
        <v>809.8</v>
      </c>
      <c r="D225" s="15">
        <f>IFERROR(__xludf.DUMMYFUNCTION("""COMPUTED_VALUE"""),-0.8102351754972196)</f>
        <v>-0.8102351755</v>
      </c>
      <c r="E225" s="15">
        <f>IFERROR(__xludf.DUMMYFUNCTION("""COMPUTED_VALUE"""),-1.7825127088941803)</f>
        <v>-1.782512709</v>
      </c>
      <c r="F225" s="15">
        <f>IFERROR(__xludf.DUMMYFUNCTION("""COMPUTED_VALUE"""),-2.5927478843914)</f>
        <v>-2.592747884</v>
      </c>
      <c r="G225" s="17">
        <f>IFERROR(__xludf.DUMMYFUNCTION("""COMPUTED_VALUE"""),-0.14472965036485116)</f>
        <v>-0.1447296504</v>
      </c>
      <c r="H225" s="4"/>
      <c r="I225" s="5" t="s">
        <v>1171</v>
      </c>
      <c r="J225" s="5" t="s">
        <v>734</v>
      </c>
      <c r="K225" s="5">
        <v>810.0</v>
      </c>
      <c r="L225" s="5">
        <v>-1.91157</v>
      </c>
      <c r="M225" s="5">
        <v>-0.68265</v>
      </c>
      <c r="N225" s="5">
        <v>-2.59422</v>
      </c>
      <c r="O225" s="5">
        <v>-0.14517</v>
      </c>
    </row>
    <row r="226">
      <c r="A226" s="18" t="str">
        <f>IFERROR(__xludf.DUMMYFUNCTION("""COMPUTED_VALUE"""),"Martin Breunig")</f>
        <v>Martin Breunig</v>
      </c>
      <c r="B226" s="19" t="str">
        <f>IFERROR(__xludf.DUMMYFUNCTION("""COMPUTED_VALUE"""),"TBB")</f>
        <v>TBB</v>
      </c>
      <c r="C226" s="20">
        <f>IFERROR(__xludf.DUMMYFUNCTION("""COMPUTED_VALUE"""),484.5)</f>
        <v>484.5</v>
      </c>
      <c r="D226" s="21">
        <f>IFERROR(__xludf.DUMMYFUNCTION("""COMPUTED_VALUE"""),-3.6317555957742482)</f>
        <v>-3.631755596</v>
      </c>
      <c r="E226" s="21">
        <f>IFERROR(__xludf.DUMMYFUNCTION("""COMPUTED_VALUE"""),1.033129396637046)</f>
        <v>1.033129397</v>
      </c>
      <c r="F226" s="21">
        <f>IFERROR(__xludf.DUMMYFUNCTION("""COMPUTED_VALUE"""),-2.598626199137202)</f>
        <v>-2.598626199</v>
      </c>
      <c r="G226" s="23">
        <f>IFERROR(__xludf.DUMMYFUNCTION("""COMPUTED_VALUE"""),-0.0881701414468595)</f>
        <v>-0.08817014145</v>
      </c>
      <c r="H226" s="4"/>
      <c r="I226" s="5" t="s">
        <v>1173</v>
      </c>
      <c r="J226" s="5" t="s">
        <v>669</v>
      </c>
      <c r="K226" s="5">
        <v>485.0</v>
      </c>
      <c r="L226" s="5">
        <v>-2.93318</v>
      </c>
      <c r="M226" s="5">
        <v>0.33431</v>
      </c>
      <c r="N226" s="5">
        <v>-2.59888</v>
      </c>
      <c r="O226" s="5">
        <v>-0.08821</v>
      </c>
    </row>
    <row r="227">
      <c r="A227" s="12" t="str">
        <f>IFERROR(__xludf.DUMMYFUNCTION("""COMPUTED_VALUE"""),"William Buford")</f>
        <v>William Buford</v>
      </c>
      <c r="B227" s="13" t="str">
        <f>IFERROR(__xludf.DUMMYFUNCTION("""COMPUTED_VALUE"""),"GOE")</f>
        <v>GOE</v>
      </c>
      <c r="C227" s="14">
        <f>IFERROR(__xludf.DUMMYFUNCTION("""COMPUTED_VALUE"""),274.7)</f>
        <v>274.7</v>
      </c>
      <c r="D227" s="15">
        <f>IFERROR(__xludf.DUMMYFUNCTION("""COMPUTED_VALUE"""),0.4989975754189039)</f>
        <v>0.4989975754</v>
      </c>
      <c r="E227" s="15">
        <f>IFERROR(__xludf.DUMMYFUNCTION("""COMPUTED_VALUE"""),-3.101266148119946)</f>
        <v>-3.101266148</v>
      </c>
      <c r="F227" s="15">
        <f>IFERROR(__xludf.DUMMYFUNCTION("""COMPUTED_VALUE"""),-2.602268572701042)</f>
        <v>-2.602268573</v>
      </c>
      <c r="G227" s="17">
        <f>IFERROR(__xludf.DUMMYFUNCTION("""COMPUTED_VALUE"""),-0.04988369198689761)</f>
        <v>-0.04988369199</v>
      </c>
      <c r="H227" s="4"/>
      <c r="I227" s="5" t="s">
        <v>1175</v>
      </c>
      <c r="J227" s="5" t="s">
        <v>734</v>
      </c>
      <c r="K227" s="5">
        <v>275.0</v>
      </c>
      <c r="L227" s="5">
        <v>-0.50872</v>
      </c>
      <c r="M227" s="5">
        <v>-2.09429</v>
      </c>
      <c r="N227" s="5">
        <v>-2.60301</v>
      </c>
      <c r="O227" s="5">
        <v>-0.04997</v>
      </c>
    </row>
    <row r="228">
      <c r="A228" s="18" t="str">
        <f>IFERROR(__xludf.DUMMYFUNCTION("""COMPUTED_VALUE"""),"Till Gloger")</f>
        <v>Till Gloger</v>
      </c>
      <c r="B228" s="19" t="str">
        <f>IFERROR(__xludf.DUMMYFUNCTION("""COMPUTED_VALUE"""),"BC")</f>
        <v>BC</v>
      </c>
      <c r="C228" s="20">
        <f>IFERROR(__xludf.DUMMYFUNCTION("""COMPUTED_VALUE"""),244.3)</f>
        <v>244.3</v>
      </c>
      <c r="D228" s="21">
        <f>IFERROR(__xludf.DUMMYFUNCTION("""COMPUTED_VALUE"""),0.5028792607797646)</f>
        <v>0.5028792608</v>
      </c>
      <c r="E228" s="21">
        <f>IFERROR(__xludf.DUMMYFUNCTION("""COMPUTED_VALUE"""),-3.1847745657382975)</f>
        <v>-3.184774566</v>
      </c>
      <c r="F228" s="21">
        <f>IFERROR(__xludf.DUMMYFUNCTION("""COMPUTED_VALUE"""),-2.681895304958533)</f>
        <v>-2.681895305</v>
      </c>
      <c r="G228" s="23">
        <f>IFERROR(__xludf.DUMMYFUNCTION("""COMPUTED_VALUE"""),-0.05501378523051106)</f>
        <v>-0.05501378523</v>
      </c>
      <c r="H228" s="4"/>
      <c r="I228" s="5" t="s">
        <v>1177</v>
      </c>
      <c r="J228" s="5" t="s">
        <v>737</v>
      </c>
      <c r="K228" s="5">
        <v>244.0</v>
      </c>
      <c r="L228" s="5">
        <v>0.03001</v>
      </c>
      <c r="M228" s="5">
        <v>-2.712</v>
      </c>
      <c r="N228" s="5">
        <v>-2.68199</v>
      </c>
      <c r="O228" s="5">
        <v>-0.05502</v>
      </c>
    </row>
    <row r="229">
      <c r="A229" s="12" t="str">
        <f>IFERROR(__xludf.DUMMYFUNCTION("""COMPUTED_VALUE"""),"Dee Davis")</f>
        <v>Dee Davis</v>
      </c>
      <c r="B229" s="13" t="str">
        <f>IFERROR(__xludf.DUMMYFUNCTION("""COMPUTED_VALUE"""),"GIE")</f>
        <v>GIE</v>
      </c>
      <c r="C229" s="14">
        <f>IFERROR(__xludf.DUMMYFUNCTION("""COMPUTED_VALUE"""),861.0)</f>
        <v>861</v>
      </c>
      <c r="D229" s="15">
        <f>IFERROR(__xludf.DUMMYFUNCTION("""COMPUTED_VALUE"""),-0.19212368869534047)</f>
        <v>-0.1921236887</v>
      </c>
      <c r="E229" s="15">
        <f>IFERROR(__xludf.DUMMYFUNCTION("""COMPUTED_VALUE"""),-2.542309119261069)</f>
        <v>-2.542309119</v>
      </c>
      <c r="F229" s="15">
        <f>IFERROR(__xludf.DUMMYFUNCTION("""COMPUTED_VALUE"""),-2.7344328079564093)</f>
        <v>-2.734432808</v>
      </c>
      <c r="G229" s="17">
        <f>IFERROR(__xludf.DUMMYFUNCTION("""COMPUTED_VALUE"""),-0.19398389520755696)</f>
        <v>-0.1939838952</v>
      </c>
      <c r="H229" s="4"/>
      <c r="I229" s="5" t="s">
        <v>1179</v>
      </c>
      <c r="J229" s="5" t="s">
        <v>673</v>
      </c>
      <c r="K229" s="5">
        <v>861.0</v>
      </c>
      <c r="L229" s="5">
        <v>-0.39622</v>
      </c>
      <c r="M229" s="5">
        <v>-2.33804</v>
      </c>
      <c r="N229" s="5">
        <v>-2.73426</v>
      </c>
      <c r="O229" s="5">
        <v>-0.19394</v>
      </c>
    </row>
    <row r="230">
      <c r="A230" s="18" t="str">
        <f>IFERROR(__xludf.DUMMYFUNCTION("""COMPUTED_VALUE"""),"Bjarne Kraushaar")</f>
        <v>Bjarne Kraushaar</v>
      </c>
      <c r="B230" s="19" t="str">
        <f>IFERROR(__xludf.DUMMYFUNCTION("""COMPUTED_VALUE"""),"GIE")</f>
        <v>GIE</v>
      </c>
      <c r="C230" s="20">
        <f>IFERROR(__xludf.DUMMYFUNCTION("""COMPUTED_VALUE"""),139.4)</f>
        <v>139.4</v>
      </c>
      <c r="D230" s="21">
        <f>IFERROR(__xludf.DUMMYFUNCTION("""COMPUTED_VALUE"""),-2.1173995337068634)</f>
        <v>-2.117399534</v>
      </c>
      <c r="E230" s="21">
        <f>IFERROR(__xludf.DUMMYFUNCTION("""COMPUTED_VALUE"""),-0.6447354993013263)</f>
        <v>-0.6447354993</v>
      </c>
      <c r="F230" s="21">
        <f>IFERROR(__xludf.DUMMYFUNCTION("""COMPUTED_VALUE"""),-2.7621350330081897)</f>
        <v>-2.762135033</v>
      </c>
      <c r="G230" s="23">
        <f>IFERROR(__xludf.DUMMYFUNCTION("""COMPUTED_VALUE"""),-0.032591560429612886)</f>
        <v>-0.03259156043</v>
      </c>
      <c r="H230" s="4"/>
      <c r="I230" s="5" t="s">
        <v>1182</v>
      </c>
      <c r="J230" s="5" t="s">
        <v>673</v>
      </c>
      <c r="K230" s="5">
        <v>139.0</v>
      </c>
      <c r="L230" s="5">
        <v>-2.21272</v>
      </c>
      <c r="M230" s="5">
        <v>-0.54973</v>
      </c>
      <c r="N230" s="5">
        <v>-2.76245</v>
      </c>
      <c r="O230" s="5">
        <v>-0.03261</v>
      </c>
    </row>
    <row r="231">
      <c r="A231" s="12" t="str">
        <f>IFERROR(__xludf.DUMMYFUNCTION("""COMPUTED_VALUE"""),"Andreas Obst")</f>
        <v>Andreas Obst</v>
      </c>
      <c r="B231" s="13" t="str">
        <f>IFERROR(__xludf.DUMMYFUNCTION("""COMPUTED_VALUE"""),"BIG")</f>
        <v>BIG</v>
      </c>
      <c r="C231" s="14">
        <f>IFERROR(__xludf.DUMMYFUNCTION("""COMPUTED_VALUE"""),890.3)</f>
        <v>890.3</v>
      </c>
      <c r="D231" s="15">
        <f>IFERROR(__xludf.DUMMYFUNCTION("""COMPUTED_VALUE"""),2.214431615834058)</f>
        <v>2.214431616</v>
      </c>
      <c r="E231" s="15">
        <f>IFERROR(__xludf.DUMMYFUNCTION("""COMPUTED_VALUE"""),-4.983501848021691)</f>
        <v>-4.983501848</v>
      </c>
      <c r="F231" s="15">
        <f>IFERROR(__xludf.DUMMYFUNCTION("""COMPUTED_VALUE"""),-2.769070232187633)</f>
        <v>-2.769070232</v>
      </c>
      <c r="G231" s="17">
        <f>IFERROR(__xludf.DUMMYFUNCTION("""COMPUTED_VALUE"""),-0.2148066358379141)</f>
        <v>-0.2148066358</v>
      </c>
      <c r="H231" s="4"/>
      <c r="I231" s="5" t="s">
        <v>1184</v>
      </c>
      <c r="J231" s="5" t="s">
        <v>798</v>
      </c>
      <c r="K231" s="5">
        <v>890.0</v>
      </c>
      <c r="L231" s="5">
        <v>0.16343</v>
      </c>
      <c r="M231" s="5">
        <v>-2.93247</v>
      </c>
      <c r="N231" s="5">
        <v>-2.76905</v>
      </c>
      <c r="O231" s="5">
        <v>-0.2148</v>
      </c>
    </row>
    <row r="232">
      <c r="A232" s="18" t="str">
        <f>IFERROR(__xludf.DUMMYFUNCTION("""COMPUTED_VALUE"""),"Johannes Richter")</f>
        <v>Johannes Richter</v>
      </c>
      <c r="B232" s="19" t="str">
        <f>IFERROR(__xludf.DUMMYFUNCTION("""COMPUTED_VALUE"""),"BIG")</f>
        <v>BIG</v>
      </c>
      <c r="C232" s="20">
        <f>IFERROR(__xludf.DUMMYFUNCTION("""COMPUTED_VALUE"""),536.2)</f>
        <v>536.2</v>
      </c>
      <c r="D232" s="21">
        <f>IFERROR(__xludf.DUMMYFUNCTION("""COMPUTED_VALUE"""),1.3818743664384026)</f>
        <v>1.381874366</v>
      </c>
      <c r="E232" s="21">
        <f>IFERROR(__xludf.DUMMYFUNCTION("""COMPUTED_VALUE"""),-4.192184043671931)</f>
        <v>-4.192184044</v>
      </c>
      <c r="F232" s="21">
        <f>IFERROR(__xludf.DUMMYFUNCTION("""COMPUTED_VALUE"""),-2.810309677233528)</f>
        <v>-2.810309677</v>
      </c>
      <c r="G232" s="23">
        <f>IFERROR(__xludf.DUMMYFUNCTION("""COMPUTED_VALUE"""),-0.13630856745664083)</f>
        <v>-0.1363085675</v>
      </c>
      <c r="H232" s="4"/>
      <c r="I232" s="5" t="s">
        <v>1186</v>
      </c>
      <c r="J232" s="5" t="s">
        <v>798</v>
      </c>
      <c r="K232" s="5">
        <v>536.0</v>
      </c>
      <c r="L232" s="5">
        <v>-0.6693</v>
      </c>
      <c r="M232" s="5">
        <v>-2.14113</v>
      </c>
      <c r="N232" s="5">
        <v>-2.81042</v>
      </c>
      <c r="O232" s="5">
        <v>-0.13633</v>
      </c>
    </row>
    <row r="233">
      <c r="A233" s="12" t="str">
        <f>IFERROR(__xludf.DUMMYFUNCTION("""COMPUTED_VALUE"""),"Ron Curry")</f>
        <v>Ron Curry</v>
      </c>
      <c r="B233" s="13" t="str">
        <f>IFERROR(__xludf.DUMMYFUNCTION("""COMPUTED_VALUE"""),"TBB")</f>
        <v>TBB</v>
      </c>
      <c r="C233" s="14">
        <f>IFERROR(__xludf.DUMMYFUNCTION("""COMPUTED_VALUE"""),593.4)</f>
        <v>593.4</v>
      </c>
      <c r="D233" s="15">
        <f>IFERROR(__xludf.DUMMYFUNCTION("""COMPUTED_VALUE"""),-2.560387126827595)</f>
        <v>-2.560387127</v>
      </c>
      <c r="E233" s="15">
        <f>IFERROR(__xludf.DUMMYFUNCTION("""COMPUTED_VALUE"""),-0.25080205246152065)</f>
        <v>-0.2508020525</v>
      </c>
      <c r="F233" s="15">
        <f>IFERROR(__xludf.DUMMYFUNCTION("""COMPUTED_VALUE"""),-2.8111891792891157)</f>
        <v>-2.811189179</v>
      </c>
      <c r="G233" s="17">
        <f>IFERROR(__xludf.DUMMYFUNCTION("""COMPUTED_VALUE"""),-0.14633281491359507)</f>
        <v>-0.1463328149</v>
      </c>
      <c r="H233" s="4"/>
      <c r="I233" s="5" t="s">
        <v>1189</v>
      </c>
      <c r="J233" s="5" t="s">
        <v>669</v>
      </c>
      <c r="K233" s="24">
        <v>593.0</v>
      </c>
      <c r="L233" s="5">
        <v>-1.86194</v>
      </c>
      <c r="M233" s="5">
        <v>-0.9496</v>
      </c>
      <c r="N233" s="5">
        <v>-2.81154</v>
      </c>
      <c r="O233" s="5">
        <v>-0.1464</v>
      </c>
    </row>
    <row r="234">
      <c r="A234" s="18" t="str">
        <f>IFERROR(__xludf.DUMMYFUNCTION("""COMPUTED_VALUE"""),"Tom-Niclas Alte")</f>
        <v>Tom-Niclas Alte</v>
      </c>
      <c r="B234" s="19" t="str">
        <f>IFERROR(__xludf.DUMMYFUNCTION("""COMPUTED_VALUE"""),"BLB")</f>
        <v>BLB</v>
      </c>
      <c r="C234" s="20">
        <f>IFERROR(__xludf.DUMMYFUNCTION("""COMPUTED_VALUE"""),143.8)</f>
        <v>143.8</v>
      </c>
      <c r="D234" s="21">
        <f>IFERROR(__xludf.DUMMYFUNCTION("""COMPUTED_VALUE"""),-3.2418711670170555)</f>
        <v>-3.241871167</v>
      </c>
      <c r="E234" s="21">
        <f>IFERROR(__xludf.DUMMYFUNCTION("""COMPUTED_VALUE"""),0.429461235733398)</f>
        <v>0.4294612357</v>
      </c>
      <c r="F234" s="21">
        <f>IFERROR(__xludf.DUMMYFUNCTION("""COMPUTED_VALUE"""),-2.8124099312836575)</f>
        <v>-2.812409931</v>
      </c>
      <c r="G234" s="23">
        <f>IFERROR(__xludf.DUMMYFUNCTION("""COMPUTED_VALUE"""),-0.036094160921051506)</f>
        <v>-0.03609416092</v>
      </c>
      <c r="H234" s="4"/>
      <c r="I234" s="5" t="s">
        <v>1191</v>
      </c>
      <c r="J234" s="5" t="s">
        <v>681</v>
      </c>
      <c r="K234" s="5">
        <v>144.0</v>
      </c>
      <c r="L234" s="5">
        <v>-4.31284</v>
      </c>
      <c r="M234" s="5">
        <v>1.50016</v>
      </c>
      <c r="N234" s="5">
        <v>-2.81268</v>
      </c>
      <c r="O234" s="5">
        <v>-0.03611</v>
      </c>
    </row>
    <row r="235">
      <c r="A235" s="12" t="str">
        <f>IFERROR(__xludf.DUMMYFUNCTION("""COMPUTED_VALUE"""),"David Kramer")</f>
        <v>David Kramer</v>
      </c>
      <c r="B235" s="13" t="str">
        <f>IFERROR(__xludf.DUMMYFUNCTION("""COMPUTED_VALUE"""),"RUL")</f>
        <v>RUL</v>
      </c>
      <c r="C235" s="14">
        <f>IFERROR(__xludf.DUMMYFUNCTION("""COMPUTED_VALUE"""),209.0)</f>
        <v>209</v>
      </c>
      <c r="D235" s="15">
        <f>IFERROR(__xludf.DUMMYFUNCTION("""COMPUTED_VALUE"""),-1.319146458800821)</f>
        <v>-1.319146459</v>
      </c>
      <c r="E235" s="15">
        <f>IFERROR(__xludf.DUMMYFUNCTION("""COMPUTED_VALUE"""),-1.5156807570371111)</f>
        <v>-1.515680757</v>
      </c>
      <c r="F235" s="15">
        <f>IFERROR(__xludf.DUMMYFUNCTION("""COMPUTED_VALUE"""),-2.834827215837932)</f>
        <v>-2.834827216</v>
      </c>
      <c r="G235" s="17">
        <f>IFERROR(__xludf.DUMMYFUNCTION("""COMPUTED_VALUE"""),-0.053005366723437246)</f>
        <v>-0.05300536672</v>
      </c>
      <c r="H235" s="4"/>
      <c r="I235" s="5" t="s">
        <v>1193</v>
      </c>
      <c r="J235" s="5" t="s">
        <v>693</v>
      </c>
      <c r="K235" s="5">
        <v>209.0</v>
      </c>
      <c r="L235" s="5">
        <v>-1.17721</v>
      </c>
      <c r="M235" s="5">
        <v>-1.65721</v>
      </c>
      <c r="N235" s="5">
        <v>-2.83442</v>
      </c>
      <c r="O235" s="5">
        <v>-0.05298</v>
      </c>
    </row>
    <row r="236">
      <c r="A236" s="18" t="str">
        <f>IFERROR(__xludf.DUMMYFUNCTION("""COMPUTED_VALUE"""),"Harper Kamp")</f>
        <v>Harper Kamp</v>
      </c>
      <c r="B236" s="19" t="str">
        <f>IFERROR(__xludf.DUMMYFUNCTION("""COMPUTED_VALUE"""),"GOE")</f>
        <v>GOE</v>
      </c>
      <c r="C236" s="20">
        <f>IFERROR(__xludf.DUMMYFUNCTION("""COMPUTED_VALUE"""),232.2)</f>
        <v>232.2</v>
      </c>
      <c r="D236" s="21">
        <f>IFERROR(__xludf.DUMMYFUNCTION("""COMPUTED_VALUE"""),-0.31970153225818154)</f>
        <v>-0.3197015323</v>
      </c>
      <c r="E236" s="21">
        <f>IFERROR(__xludf.DUMMYFUNCTION("""COMPUTED_VALUE"""),-2.6608872193968667)</f>
        <v>-2.660887219</v>
      </c>
      <c r="F236" s="21">
        <f>IFERROR(__xludf.DUMMYFUNCTION("""COMPUTED_VALUE"""),-2.980588751655048)</f>
        <v>-2.980588752</v>
      </c>
      <c r="G236" s="23">
        <f>IFERROR(__xludf.DUMMYFUNCTION("""COMPUTED_VALUE"""),-0.06865289419375278)</f>
        <v>-0.06865289419</v>
      </c>
      <c r="H236" s="4"/>
      <c r="I236" s="5" t="s">
        <v>1195</v>
      </c>
      <c r="J236" s="5" t="s">
        <v>734</v>
      </c>
      <c r="K236" s="5">
        <v>232.0</v>
      </c>
      <c r="L236" s="5">
        <v>-1.17116</v>
      </c>
      <c r="M236" s="5">
        <v>-1.80977</v>
      </c>
      <c r="N236" s="5">
        <v>-2.98093</v>
      </c>
      <c r="O236" s="5">
        <v>-0.06872</v>
      </c>
    </row>
    <row r="237">
      <c r="A237" s="12" t="str">
        <f>IFERROR(__xludf.DUMMYFUNCTION("""COMPUTED_VALUE"""),"Benedikt Turudic")</f>
        <v>Benedikt Turudic</v>
      </c>
      <c r="B237" s="13" t="str">
        <f>IFERROR(__xludf.DUMMYFUNCTION("""COMPUTED_VALUE"""),"BC")</f>
        <v>BC</v>
      </c>
      <c r="C237" s="14">
        <f>IFERROR(__xludf.DUMMYFUNCTION("""COMPUTED_VALUE"""),168.1)</f>
        <v>168.1</v>
      </c>
      <c r="D237" s="15">
        <f>IFERROR(__xludf.DUMMYFUNCTION("""COMPUTED_VALUE"""),-3.22032072321977)</f>
        <v>-3.220320723</v>
      </c>
      <c r="E237" s="15">
        <f>IFERROR(__xludf.DUMMYFUNCTION("""COMPUTED_VALUE"""),0.21519145260245232)</f>
        <v>0.2151914526</v>
      </c>
      <c r="F237" s="15">
        <f>IFERROR(__xludf.DUMMYFUNCTION("""COMPUTED_VALUE"""),-3.0051292706173176)</f>
        <v>-3.005129271</v>
      </c>
      <c r="G237" s="17">
        <f>IFERROR(__xludf.DUMMYFUNCTION("""COMPUTED_VALUE"""),-0.05579817495573823)</f>
        <v>-0.05579817496</v>
      </c>
      <c r="H237" s="4"/>
      <c r="I237" s="5" t="s">
        <v>1196</v>
      </c>
      <c r="J237" s="5" t="s">
        <v>737</v>
      </c>
      <c r="K237" s="5">
        <v>168.0</v>
      </c>
      <c r="L237" s="5">
        <v>-3.54603</v>
      </c>
      <c r="M237" s="5">
        <v>0.54056</v>
      </c>
      <c r="N237" s="5">
        <v>-3.00547</v>
      </c>
      <c r="O237" s="5">
        <v>-0.05582</v>
      </c>
    </row>
    <row r="238">
      <c r="A238" s="18" t="str">
        <f>IFERROR(__xludf.DUMMYFUNCTION("""COMPUTED_VALUE"""),"Garai Zeeb")</f>
        <v>Garai Zeeb</v>
      </c>
      <c r="B238" s="19" t="str">
        <f>IFERROR(__xludf.DUMMYFUNCTION("""COMPUTED_VALUE"""),"FRA")</f>
        <v>FRA</v>
      </c>
      <c r="C238" s="20">
        <f>IFERROR(__xludf.DUMMYFUNCTION("""COMPUTED_VALUE"""),170.2)</f>
        <v>170.2</v>
      </c>
      <c r="D238" s="21">
        <f>IFERROR(__xludf.DUMMYFUNCTION("""COMPUTED_VALUE"""),-2.8531314892419215)</f>
        <v>-2.853131489</v>
      </c>
      <c r="E238" s="21">
        <f>IFERROR(__xludf.DUMMYFUNCTION("""COMPUTED_VALUE"""),-0.22979492947395386)</f>
        <v>-0.2297949295</v>
      </c>
      <c r="F238" s="21">
        <f>IFERROR(__xludf.DUMMYFUNCTION("""COMPUTED_VALUE"""),-3.0829264187158754)</f>
        <v>-3.082926419</v>
      </c>
      <c r="G238" s="23">
        <f>IFERROR(__xludf.DUMMYFUNCTION("""COMPUTED_VALUE"""),-0.056384880010983504)</f>
        <v>-0.05638488001</v>
      </c>
      <c r="H238" s="4"/>
      <c r="I238" s="5" t="s">
        <v>1199</v>
      </c>
      <c r="J238" s="5" t="s">
        <v>697</v>
      </c>
      <c r="K238" s="5">
        <v>170.0</v>
      </c>
      <c r="L238" s="5">
        <v>-3.25583</v>
      </c>
      <c r="M238" s="5">
        <v>0.17255</v>
      </c>
      <c r="N238" s="5">
        <v>-3.08328</v>
      </c>
      <c r="O238" s="5">
        <v>-0.0564</v>
      </c>
    </row>
    <row r="239">
      <c r="A239" s="12" t="str">
        <f>IFERROR(__xludf.DUMMYFUNCTION("""COMPUTED_VALUE"""),"Derrick Allen")</f>
        <v>Derrick Allen</v>
      </c>
      <c r="B239" s="13" t="str">
        <f>IFERROR(__xludf.DUMMYFUNCTION("""COMPUTED_VALUE"""),"SCJ")</f>
        <v>SCJ</v>
      </c>
      <c r="C239" s="14">
        <f>IFERROR(__xludf.DUMMYFUNCTION("""COMPUTED_VALUE"""),856.4)</f>
        <v>856.4</v>
      </c>
      <c r="D239" s="15">
        <f>IFERROR(__xludf.DUMMYFUNCTION("""COMPUTED_VALUE"""),-2.0954997606542407)</f>
        <v>-2.095499761</v>
      </c>
      <c r="E239" s="15">
        <f>IFERROR(__xludf.DUMMYFUNCTION("""COMPUTED_VALUE"""),-1.0032091712485793)</f>
        <v>-1.003209171</v>
      </c>
      <c r="F239" s="15">
        <f>IFERROR(__xludf.DUMMYFUNCTION("""COMPUTED_VALUE"""),-3.09870893190282)</f>
        <v>-3.098708932</v>
      </c>
      <c r="G239" s="17">
        <f>IFERROR(__xludf.DUMMYFUNCTION("""COMPUTED_VALUE"""),-0.28572731308958527)</f>
        <v>-0.2857273131</v>
      </c>
      <c r="H239" s="4"/>
      <c r="I239" s="5" t="s">
        <v>1201</v>
      </c>
      <c r="J239" s="5" t="s">
        <v>724</v>
      </c>
      <c r="K239" s="5">
        <v>856.0</v>
      </c>
      <c r="L239" s="5">
        <v>-2.63251</v>
      </c>
      <c r="M239" s="5">
        <v>-0.46576</v>
      </c>
      <c r="N239" s="5">
        <v>-3.09828</v>
      </c>
      <c r="O239" s="5">
        <v>-0.28562</v>
      </c>
    </row>
    <row r="240">
      <c r="A240" s="18" t="str">
        <f>IFERROR(__xludf.DUMMYFUNCTION("""COMPUTED_VALUE"""),"Marco Voeller")</f>
        <v>Marco Voeller</v>
      </c>
      <c r="B240" s="19" t="str">
        <f>IFERROR(__xludf.DUMMYFUNCTION("""COMPUTED_VALUE"""),"FRA")</f>
        <v>FRA</v>
      </c>
      <c r="C240" s="20">
        <f>IFERROR(__xludf.DUMMYFUNCTION("""COMPUTED_VALUE"""),210.89999999999998)</f>
        <v>210.9</v>
      </c>
      <c r="D240" s="21">
        <f>IFERROR(__xludf.DUMMYFUNCTION("""COMPUTED_VALUE"""),-3.887346087476291)</f>
        <v>-3.887346087</v>
      </c>
      <c r="E240" s="21">
        <f>IFERROR(__xludf.DUMMYFUNCTION("""COMPUTED_VALUE"""),0.7784002963250631)</f>
        <v>0.7784002963</v>
      </c>
      <c r="F240" s="21">
        <f>IFERROR(__xludf.DUMMYFUNCTION("""COMPUTED_VALUE"""),-3.108945791151228)</f>
        <v>-3.108945791</v>
      </c>
      <c r="G240" s="23">
        <f>IFERROR(__xludf.DUMMYFUNCTION("""COMPUTED_VALUE"""),-0.07154693813407624)</f>
        <v>-0.07154693813</v>
      </c>
      <c r="H240" s="4"/>
      <c r="I240" s="5" t="s">
        <v>1202</v>
      </c>
      <c r="J240" s="5" t="s">
        <v>697</v>
      </c>
      <c r="K240" s="5">
        <v>211.0</v>
      </c>
      <c r="L240" s="5">
        <v>-4.77891</v>
      </c>
      <c r="M240" s="5">
        <v>1.66764</v>
      </c>
      <c r="N240" s="5">
        <v>-3.11127</v>
      </c>
      <c r="O240" s="5">
        <v>-0.0717</v>
      </c>
    </row>
    <row r="241">
      <c r="A241" s="12" t="str">
        <f>IFERROR(__xludf.DUMMYFUNCTION("""COMPUTED_VALUE"""),"Mitchell Creek")</f>
        <v>Mitchell Creek</v>
      </c>
      <c r="B241" s="13" t="str">
        <f>IFERROR(__xludf.DUMMYFUNCTION("""COMPUTED_VALUE"""),"GOE")</f>
        <v>GOE</v>
      </c>
      <c r="C241" s="14">
        <f>IFERROR(__xludf.DUMMYFUNCTION("""COMPUTED_VALUE"""),149.5)</f>
        <v>149.5</v>
      </c>
      <c r="D241" s="15">
        <f>IFERROR(__xludf.DUMMYFUNCTION("""COMPUTED_VALUE"""),-1.1825632138577977)</f>
        <v>-1.182563214</v>
      </c>
      <c r="E241" s="15">
        <f>IFERROR(__xludf.DUMMYFUNCTION("""COMPUTED_VALUE"""),-2.060406158901164)</f>
        <v>-2.060406159</v>
      </c>
      <c r="F241" s="15">
        <f>IFERROR(__xludf.DUMMYFUNCTION("""COMPUTED_VALUE"""),-3.242969372758962)</f>
        <v>-3.242969373</v>
      </c>
      <c r="G241" s="17">
        <f>IFERROR(__xludf.DUMMYFUNCTION("""COMPUTED_VALUE"""),-0.056028803501131895)</f>
        <v>-0.0560288035</v>
      </c>
      <c r="H241" s="4"/>
      <c r="I241" s="5" t="s">
        <v>15</v>
      </c>
      <c r="J241" s="5" t="s">
        <v>734</v>
      </c>
      <c r="K241" s="5">
        <v>150.0</v>
      </c>
      <c r="L241" s="5">
        <v>-1.73064</v>
      </c>
      <c r="M241" s="5">
        <v>-1.51244</v>
      </c>
      <c r="N241" s="5">
        <v>-3.24309</v>
      </c>
      <c r="O241" s="5">
        <v>-0.05607</v>
      </c>
    </row>
    <row r="242">
      <c r="A242" s="18" t="str">
        <f>IFERROR(__xludf.DUMMYFUNCTION("""COMPUTED_VALUE"""),"Dorde Drenovac")</f>
        <v>Dorde Drenovac</v>
      </c>
      <c r="B242" s="19" t="str">
        <f>IFERROR(__xludf.DUMMYFUNCTION("""COMPUTED_VALUE"""),"BC")</f>
        <v>BC</v>
      </c>
      <c r="C242" s="20">
        <f>IFERROR(__xludf.DUMMYFUNCTION("""COMPUTED_VALUE"""),1046.6)</f>
        <v>1046.6</v>
      </c>
      <c r="D242" s="21">
        <f>IFERROR(__xludf.DUMMYFUNCTION("""COMPUTED_VALUE"""),-0.7706273778793562)</f>
        <v>-0.7706273779</v>
      </c>
      <c r="E242" s="21">
        <f>IFERROR(__xludf.DUMMYFUNCTION("""COMPUTED_VALUE"""),-2.5549719134306175)</f>
        <v>-2.554971913</v>
      </c>
      <c r="F242" s="21">
        <f>IFERROR(__xludf.DUMMYFUNCTION("""COMPUTED_VALUE"""),-3.3255992913099734)</f>
        <v>-3.325599291</v>
      </c>
      <c r="G242" s="23">
        <f>IFERROR(__xludf.DUMMYFUNCTION("""COMPUTED_VALUE"""),-0.4581665238767259)</f>
        <v>-0.4581665239</v>
      </c>
      <c r="H242" s="4"/>
      <c r="I242" s="5" t="s">
        <v>1205</v>
      </c>
      <c r="J242" s="5" t="s">
        <v>737</v>
      </c>
      <c r="K242" s="24">
        <v>1047.0</v>
      </c>
      <c r="L242" s="5">
        <v>-1.35117</v>
      </c>
      <c r="M242" s="5">
        <v>-1.97442</v>
      </c>
      <c r="N242" s="5">
        <v>-3.3256</v>
      </c>
      <c r="O242" s="5">
        <v>-0.45817</v>
      </c>
    </row>
    <row r="243">
      <c r="A243" s="12" t="str">
        <f>IFERROR(__xludf.DUMMYFUNCTION("""COMPUTED_VALUE"""),"Michael Kessens")</f>
        <v>Michael Kessens</v>
      </c>
      <c r="B243" s="13" t="str">
        <f>IFERROR(__xludf.DUMMYFUNCTION("""COMPUTED_VALUE"""),"EIS")</f>
        <v>EIS</v>
      </c>
      <c r="C243" s="14">
        <f>IFERROR(__xludf.DUMMYFUNCTION("""COMPUTED_VALUE"""),509.2)</f>
        <v>509.2</v>
      </c>
      <c r="D243" s="15">
        <f>IFERROR(__xludf.DUMMYFUNCTION("""COMPUTED_VALUE"""),-2.558176118147134)</f>
        <v>-2.558176118</v>
      </c>
      <c r="E243" s="15">
        <f>IFERROR(__xludf.DUMMYFUNCTION("""COMPUTED_VALUE"""),-0.8333297915458688)</f>
        <v>-0.8333297915</v>
      </c>
      <c r="F243" s="15">
        <f>IFERROR(__xludf.DUMMYFUNCTION("""COMPUTED_VALUE"""),-3.3915059096930027)</f>
        <v>-3.39150591</v>
      </c>
      <c r="G243" s="17">
        <f>IFERROR(__xludf.DUMMYFUNCTION("""COMPUTED_VALUE"""),-0.21449610015133516)</f>
        <v>-0.2144961002</v>
      </c>
      <c r="H243" s="4"/>
      <c r="I243" s="5" t="s">
        <v>1207</v>
      </c>
      <c r="J243" s="5" t="s">
        <v>684</v>
      </c>
      <c r="K243" s="5">
        <v>509.0</v>
      </c>
      <c r="L243" s="5">
        <v>-3.34652</v>
      </c>
      <c r="M243" s="5">
        <v>-0.045</v>
      </c>
      <c r="N243" s="5">
        <v>-3.39152</v>
      </c>
      <c r="O243" s="5">
        <v>-0.2145</v>
      </c>
    </row>
    <row r="244">
      <c r="A244" s="18" t="str">
        <f>IFERROR(__xludf.DUMMYFUNCTION("""COMPUTED_VALUE"""),"Isaiah Philmore")</f>
        <v>Isaiah Philmore</v>
      </c>
      <c r="B244" s="19" t="str">
        <f>IFERROR(__xludf.DUMMYFUNCTION("""COMPUTED_VALUE"""),"EWE")</f>
        <v>EWE</v>
      </c>
      <c r="C244" s="20">
        <f>IFERROR(__xludf.DUMMYFUNCTION("""COMPUTED_VALUE"""),350.7)</f>
        <v>350.7</v>
      </c>
      <c r="D244" s="21">
        <f>IFERROR(__xludf.DUMMYFUNCTION("""COMPUTED_VALUE"""),-1.4675777534962695)</f>
        <v>-1.467577753</v>
      </c>
      <c r="E244" s="21">
        <f>IFERROR(__xludf.DUMMYFUNCTION("""COMPUTED_VALUE"""),-1.9601273320171633)</f>
        <v>-1.960127332</v>
      </c>
      <c r="F244" s="21">
        <f>IFERROR(__xludf.DUMMYFUNCTION("""COMPUTED_VALUE"""),-3.427705085513433)</f>
        <v>-3.427705086</v>
      </c>
      <c r="G244" s="23">
        <f>IFERROR(__xludf.DUMMYFUNCTION("""COMPUTED_VALUE"""),-0.15216162410215342)</f>
        <v>-0.1521616241</v>
      </c>
      <c r="H244" s="4"/>
      <c r="I244" s="5" t="s">
        <v>415</v>
      </c>
      <c r="J244" s="5" t="s">
        <v>72</v>
      </c>
      <c r="K244" s="5">
        <v>196.0</v>
      </c>
      <c r="L244" s="5">
        <v>-3.28737</v>
      </c>
      <c r="M244" s="5">
        <v>-0.12518</v>
      </c>
      <c r="N244" s="5">
        <v>-3.41255</v>
      </c>
      <c r="O244" s="5">
        <v>-0.08469</v>
      </c>
    </row>
    <row r="245">
      <c r="A245" s="12" t="str">
        <f>IFERROR(__xludf.DUMMYFUNCTION("""COMPUTED_VALUE"""),"Robert Oehle")</f>
        <v>Robert Oehle</v>
      </c>
      <c r="B245" s="13" t="str">
        <f>IFERROR(__xludf.DUMMYFUNCTION("""COMPUTED_VALUE"""),"BIG")</f>
        <v>BIG</v>
      </c>
      <c r="C245" s="14">
        <f>IFERROR(__xludf.DUMMYFUNCTION("""COMPUTED_VALUE"""),105.4)</f>
        <v>105.4</v>
      </c>
      <c r="D245" s="15">
        <f>IFERROR(__xludf.DUMMYFUNCTION("""COMPUTED_VALUE"""),-1.7902626329169344)</f>
        <v>-1.790262633</v>
      </c>
      <c r="E245" s="15">
        <f>IFERROR(__xludf.DUMMYFUNCTION("""COMPUTED_VALUE"""),-1.6628273328630716)</f>
        <v>-1.662827333</v>
      </c>
      <c r="F245" s="15">
        <f>IFERROR(__xludf.DUMMYFUNCTION("""COMPUTED_VALUE"""),-3.453089965780006)</f>
        <v>-3.453089966</v>
      </c>
      <c r="G245" s="17">
        <f>IFERROR(__xludf.DUMMYFUNCTION("""COMPUTED_VALUE"""),-0.048048344980141655)</f>
        <v>-0.04804834498</v>
      </c>
      <c r="H245" s="4"/>
      <c r="I245" s="5" t="s">
        <v>1209</v>
      </c>
      <c r="J245" s="5" t="s">
        <v>654</v>
      </c>
      <c r="K245" s="5">
        <v>351.0</v>
      </c>
      <c r="L245" s="5">
        <v>0.27208</v>
      </c>
      <c r="M245" s="5">
        <v>-3.69954</v>
      </c>
      <c r="N245" s="5">
        <v>-3.42745</v>
      </c>
      <c r="O245" s="5">
        <v>-0.15213</v>
      </c>
    </row>
    <row r="246">
      <c r="A246" s="18" t="str">
        <f>IFERROR(__xludf.DUMMYFUNCTION("""COMPUTED_VALUE"""),"Louis Olinde")</f>
        <v>Louis Olinde</v>
      </c>
      <c r="B246" s="19" t="str">
        <f>IFERROR(__xludf.DUMMYFUNCTION("""COMPUTED_VALUE"""),"BRO")</f>
        <v>BRO</v>
      </c>
      <c r="C246" s="20">
        <f>IFERROR(__xludf.DUMMYFUNCTION("""COMPUTED_VALUE"""),211.6)</f>
        <v>211.6</v>
      </c>
      <c r="D246" s="21">
        <f>IFERROR(__xludf.DUMMYFUNCTION("""COMPUTED_VALUE"""),-3.838018455044964)</f>
        <v>-3.838018455</v>
      </c>
      <c r="E246" s="21">
        <f>IFERROR(__xludf.DUMMYFUNCTION("""COMPUTED_VALUE"""),0.3802179765728928)</f>
        <v>0.3802179766</v>
      </c>
      <c r="F246" s="21">
        <f>IFERROR(__xludf.DUMMYFUNCTION("""COMPUTED_VALUE"""),-3.457800478472071)</f>
        <v>-3.457800478</v>
      </c>
      <c r="G246" s="23">
        <f>IFERROR(__xludf.DUMMYFUNCTION("""COMPUTED_VALUE"""),-0.09451155119267189)</f>
        <v>-0.09451155119</v>
      </c>
      <c r="H246" s="4"/>
      <c r="I246" s="5" t="s">
        <v>1211</v>
      </c>
      <c r="J246" s="5" t="s">
        <v>798</v>
      </c>
      <c r="K246" s="5">
        <v>105.0</v>
      </c>
      <c r="L246" s="5">
        <v>-2.51096</v>
      </c>
      <c r="M246" s="5">
        <v>-0.94221</v>
      </c>
      <c r="N246" s="5">
        <v>-3.45317</v>
      </c>
      <c r="O246" s="5">
        <v>-0.04805</v>
      </c>
    </row>
    <row r="247">
      <c r="A247" s="12" t="str">
        <f>IFERROR(__xludf.DUMMYFUNCTION("""COMPUTED_VALUE"""),"Vaughn Duggins")</f>
        <v>Vaughn Duggins</v>
      </c>
      <c r="B247" s="13" t="str">
        <f>IFERROR(__xludf.DUMMYFUNCTION("""COMPUTED_VALUE"""),"OLI")</f>
        <v>OLI</v>
      </c>
      <c r="C247" s="14">
        <f>IFERROR(__xludf.DUMMYFUNCTION("""COMPUTED_VALUE"""),213.3)</f>
        <v>213.3</v>
      </c>
      <c r="D247" s="15">
        <f>IFERROR(__xludf.DUMMYFUNCTION("""COMPUTED_VALUE"""),-4.43670673510893)</f>
        <v>-4.436706735</v>
      </c>
      <c r="E247" s="15">
        <f>IFERROR(__xludf.DUMMYFUNCTION("""COMPUTED_VALUE"""),0.9719944419811619)</f>
        <v>0.971994442</v>
      </c>
      <c r="F247" s="15">
        <f>IFERROR(__xludf.DUMMYFUNCTION("""COMPUTED_VALUE"""),-3.4647122931277683)</f>
        <v>-3.464712293</v>
      </c>
      <c r="G247" s="17">
        <f>IFERROR(__xludf.DUMMYFUNCTION("""COMPUTED_VALUE"""),-0.09502178472920046)</f>
        <v>-0.09502178473</v>
      </c>
      <c r="H247" s="4"/>
      <c r="I247" s="5" t="s">
        <v>1212</v>
      </c>
      <c r="J247" s="5" t="s">
        <v>711</v>
      </c>
      <c r="K247" s="5">
        <v>213.0</v>
      </c>
      <c r="L247" s="5">
        <v>-4.37184</v>
      </c>
      <c r="M247" s="5">
        <v>0.90673</v>
      </c>
      <c r="N247" s="5">
        <v>-3.46511</v>
      </c>
      <c r="O247" s="5">
        <v>-0.09505</v>
      </c>
    </row>
    <row r="248">
      <c r="A248" s="18" t="str">
        <f>IFERROR(__xludf.DUMMYFUNCTION("""COMPUTED_VALUE"""),"Lars Wendt")</f>
        <v>Lars Wendt</v>
      </c>
      <c r="B248" s="19" t="str">
        <f>IFERROR(__xludf.DUMMYFUNCTION("""COMPUTED_VALUE"""),"EIS")</f>
        <v>EIS</v>
      </c>
      <c r="C248" s="20">
        <f>IFERROR(__xludf.DUMMYFUNCTION("""COMPUTED_VALUE"""),131.3)</f>
        <v>131.3</v>
      </c>
      <c r="D248" s="21">
        <f>IFERROR(__xludf.DUMMYFUNCTION("""COMPUTED_VALUE"""),-2.9229329244091)</f>
        <v>-2.922932924</v>
      </c>
      <c r="E248" s="21">
        <f>IFERROR(__xludf.DUMMYFUNCTION("""COMPUTED_VALUE"""),-0.5448179344498318)</f>
        <v>-0.5448179344</v>
      </c>
      <c r="F248" s="21">
        <f>IFERROR(__xludf.DUMMYFUNCTION("""COMPUTED_VALUE"""),-3.4677508588589316)</f>
        <v>-3.467750859</v>
      </c>
      <c r="G248" s="23">
        <f>IFERROR(__xludf.DUMMYFUNCTION("""COMPUTED_VALUE"""),-0.058339542582476485)</f>
        <v>-0.05833954258</v>
      </c>
      <c r="H248" s="4"/>
      <c r="I248" s="5" t="s">
        <v>1214</v>
      </c>
      <c r="J248" s="5" t="s">
        <v>684</v>
      </c>
      <c r="K248" s="5">
        <v>131.0</v>
      </c>
      <c r="L248" s="5">
        <v>-3.26809</v>
      </c>
      <c r="M248" s="5">
        <v>-0.19977</v>
      </c>
      <c r="N248" s="5">
        <v>-3.46786</v>
      </c>
      <c r="O248" s="5">
        <v>-0.05834</v>
      </c>
    </row>
    <row r="249">
      <c r="A249" s="12" t="str">
        <f>IFERROR(__xludf.DUMMYFUNCTION("""COMPUTED_VALUE"""),"Martynas Mazeika")</f>
        <v>Martynas Mazeika</v>
      </c>
      <c r="B249" s="13" t="str">
        <f>IFERROR(__xludf.DUMMYFUNCTION("""COMPUTED_VALUE"""),"SCJ")</f>
        <v>SCJ</v>
      </c>
      <c r="C249" s="14">
        <f>IFERROR(__xludf.DUMMYFUNCTION("""COMPUTED_VALUE"""),426.5)</f>
        <v>426.5</v>
      </c>
      <c r="D249" s="15">
        <f>IFERROR(__xludf.DUMMYFUNCTION("""COMPUTED_VALUE"""),-0.46988456559163155)</f>
        <v>-0.4698845656</v>
      </c>
      <c r="E249" s="15">
        <f>IFERROR(__xludf.DUMMYFUNCTION("""COMPUTED_VALUE"""),-3.068646648144511)</f>
        <v>-3.068646648</v>
      </c>
      <c r="F249" s="15">
        <f>IFERROR(__xludf.DUMMYFUNCTION("""COMPUTED_VALUE"""),-3.538531213736143)</f>
        <v>-3.538531214</v>
      </c>
      <c r="G249" s="17">
        <f>IFERROR(__xludf.DUMMYFUNCTION("""COMPUTED_VALUE"""),-0.19925892851109733)</f>
        <v>-0.1992589285</v>
      </c>
      <c r="H249" s="4"/>
      <c r="I249" s="5" t="s">
        <v>1216</v>
      </c>
      <c r="J249" s="5" t="s">
        <v>724</v>
      </c>
      <c r="K249" s="5">
        <v>427.0</v>
      </c>
      <c r="L249" s="5">
        <v>-1.007</v>
      </c>
      <c r="M249" s="5">
        <v>-2.53118</v>
      </c>
      <c r="N249" s="5">
        <v>-3.53818</v>
      </c>
      <c r="O249" s="5">
        <v>-0.19921</v>
      </c>
    </row>
    <row r="250">
      <c r="A250" s="18" t="str">
        <f>IFERROR(__xludf.DUMMYFUNCTION("""COMPUTED_VALUE"""),"Barry Stewart")</f>
        <v>Barry Stewart</v>
      </c>
      <c r="B250" s="19" t="str">
        <f>IFERROR(__xludf.DUMMYFUNCTION("""COMPUTED_VALUE"""),"TUB")</f>
        <v>TUB</v>
      </c>
      <c r="C250" s="20">
        <f>IFERROR(__xludf.DUMMYFUNCTION("""COMPUTED_VALUE"""),828.4)</f>
        <v>828.4</v>
      </c>
      <c r="D250" s="21">
        <f>IFERROR(__xludf.DUMMYFUNCTION("""COMPUTED_VALUE"""),1.414703271734136)</f>
        <v>1.414703272</v>
      </c>
      <c r="E250" s="21">
        <f>IFERROR(__xludf.DUMMYFUNCTION("""COMPUTED_VALUE"""),-4.964710276097481)</f>
        <v>-4.964710276</v>
      </c>
      <c r="F250" s="21">
        <f>IFERROR(__xludf.DUMMYFUNCTION("""COMPUTED_VALUE"""),-3.5500070043633456)</f>
        <v>-3.550007004</v>
      </c>
      <c r="G250" s="23">
        <f>IFERROR(__xludf.DUMMYFUNCTION("""COMPUTED_VALUE"""),-0.3938459405715256)</f>
        <v>-0.3938459406</v>
      </c>
      <c r="H250" s="4"/>
      <c r="I250" s="5" t="s">
        <v>1218</v>
      </c>
      <c r="J250" s="5" t="s">
        <v>824</v>
      </c>
      <c r="K250" s="5">
        <v>828.0</v>
      </c>
      <c r="L250" s="5">
        <v>-0.42938</v>
      </c>
      <c r="M250" s="5">
        <v>-3.12072</v>
      </c>
      <c r="N250" s="5">
        <v>-3.5501</v>
      </c>
      <c r="O250" s="5">
        <v>-0.39387</v>
      </c>
    </row>
    <row r="251">
      <c r="A251" s="12" t="str">
        <f>IFERROR(__xludf.DUMMYFUNCTION("""COMPUTED_VALUE"""),"Dino Dizdarevic")</f>
        <v>Dino Dizdarevic</v>
      </c>
      <c r="B251" s="13" t="str">
        <f>IFERROR(__xludf.DUMMYFUNCTION("""COMPUTED_VALUE"""),"BIG")</f>
        <v>BIG</v>
      </c>
      <c r="C251" s="14">
        <f>IFERROR(__xludf.DUMMYFUNCTION("""COMPUTED_VALUE"""),239.8)</f>
        <v>239.8</v>
      </c>
      <c r="D251" s="15">
        <f>IFERROR(__xludf.DUMMYFUNCTION("""COMPUTED_VALUE"""),-0.345891971900308)</f>
        <v>-0.3458919719</v>
      </c>
      <c r="E251" s="15">
        <f>IFERROR(__xludf.DUMMYFUNCTION("""COMPUTED_VALUE"""),-3.3786743083551234)</f>
        <v>-3.378674308</v>
      </c>
      <c r="F251" s="15">
        <f>IFERROR(__xludf.DUMMYFUNCTION("""COMPUTED_VALUE"""),-3.7245662802554316)</f>
        <v>-3.72456628</v>
      </c>
      <c r="G251" s="17">
        <f>IFERROR(__xludf.DUMMYFUNCTION("""COMPUTED_VALUE"""),-0.12974014751753968)</f>
        <v>-0.1297401475</v>
      </c>
      <c r="H251" s="4"/>
      <c r="I251" s="5" t="s">
        <v>1220</v>
      </c>
      <c r="J251" s="5" t="s">
        <v>798</v>
      </c>
      <c r="K251" s="24">
        <v>240.0</v>
      </c>
      <c r="L251" s="5">
        <v>-1.98602</v>
      </c>
      <c r="M251" s="5">
        <v>-1.7391</v>
      </c>
      <c r="N251" s="5">
        <v>-3.72512</v>
      </c>
      <c r="O251" s="5">
        <v>-0.12978</v>
      </c>
    </row>
    <row r="252">
      <c r="A252" s="18" t="str">
        <f>IFERROR(__xludf.DUMMYFUNCTION("""COMPUTED_VALUE"""),"Per Gunther")</f>
        <v>Per Gunther</v>
      </c>
      <c r="B252" s="19" t="str">
        <f>IFERROR(__xludf.DUMMYFUNCTION("""COMPUTED_VALUE"""),"RUL")</f>
        <v>RUL</v>
      </c>
      <c r="C252" s="20">
        <f>IFERROR(__xludf.DUMMYFUNCTION("""COMPUTED_VALUE"""),797.3)</f>
        <v>797.3</v>
      </c>
      <c r="D252" s="21">
        <f>IFERROR(__xludf.DUMMYFUNCTION("""COMPUTED_VALUE"""),-1.4683700250801461)</f>
        <v>-1.468370025</v>
      </c>
      <c r="E252" s="21">
        <f>IFERROR(__xludf.DUMMYFUNCTION("""COMPUTED_VALUE"""),-2.564157558139991)</f>
        <v>-2.564157558</v>
      </c>
      <c r="F252" s="21">
        <f>IFERROR(__xludf.DUMMYFUNCTION("""COMPUTED_VALUE"""),-4.032527583220137)</f>
        <v>-4.032527583</v>
      </c>
      <c r="G252" s="23">
        <f>IFERROR(__xludf.DUMMYFUNCTION("""COMPUTED_VALUE"""),-0.4923060475732534)</f>
        <v>-0.4923060476</v>
      </c>
      <c r="H252" s="4"/>
      <c r="I252" s="5" t="s">
        <v>1221</v>
      </c>
      <c r="J252" s="5" t="s">
        <v>693</v>
      </c>
      <c r="K252" s="5">
        <v>797.0</v>
      </c>
      <c r="L252" s="5">
        <v>-1.26572</v>
      </c>
      <c r="M252" s="5">
        <v>-2.76712</v>
      </c>
      <c r="N252" s="5">
        <v>-4.03284</v>
      </c>
      <c r="O252" s="5">
        <v>-0.49238</v>
      </c>
    </row>
    <row r="253">
      <c r="A253" s="12" t="str">
        <f>IFERROR(__xludf.DUMMYFUNCTION("""COMPUTED_VALUE"""),"David Brembley")</f>
        <v>David Brembley</v>
      </c>
      <c r="B253" s="13" t="str">
        <f>IFERROR(__xludf.DUMMYFUNCTION("""COMPUTED_VALUE"""),"EIS")</f>
        <v>EIS</v>
      </c>
      <c r="C253" s="14">
        <f>IFERROR(__xludf.DUMMYFUNCTION("""COMPUTED_VALUE"""),277.7)</f>
        <v>277.7</v>
      </c>
      <c r="D253" s="15">
        <f>IFERROR(__xludf.DUMMYFUNCTION("""COMPUTED_VALUE"""),-1.1153121504945627)</f>
        <v>-1.11531215</v>
      </c>
      <c r="E253" s="15">
        <f>IFERROR(__xludf.DUMMYFUNCTION("""COMPUTED_VALUE"""),-3.0106477797060673)</f>
        <v>-3.01064778</v>
      </c>
      <c r="F253" s="15">
        <f>IFERROR(__xludf.DUMMYFUNCTION("""COMPUTED_VALUE"""),-4.12595993020063)</f>
        <v>-4.12595993</v>
      </c>
      <c r="G253" s="17">
        <f>IFERROR(__xludf.DUMMYFUNCTION("""COMPUTED_VALUE"""),-0.1787215428364994)</f>
        <v>-0.1787215428</v>
      </c>
      <c r="H253" s="4"/>
      <c r="I253" s="5" t="s">
        <v>1223</v>
      </c>
      <c r="J253" s="5" t="s">
        <v>684</v>
      </c>
      <c r="K253" s="5">
        <v>278.0</v>
      </c>
      <c r="L253" s="5">
        <v>-1.84503</v>
      </c>
      <c r="M253" s="5">
        <v>-2.28092</v>
      </c>
      <c r="N253" s="5">
        <v>-4.12595</v>
      </c>
      <c r="O253" s="5">
        <v>-0.17872</v>
      </c>
    </row>
    <row r="254">
      <c r="A254" s="18" t="str">
        <f>IFERROR(__xludf.DUMMYFUNCTION("""COMPUTED_VALUE"""),"Sergio Kerusch")</f>
        <v>Sergio Kerusch</v>
      </c>
      <c r="B254" s="19" t="str">
        <f>IFERROR(__xludf.DUMMYFUNCTION("""COMPUTED_VALUE"""),"BC")</f>
        <v>BC</v>
      </c>
      <c r="C254" s="20">
        <f>IFERROR(__xludf.DUMMYFUNCTION("""COMPUTED_VALUE"""),490.2)</f>
        <v>490.2</v>
      </c>
      <c r="D254" s="21">
        <f>IFERROR(__xludf.DUMMYFUNCTION("""COMPUTED_VALUE"""),0.05482109014105507)</f>
        <v>0.05482109014</v>
      </c>
      <c r="E254" s="21">
        <f>IFERROR(__xludf.DUMMYFUNCTION("""COMPUTED_VALUE"""),-4.3634923696423105)</f>
        <v>-4.36349237</v>
      </c>
      <c r="F254" s="21">
        <f>IFERROR(__xludf.DUMMYFUNCTION("""COMPUTED_VALUE"""),-4.308671279501255)</f>
        <v>-4.30867128</v>
      </c>
      <c r="G254" s="23">
        <f>IFERROR(__xludf.DUMMYFUNCTION("""COMPUTED_VALUE"""),-0.3737367181263459)</f>
        <v>-0.3737367181</v>
      </c>
      <c r="H254" s="4"/>
      <c r="I254" s="5" t="s">
        <v>1224</v>
      </c>
      <c r="J254" s="5" t="s">
        <v>737</v>
      </c>
      <c r="K254" s="5">
        <v>490.0</v>
      </c>
      <c r="L254" s="5">
        <v>-0.52542</v>
      </c>
      <c r="M254" s="5">
        <v>-3.783</v>
      </c>
      <c r="N254" s="5">
        <v>-4.30842</v>
      </c>
      <c r="O254" s="5">
        <v>-0.3737</v>
      </c>
    </row>
    <row r="255">
      <c r="A255" s="12" t="str">
        <f>IFERROR(__xludf.DUMMYFUNCTION("""COMPUTED_VALUE"""),"Lamont Jones")</f>
        <v>Lamont Jones</v>
      </c>
      <c r="B255" s="13" t="str">
        <f>IFERROR(__xludf.DUMMYFUNCTION("""COMPUTED_VALUE"""),"BC")</f>
        <v>BC</v>
      </c>
      <c r="C255" s="14">
        <f>IFERROR(__xludf.DUMMYFUNCTION("""COMPUTED_VALUE"""),1054.9)</f>
        <v>1054.9</v>
      </c>
      <c r="D255" s="15">
        <f>IFERROR(__xludf.DUMMYFUNCTION("""COMPUTED_VALUE"""),0.35316589393045217)</f>
        <v>0.3531658939</v>
      </c>
      <c r="E255" s="15">
        <f>IFERROR(__xludf.DUMMYFUNCTION("""COMPUTED_VALUE"""),-4.667780700657795)</f>
        <v>-4.667780701</v>
      </c>
      <c r="F255" s="15">
        <f>IFERROR(__xludf.DUMMYFUNCTION("""COMPUTED_VALUE"""),-4.314614806727343)</f>
        <v>-4.314614807</v>
      </c>
      <c r="G255" s="17">
        <f>IFERROR(__xludf.DUMMYFUNCTION("""COMPUTED_VALUE"""),-0.8063440391641066)</f>
        <v>-0.8063440392</v>
      </c>
      <c r="H255" s="4"/>
      <c r="I255" s="5" t="s">
        <v>1226</v>
      </c>
      <c r="J255" s="5" t="s">
        <v>737</v>
      </c>
      <c r="K255" s="24">
        <v>1055.0</v>
      </c>
      <c r="L255" s="5">
        <v>-0.22606</v>
      </c>
      <c r="M255" s="5">
        <v>-4.08747</v>
      </c>
      <c r="N255" s="5">
        <v>-4.31353</v>
      </c>
      <c r="O255" s="5">
        <v>-0.80597</v>
      </c>
    </row>
    <row r="256">
      <c r="A256" s="18" t="str">
        <f>IFERROR(__xludf.DUMMYFUNCTION("""COMPUTED_VALUE"""),"Sava Lesic")</f>
        <v>Sava Lesic</v>
      </c>
      <c r="B256" s="19" t="str">
        <f>IFERROR(__xludf.DUMMYFUNCTION("""COMPUTED_VALUE"""),"BIG")</f>
        <v>BIG</v>
      </c>
      <c r="C256" s="20">
        <f>IFERROR(__xludf.DUMMYFUNCTION("""COMPUTED_VALUE"""),689.6)</f>
        <v>689.6</v>
      </c>
      <c r="D256" s="21">
        <f>IFERROR(__xludf.DUMMYFUNCTION("""COMPUTED_VALUE"""),-0.22283536254571212)</f>
        <v>-0.2228353625</v>
      </c>
      <c r="E256" s="21">
        <f>IFERROR(__xludf.DUMMYFUNCTION("""COMPUTED_VALUE"""),-4.160083609227443)</f>
        <v>-4.160083609</v>
      </c>
      <c r="F256" s="21">
        <f>IFERROR(__xludf.DUMMYFUNCTION("""COMPUTED_VALUE"""),-4.382918971773155)</f>
        <v>-4.382918972</v>
      </c>
      <c r="G256" s="23">
        <f>IFERROR(__xludf.DUMMYFUNCTION("""COMPUTED_VALUE"""),-0.5155275108555474)</f>
        <v>-0.5155275109</v>
      </c>
      <c r="H256" s="4"/>
      <c r="I256" s="5" t="s">
        <v>1228</v>
      </c>
      <c r="J256" s="5" t="s">
        <v>798</v>
      </c>
      <c r="K256" s="5">
        <v>690.0</v>
      </c>
      <c r="L256" s="5">
        <v>-2.27272</v>
      </c>
      <c r="M256" s="5">
        <v>-2.10925</v>
      </c>
      <c r="N256" s="5">
        <v>-4.38197</v>
      </c>
      <c r="O256" s="5">
        <v>-0.51532</v>
      </c>
    </row>
    <row r="257">
      <c r="A257" s="12" t="str">
        <f>IFERROR(__xludf.DUMMYFUNCTION("""COMPUTED_VALUE"""),"Jared Jordan")</f>
        <v>Jared Jordan</v>
      </c>
      <c r="B257" s="13" t="str">
        <f>IFERROR(__xludf.DUMMYFUNCTION("""COMPUTED_VALUE"""),"TUB")</f>
        <v>TUB</v>
      </c>
      <c r="C257" s="14">
        <f>IFERROR(__xludf.DUMMYFUNCTION("""COMPUTED_VALUE"""),898.2)</f>
        <v>898.2</v>
      </c>
      <c r="D257" s="15">
        <f>IFERROR(__xludf.DUMMYFUNCTION("""COMPUTED_VALUE"""),2.0619309853771655)</f>
        <v>2.061930985</v>
      </c>
      <c r="E257" s="15">
        <f>IFERROR(__xludf.DUMMYFUNCTION("""COMPUTED_VALUE"""),-6.485243713094434)</f>
        <v>-6.485243713</v>
      </c>
      <c r="F257" s="15">
        <f>IFERROR(__xludf.DUMMYFUNCTION("""COMPUTED_VALUE"""),-4.423312727717269)</f>
        <v>-4.423312728</v>
      </c>
      <c r="G257" s="17">
        <f>IFERROR(__xludf.DUMMYFUNCTION("""COMPUTED_VALUE"""),-0.6676289132936764)</f>
        <v>-0.6676289133</v>
      </c>
      <c r="H257" s="4"/>
      <c r="I257" s="5" t="s">
        <v>1230</v>
      </c>
      <c r="J257" s="5" t="s">
        <v>824</v>
      </c>
      <c r="K257" s="5">
        <v>898.0</v>
      </c>
      <c r="L257" s="5">
        <v>0.21677</v>
      </c>
      <c r="M257" s="5">
        <v>-4.64107</v>
      </c>
      <c r="N257" s="5">
        <v>-4.4243</v>
      </c>
      <c r="O257" s="5">
        <v>-0.6679</v>
      </c>
    </row>
    <row r="258">
      <c r="A258" s="18" t="str">
        <f>IFERROR(__xludf.DUMMYFUNCTION("""COMPUTED_VALUE"""),"Mauricio Marin")</f>
        <v>Mauricio Marin</v>
      </c>
      <c r="B258" s="19" t="str">
        <f>IFERROR(__xludf.DUMMYFUNCTION("""COMPUTED_VALUE"""),"GIE")</f>
        <v>GIE</v>
      </c>
      <c r="C258" s="20">
        <f>IFERROR(__xludf.DUMMYFUNCTION("""COMPUTED_VALUE"""),411.9)</f>
        <v>411.9</v>
      </c>
      <c r="D258" s="21">
        <f>IFERROR(__xludf.DUMMYFUNCTION("""COMPUTED_VALUE"""),-2.045734190793076)</f>
        <v>-2.045734191</v>
      </c>
      <c r="E258" s="21">
        <f>IFERROR(__xludf.DUMMYFUNCTION("""COMPUTED_VALUE"""),-2.468921112456613)</f>
        <v>-2.468921112</v>
      </c>
      <c r="F258" s="21">
        <f>IFERROR(__xludf.DUMMYFUNCTION("""COMPUTED_VALUE"""),-4.514655303249689)</f>
        <v>-4.514655303</v>
      </c>
      <c r="G258" s="23">
        <f>IFERROR(__xludf.DUMMYFUNCTION("""COMPUTED_VALUE"""),-0.31774645186291883)</f>
        <v>-0.3177464519</v>
      </c>
      <c r="H258" s="4"/>
      <c r="I258" s="5" t="s">
        <v>1232</v>
      </c>
      <c r="J258" s="5" t="s">
        <v>673</v>
      </c>
      <c r="K258" s="5">
        <v>412.0</v>
      </c>
      <c r="L258" s="5">
        <v>-2.25076</v>
      </c>
      <c r="M258" s="5">
        <v>-2.26449</v>
      </c>
      <c r="N258" s="5">
        <v>-4.51525</v>
      </c>
      <c r="O258" s="5">
        <v>-0.31782</v>
      </c>
    </row>
    <row r="259">
      <c r="A259" s="12" t="str">
        <f>IFERROR(__xludf.DUMMYFUNCTION("""COMPUTED_VALUE"""),"Malte Schwarz")</f>
        <v>Malte Schwarz</v>
      </c>
      <c r="B259" s="13" t="str">
        <f>IFERROR(__xludf.DUMMYFUNCTION("""COMPUTED_VALUE"""),"BC")</f>
        <v>BC</v>
      </c>
      <c r="C259" s="14">
        <f>IFERROR(__xludf.DUMMYFUNCTION("""COMPUTED_VALUE"""),287.4)</f>
        <v>287.4</v>
      </c>
      <c r="D259" s="15">
        <f>IFERROR(__xludf.DUMMYFUNCTION("""COMPUTED_VALUE"""),-2.086034185227533)</f>
        <v>-2.086034185</v>
      </c>
      <c r="E259" s="15">
        <f>IFERROR(__xludf.DUMMYFUNCTION("""COMPUTED_VALUE"""),-2.5844298539046338)</f>
        <v>-2.584429854</v>
      </c>
      <c r="F259" s="15">
        <f>IFERROR(__xludf.DUMMYFUNCTION("""COMPUTED_VALUE"""),-4.670464039132167)</f>
        <v>-4.670464039</v>
      </c>
      <c r="G259" s="17">
        <f>IFERROR(__xludf.DUMMYFUNCTION("""COMPUTED_VALUE"""),-0.2534567480180895)</f>
        <v>-0.253456748</v>
      </c>
      <c r="H259" s="4"/>
      <c r="I259" s="5" t="s">
        <v>1235</v>
      </c>
      <c r="J259" s="5" t="s">
        <v>737</v>
      </c>
      <c r="K259" s="5">
        <v>287.0</v>
      </c>
      <c r="L259" s="5">
        <v>-2.64374</v>
      </c>
      <c r="M259" s="5">
        <v>-2.02799</v>
      </c>
      <c r="N259" s="5">
        <v>-4.67173</v>
      </c>
      <c r="O259" s="5">
        <v>-0.25358</v>
      </c>
    </row>
    <row r="260">
      <c r="A260" s="18" t="str">
        <f>IFERROR(__xludf.DUMMYFUNCTION("""COMPUTED_VALUE"""),"A.J. English III")</f>
        <v>A.J. English III</v>
      </c>
      <c r="B260" s="19" t="str">
        <f>IFERROR(__xludf.DUMMYFUNCTION("""COMPUTED_VALUE"""),"FRA")</f>
        <v>FRA</v>
      </c>
      <c r="C260" s="20">
        <f>IFERROR(__xludf.DUMMYFUNCTION("""COMPUTED_VALUE"""),201.5)</f>
        <v>201.5</v>
      </c>
      <c r="D260" s="21">
        <f>IFERROR(__xludf.DUMMYFUNCTION("""COMPUTED_VALUE"""),-2.821817823551911)</f>
        <v>-2.821817824</v>
      </c>
      <c r="E260" s="21">
        <f>IFERROR(__xludf.DUMMYFUNCTION("""COMPUTED_VALUE"""),-1.8852785388217188)</f>
        <v>-1.885278539</v>
      </c>
      <c r="F260" s="21">
        <f>IFERROR(__xludf.DUMMYFUNCTION("""COMPUTED_VALUE"""),-4.70709636237363)</f>
        <v>-4.707096362</v>
      </c>
      <c r="G260" s="23">
        <f>IFERROR(__xludf.DUMMYFUNCTION("""COMPUTED_VALUE"""),-0.1668717889555445)</f>
        <v>-0.166871789</v>
      </c>
      <c r="H260" s="4"/>
      <c r="I260" s="5" t="s">
        <v>1237</v>
      </c>
      <c r="J260" s="5" t="s">
        <v>697</v>
      </c>
      <c r="K260" s="5">
        <v>202.0</v>
      </c>
      <c r="L260" s="5">
        <v>-3.29756</v>
      </c>
      <c r="M260" s="5">
        <v>-1.40912</v>
      </c>
      <c r="N260" s="5">
        <v>-4.70668</v>
      </c>
      <c r="O260" s="5">
        <v>-0.16685</v>
      </c>
    </row>
    <row r="261">
      <c r="A261" s="12" t="str">
        <f>IFERROR(__xludf.DUMMYFUNCTION("""COMPUTED_VALUE"""),"Lars Lagerpusch")</f>
        <v>Lars Lagerpusch</v>
      </c>
      <c r="B261" s="13" t="str">
        <f>IFERROR(__xludf.DUMMYFUNCTION("""COMPUTED_VALUE"""),"BLB")</f>
        <v>BLB</v>
      </c>
      <c r="C261" s="14">
        <f>IFERROR(__xludf.DUMMYFUNCTION("""COMPUTED_VALUE"""),357.9)</f>
        <v>357.9</v>
      </c>
      <c r="D261" s="15">
        <f>IFERROR(__xludf.DUMMYFUNCTION("""COMPUTED_VALUE"""),-3.6749556887592285)</f>
        <v>-3.674955689</v>
      </c>
      <c r="E261" s="15">
        <f>IFERROR(__xludf.DUMMYFUNCTION("""COMPUTED_VALUE"""),-1.1261983518674472)</f>
        <v>-1.126198352</v>
      </c>
      <c r="F261" s="15">
        <f>IFERROR(__xludf.DUMMYFUNCTION("""COMPUTED_VALUE"""),-4.801154040626676)</f>
        <v>-4.801154041</v>
      </c>
      <c r="G261" s="17">
        <f>IFERROR(__xludf.DUMMYFUNCTION("""COMPUTED_VALUE"""),-0.3097430217997904)</f>
        <v>-0.3097430218</v>
      </c>
      <c r="H261" s="4"/>
      <c r="I261" s="5" t="s">
        <v>1239</v>
      </c>
      <c r="J261" s="5" t="s">
        <v>681</v>
      </c>
      <c r="K261" s="5">
        <v>358.0</v>
      </c>
      <c r="L261" s="5">
        <v>-5.90929</v>
      </c>
      <c r="M261" s="5">
        <v>1.10754</v>
      </c>
      <c r="N261" s="5">
        <v>-4.80176</v>
      </c>
      <c r="O261" s="5">
        <v>-0.30981</v>
      </c>
    </row>
    <row r="262">
      <c r="A262" s="18" t="str">
        <f>IFERROR(__xludf.DUMMYFUNCTION("""COMPUTED_VALUE"""),"Oliver Clay")</f>
        <v>Oliver Clay</v>
      </c>
      <c r="B262" s="19" t="str">
        <f>IFERROR(__xludf.DUMMYFUNCTION("""COMPUTED_VALUE"""),"SCJ")</f>
        <v>SCJ</v>
      </c>
      <c r="C262" s="20">
        <f>IFERROR(__xludf.DUMMYFUNCTION("""COMPUTED_VALUE"""),357.5)</f>
        <v>357.5</v>
      </c>
      <c r="D262" s="21">
        <f>IFERROR(__xludf.DUMMYFUNCTION("""COMPUTED_VALUE"""),-4.767641038754222)</f>
        <v>-4.767641039</v>
      </c>
      <c r="E262" s="21">
        <f>IFERROR(__xludf.DUMMYFUNCTION("""COMPUTED_VALUE"""),-0.1252008091084562)</f>
        <v>-0.1252008091</v>
      </c>
      <c r="F262" s="21">
        <f>IFERROR(__xludf.DUMMYFUNCTION("""COMPUTED_VALUE"""),-4.8928418478626785)</f>
        <v>-4.892841848</v>
      </c>
      <c r="G262" s="23">
        <f>IFERROR(__xludf.DUMMYFUNCTION("""COMPUTED_VALUE"""),-0.3140459383839361)</f>
        <v>-0.3140459384</v>
      </c>
      <c r="H262" s="4"/>
      <c r="I262" s="5" t="s">
        <v>1241</v>
      </c>
      <c r="J262" s="5" t="s">
        <v>724</v>
      </c>
      <c r="K262" s="5">
        <v>358.0</v>
      </c>
      <c r="L262" s="5">
        <v>-5.30589</v>
      </c>
      <c r="M262" s="5">
        <v>0.41246</v>
      </c>
      <c r="N262" s="5">
        <v>-4.89343</v>
      </c>
      <c r="O262" s="5">
        <v>-0.31411</v>
      </c>
    </row>
    <row r="263">
      <c r="A263" s="12" t="str">
        <f>IFERROR(__xludf.DUMMYFUNCTION("""COMPUTED_VALUE"""),"Nicolai Simon")</f>
        <v>Nicolai Simon</v>
      </c>
      <c r="B263" s="13" t="str">
        <f>IFERROR(__xludf.DUMMYFUNCTION("""COMPUTED_VALUE"""),"GOE")</f>
        <v>GOE</v>
      </c>
      <c r="C263" s="14">
        <f>IFERROR(__xludf.DUMMYFUNCTION("""COMPUTED_VALUE"""),132.8)</f>
        <v>132.8</v>
      </c>
      <c r="D263" s="15">
        <f>IFERROR(__xludf.DUMMYFUNCTION("""COMPUTED_VALUE"""),-3.3823869511656706)</f>
        <v>-3.382386951</v>
      </c>
      <c r="E263" s="15">
        <f>IFERROR(__xludf.DUMMYFUNCTION("""COMPUTED_VALUE"""),-1.6555509791856475)</f>
        <v>-1.655550979</v>
      </c>
      <c r="F263" s="15">
        <f>IFERROR(__xludf.DUMMYFUNCTION("""COMPUTED_VALUE"""),-5.037937930351318)</f>
        <v>-5.03793793</v>
      </c>
      <c r="G263" s="17">
        <f>IFERROR(__xludf.DUMMYFUNCTION("""COMPUTED_VALUE"""),-0.12164288151138167)</f>
        <v>-0.1216428815</v>
      </c>
      <c r="H263" s="4"/>
      <c r="I263" s="5" t="s">
        <v>1243</v>
      </c>
      <c r="J263" s="5" t="s">
        <v>734</v>
      </c>
      <c r="K263" s="5">
        <v>133.0</v>
      </c>
      <c r="L263" s="5">
        <v>-3.87007</v>
      </c>
      <c r="M263" s="5">
        <v>-1.16865</v>
      </c>
      <c r="N263" s="5">
        <v>-5.03872</v>
      </c>
      <c r="O263" s="5">
        <v>-0.12174</v>
      </c>
    </row>
    <row r="264">
      <c r="A264" s="18" t="str">
        <f>IFERROR(__xludf.DUMMYFUNCTION("""COMPUTED_VALUE"""),"Kris Richard")</f>
        <v>Kris Richard</v>
      </c>
      <c r="B264" s="19" t="str">
        <f>IFERROR(__xludf.DUMMYFUNCTION("""COMPUTED_VALUE"""),"TUB")</f>
        <v>TUB</v>
      </c>
      <c r="C264" s="20">
        <f>IFERROR(__xludf.DUMMYFUNCTION("""COMPUTED_VALUE"""),383.6)</f>
        <v>383.6</v>
      </c>
      <c r="D264" s="21">
        <f>IFERROR(__xludf.DUMMYFUNCTION("""COMPUTED_VALUE"""),0.43434243824588015)</f>
        <v>0.4343424382</v>
      </c>
      <c r="E264" s="21">
        <f>IFERROR(__xludf.DUMMYFUNCTION("""COMPUTED_VALUE"""),-5.938299381772268)</f>
        <v>-5.938299382</v>
      </c>
      <c r="F264" s="21">
        <f>IFERROR(__xludf.DUMMYFUNCTION("""COMPUTED_VALUE"""),-5.503956943526387)</f>
        <v>-5.503956944</v>
      </c>
      <c r="G264" s="23">
        <f>IFERROR(__xludf.DUMMYFUNCTION("""COMPUTED_VALUE"""),-0.41227783046496763)</f>
        <v>-0.4122778305</v>
      </c>
      <c r="H264" s="4"/>
      <c r="I264" s="5" t="s">
        <v>1245</v>
      </c>
      <c r="J264" s="5" t="s">
        <v>824</v>
      </c>
      <c r="K264" s="5">
        <v>384.0</v>
      </c>
      <c r="L264" s="5">
        <v>-1.40925</v>
      </c>
      <c r="M264" s="5">
        <v>-4.0944</v>
      </c>
      <c r="N264" s="5">
        <v>-5.50365</v>
      </c>
      <c r="O264" s="5">
        <v>-0.41224</v>
      </c>
    </row>
    <row r="265">
      <c r="A265" s="12" t="str">
        <f>IFERROR(__xludf.DUMMYFUNCTION("""COMPUTED_VALUE"""),"Richard Freudenberg")</f>
        <v>Richard Freudenberg</v>
      </c>
      <c r="B265" s="13" t="str">
        <f>IFERROR(__xludf.DUMMYFUNCTION("""COMPUTED_VALUE"""),"FRA")</f>
        <v>FRA</v>
      </c>
      <c r="C265" s="14">
        <f>IFERROR(__xludf.DUMMYFUNCTION("""COMPUTED_VALUE"""),230.0)</f>
        <v>230</v>
      </c>
      <c r="D265" s="15">
        <f>IFERROR(__xludf.DUMMYFUNCTION("""COMPUTED_VALUE"""),-3.0275012373613794)</f>
        <v>-3.027501237</v>
      </c>
      <c r="E265" s="15">
        <f>IFERROR(__xludf.DUMMYFUNCTION("""COMPUTED_VALUE"""),-2.7557856412658825)</f>
        <v>-2.755785641</v>
      </c>
      <c r="F265" s="15">
        <f>IFERROR(__xludf.DUMMYFUNCTION("""COMPUTED_VALUE"""),-5.783286878627262)</f>
        <v>-5.783286879</v>
      </c>
      <c r="G265" s="17">
        <f>IFERROR(__xludf.DUMMYFUNCTION("""COMPUTED_VALUE"""),-0.26619584125936413)</f>
        <v>-0.2661958413</v>
      </c>
      <c r="H265" s="4"/>
      <c r="I265" s="5" t="s">
        <v>1247</v>
      </c>
      <c r="J265" s="5" t="s">
        <v>697</v>
      </c>
      <c r="K265" s="5">
        <v>230.0</v>
      </c>
      <c r="L265" s="5">
        <v>-3.57097</v>
      </c>
      <c r="M265" s="5">
        <v>-2.21221</v>
      </c>
      <c r="N265" s="5">
        <v>-5.78317</v>
      </c>
      <c r="O265" s="5">
        <v>-0.26619</v>
      </c>
    </row>
    <row r="266">
      <c r="A266" s="18" t="str">
        <f>IFERROR(__xludf.DUMMYFUNCTION("""COMPUTED_VALUE"""),"Joanic Gruttner Bacoul")</f>
        <v>Joanic Gruttner Bacoul</v>
      </c>
      <c r="B266" s="19" t="str">
        <f>IFERROR(__xludf.DUMMYFUNCTION("""COMPUTED_VALUE"""),"GOE")</f>
        <v>GOE</v>
      </c>
      <c r="C266" s="20">
        <f>IFERROR(__xludf.DUMMYFUNCTION("""COMPUTED_VALUE"""),420.3)</f>
        <v>420.3</v>
      </c>
      <c r="D266" s="21">
        <f>IFERROR(__xludf.DUMMYFUNCTION("""COMPUTED_VALUE"""),-4.378755338526941)</f>
        <v>-4.378755339</v>
      </c>
      <c r="E266" s="21">
        <f>IFERROR(__xludf.DUMMYFUNCTION("""COMPUTED_VALUE"""),-1.5277126385876683)</f>
        <v>-1.527712639</v>
      </c>
      <c r="F266" s="21">
        <f>IFERROR(__xludf.DUMMYFUNCTION("""COMPUTED_VALUE"""),-5.906467977114609)</f>
        <v>-5.906467977</v>
      </c>
      <c r="G266" s="23">
        <f>IFERROR(__xludf.DUMMYFUNCTION("""COMPUTED_VALUE"""),-0.49505492626079195)</f>
        <v>-0.4950549263</v>
      </c>
      <c r="H266" s="4"/>
      <c r="I266" s="5" t="s">
        <v>1249</v>
      </c>
      <c r="J266" s="5" t="s">
        <v>734</v>
      </c>
      <c r="K266" s="5">
        <v>420.0</v>
      </c>
      <c r="L266" s="5">
        <v>-5.48063</v>
      </c>
      <c r="M266" s="5">
        <v>-0.42776</v>
      </c>
      <c r="N266" s="5">
        <v>-5.90839</v>
      </c>
      <c r="O266" s="5">
        <v>-0.49557</v>
      </c>
    </row>
    <row r="267">
      <c r="A267" s="12" t="str">
        <f>IFERROR(__xludf.DUMMYFUNCTION("""COMPUTED_VALUE"""),"Brad Loesing")</f>
        <v>Brad Loesing</v>
      </c>
      <c r="B267" s="13" t="str">
        <f>IFERROR(__xludf.DUMMYFUNCTION("""COMPUTED_VALUE"""),"EWE")</f>
        <v>EWE</v>
      </c>
      <c r="C267" s="14">
        <f>IFERROR(__xludf.DUMMYFUNCTION("""COMPUTED_VALUE"""),314.8)</f>
        <v>314.8</v>
      </c>
      <c r="D267" s="15">
        <f>IFERROR(__xludf.DUMMYFUNCTION("""COMPUTED_VALUE"""),-4.381032253964314)</f>
        <v>-4.381032254</v>
      </c>
      <c r="E267" s="15">
        <f>IFERROR(__xludf.DUMMYFUNCTION("""COMPUTED_VALUE"""),-1.6223545391480014)</f>
        <v>-1.622354539</v>
      </c>
      <c r="F267" s="15">
        <f>IFERROR(__xludf.DUMMYFUNCTION("""COMPUTED_VALUE"""),-6.003386793112315)</f>
        <v>-6.003386793</v>
      </c>
      <c r="G267" s="17">
        <f>IFERROR(__xludf.DUMMYFUNCTION("""COMPUTED_VALUE"""),-0.38299503019207515)</f>
        <v>-0.3829950302</v>
      </c>
      <c r="H267" s="4"/>
      <c r="I267" s="5" t="s">
        <v>1251</v>
      </c>
      <c r="J267" s="5" t="s">
        <v>654</v>
      </c>
      <c r="K267" s="5">
        <v>315.0</v>
      </c>
      <c r="L267" s="5">
        <v>-2.64214</v>
      </c>
      <c r="M267" s="5">
        <v>-3.36163</v>
      </c>
      <c r="N267" s="5">
        <v>-6.00376</v>
      </c>
      <c r="O267" s="5">
        <v>-0.38303</v>
      </c>
    </row>
    <row r="268">
      <c r="A268" s="18" t="str">
        <f>IFERROR(__xludf.DUMMYFUNCTION("""COMPUTED_VALUE"""),"Sid Theis")</f>
        <v>Sid Theis</v>
      </c>
      <c r="B268" s="19" t="str">
        <f>IFERROR(__xludf.DUMMYFUNCTION("""COMPUTED_VALUE"""),"TUB")</f>
        <v>TUB</v>
      </c>
      <c r="C268" s="20">
        <f>IFERROR(__xludf.DUMMYFUNCTION("""COMPUTED_VALUE"""),660.2)</f>
        <v>660.2</v>
      </c>
      <c r="D268" s="21">
        <f>IFERROR(__xludf.DUMMYFUNCTION("""COMPUTED_VALUE"""),-1.1748612389302453)</f>
        <v>-1.174861239</v>
      </c>
      <c r="E268" s="21">
        <f>IFERROR(__xludf.DUMMYFUNCTION("""COMPUTED_VALUE"""),-4.853193041810603)</f>
        <v>-4.853193042</v>
      </c>
      <c r="F268" s="21">
        <f>IFERROR(__xludf.DUMMYFUNCTION("""COMPUTED_VALUE"""),-6.028054280740848)</f>
        <v>-6.028054281</v>
      </c>
      <c r="G268" s="23">
        <f>IFERROR(__xludf.DUMMYFUNCTION("""COMPUTED_VALUE"""),-0.8156868423757813)</f>
        <v>-0.8156868424</v>
      </c>
      <c r="H268" s="4"/>
      <c r="I268" s="5" t="s">
        <v>1253</v>
      </c>
      <c r="J268" s="5" t="s">
        <v>824</v>
      </c>
      <c r="K268" s="5">
        <v>660.0</v>
      </c>
      <c r="L268" s="5">
        <v>-3.01951</v>
      </c>
      <c r="M268" s="5">
        <v>-3.00911</v>
      </c>
      <c r="N268" s="5">
        <v>-6.02862</v>
      </c>
      <c r="O268" s="5">
        <v>-0.8158</v>
      </c>
    </row>
    <row r="269">
      <c r="A269" s="12" t="str">
        <f>IFERROR(__xludf.DUMMYFUNCTION("""COMPUTED_VALUE"""),"Zygimantas Janavicius")</f>
        <v>Zygimantas Janavicius</v>
      </c>
      <c r="B269" s="13" t="str">
        <f>IFERROR(__xludf.DUMMYFUNCTION("""COMPUTED_VALUE"""),"BLB")</f>
        <v>BLB</v>
      </c>
      <c r="C269" s="14">
        <f>IFERROR(__xludf.DUMMYFUNCTION("""COMPUTED_VALUE"""),614.5)</f>
        <v>614.5</v>
      </c>
      <c r="D269" s="15">
        <f>IFERROR(__xludf.DUMMYFUNCTION("""COMPUTED_VALUE"""),-3.5328466678472727)</f>
        <v>-3.532846668</v>
      </c>
      <c r="E269" s="15">
        <f>IFERROR(__xludf.DUMMYFUNCTION("""COMPUTED_VALUE"""),-2.643241678728236)</f>
        <v>-2.643241679</v>
      </c>
      <c r="F269" s="15">
        <f>IFERROR(__xludf.DUMMYFUNCTION("""COMPUTED_VALUE"""),-6.176088346575509)</f>
        <v>-6.176088347</v>
      </c>
      <c r="G269" s="17">
        <f>IFERROR(__xludf.DUMMYFUNCTION("""COMPUTED_VALUE"""),-0.7928561611614049)</f>
        <v>-0.7928561612</v>
      </c>
      <c r="H269" s="4"/>
      <c r="I269" s="5" t="s">
        <v>1255</v>
      </c>
      <c r="J269" s="5" t="s">
        <v>681</v>
      </c>
      <c r="K269" s="5">
        <v>615.0</v>
      </c>
      <c r="L269" s="5">
        <v>-5.76685</v>
      </c>
      <c r="M269" s="5">
        <v>-0.40956</v>
      </c>
      <c r="N269" s="5">
        <v>-6.17642</v>
      </c>
      <c r="O269" s="5">
        <v>-0.79292</v>
      </c>
    </row>
    <row r="270">
      <c r="A270" s="18" t="str">
        <f>IFERROR(__xludf.DUMMYFUNCTION("""COMPUTED_VALUE"""),"Dennis Nawrocki")</f>
        <v>Dennis Nawrocki</v>
      </c>
      <c r="B270" s="19" t="str">
        <f>IFERROR(__xludf.DUMMYFUNCTION("""COMPUTED_VALUE"""),"BLB")</f>
        <v>BLB</v>
      </c>
      <c r="C270" s="20">
        <f>IFERROR(__xludf.DUMMYFUNCTION("""COMPUTED_VALUE"""),260.4)</f>
        <v>260.4</v>
      </c>
      <c r="D270" s="21">
        <f>IFERROR(__xludf.DUMMYFUNCTION("""COMPUTED_VALUE"""),-2.413465052970595)</f>
        <v>-2.413465053</v>
      </c>
      <c r="E270" s="21">
        <f>IFERROR(__xludf.DUMMYFUNCTION("""COMPUTED_VALUE"""),-3.9146988322563643)</f>
        <v>-3.914698832</v>
      </c>
      <c r="F270" s="21">
        <f>IFERROR(__xludf.DUMMYFUNCTION("""COMPUTED_VALUE"""),-6.328163885226959)</f>
        <v>-6.328163885</v>
      </c>
      <c r="G270" s="23">
        <f>IFERROR(__xludf.DUMMYFUNCTION("""COMPUTED_VALUE"""),-0.3482150336707369)</f>
        <v>-0.3482150337</v>
      </c>
      <c r="H270" s="4"/>
      <c r="I270" s="5" t="s">
        <v>1256</v>
      </c>
      <c r="J270" s="5" t="s">
        <v>681</v>
      </c>
      <c r="K270" s="5">
        <v>260.0</v>
      </c>
      <c r="L270" s="5">
        <v>-4.35283</v>
      </c>
      <c r="M270" s="5">
        <v>-1.97582</v>
      </c>
      <c r="N270" s="5">
        <v>-6.32865</v>
      </c>
      <c r="O270" s="5">
        <v>-0.34825</v>
      </c>
    </row>
    <row r="271">
      <c r="A271" s="12" t="str">
        <f>IFERROR(__xludf.DUMMYFUNCTION("""COMPUTED_VALUE"""),"Evan Smotrycz")</f>
        <v>Evan Smotrycz</v>
      </c>
      <c r="B271" s="13" t="str">
        <f>IFERROR(__xludf.DUMMYFUNCTION("""COMPUTED_VALUE"""),"GOE")</f>
        <v>GOE</v>
      </c>
      <c r="C271" s="14">
        <f>IFERROR(__xludf.DUMMYFUNCTION("""COMPUTED_VALUE"""),278.9)</f>
        <v>278.9</v>
      </c>
      <c r="D271" s="15">
        <f>IFERROR(__xludf.DUMMYFUNCTION("""COMPUTED_VALUE"""),-2.850904826161502)</f>
        <v>-2.850904826</v>
      </c>
      <c r="E271" s="15">
        <f>IFERROR(__xludf.DUMMYFUNCTION("""COMPUTED_VALUE"""),-3.508791348837311)</f>
        <v>-3.508791349</v>
      </c>
      <c r="F271" s="15">
        <f>IFERROR(__xludf.DUMMYFUNCTION("""COMPUTED_VALUE"""),-6.359696174998813)</f>
        <v>-6.359696175</v>
      </c>
      <c r="G271" s="17">
        <f>IFERROR(__xludf.DUMMYFUNCTION("""COMPUTED_VALUE"""),-0.3666185764537964)</f>
        <v>-0.3666185765</v>
      </c>
      <c r="H271" s="4"/>
      <c r="I271" s="5" t="s">
        <v>1258</v>
      </c>
      <c r="J271" s="5" t="s">
        <v>734</v>
      </c>
      <c r="K271" s="5">
        <v>279.0</v>
      </c>
      <c r="L271" s="5">
        <v>-3.87363</v>
      </c>
      <c r="M271" s="5">
        <v>-2.48649</v>
      </c>
      <c r="N271" s="5">
        <v>-6.36012</v>
      </c>
      <c r="O271" s="5">
        <v>-0.36686</v>
      </c>
    </row>
    <row r="272">
      <c r="A272" s="18" t="str">
        <f>IFERROR(__xludf.DUMMYFUNCTION("""COMPUTED_VALUE"""),"Carl Baptiste")</f>
        <v>Carl Baptiste</v>
      </c>
      <c r="B272" s="19" t="str">
        <f>IFERROR(__xludf.DUMMYFUNCTION("""COMPUTED_VALUE"""),"EIS")</f>
        <v>EIS</v>
      </c>
      <c r="C272" s="20">
        <f>IFERROR(__xludf.DUMMYFUNCTION("""COMPUTED_VALUE"""),594.3)</f>
        <v>594.3</v>
      </c>
      <c r="D272" s="21">
        <f>IFERROR(__xludf.DUMMYFUNCTION("""COMPUTED_VALUE"""),-3.4801302236939082)</f>
        <v>-3.480130224</v>
      </c>
      <c r="E272" s="21">
        <f>IFERROR(__xludf.DUMMYFUNCTION("""COMPUTED_VALUE"""),-2.9382297172689165)</f>
        <v>-2.938229717</v>
      </c>
      <c r="F272" s="21">
        <f>IFERROR(__xludf.DUMMYFUNCTION("""COMPUTED_VALUE"""),-6.418359940962825)</f>
        <v>-6.418359941</v>
      </c>
      <c r="G272" s="23">
        <f>IFERROR(__xludf.DUMMYFUNCTION("""COMPUTED_VALUE"""),-0.7949005058603954)</f>
        <v>-0.7949005059</v>
      </c>
      <c r="H272" s="4"/>
      <c r="I272" s="5" t="s">
        <v>1260</v>
      </c>
      <c r="J272" s="5" t="s">
        <v>684</v>
      </c>
      <c r="K272" s="5">
        <v>594.0</v>
      </c>
      <c r="L272" s="5">
        <v>-4.26789</v>
      </c>
      <c r="M272" s="5">
        <v>-2.15001</v>
      </c>
      <c r="N272" s="5">
        <v>-6.41789</v>
      </c>
      <c r="O272" s="5">
        <v>-0.79482</v>
      </c>
    </row>
    <row r="273">
      <c r="A273" s="12" t="str">
        <f>IFERROR(__xludf.DUMMYFUNCTION("""COMPUTED_VALUE"""),"Bazoumana Kone")</f>
        <v>Bazoumana Kone</v>
      </c>
      <c r="B273" s="13" t="str">
        <f>IFERROR(__xludf.DUMMYFUNCTION("""COMPUTED_VALUE"""),"BLB")</f>
        <v>BLB</v>
      </c>
      <c r="C273" s="14">
        <f>IFERROR(__xludf.DUMMYFUNCTION("""COMPUTED_VALUE"""),589.6)</f>
        <v>589.6</v>
      </c>
      <c r="D273" s="15">
        <f>IFERROR(__xludf.DUMMYFUNCTION("""COMPUTED_VALUE"""),-3.167960373995966)</f>
        <v>-3.167960374</v>
      </c>
      <c r="E273" s="15">
        <f>IFERROR(__xludf.DUMMYFUNCTION("""COMPUTED_VALUE"""),-3.306269096815502)</f>
        <v>-3.306269097</v>
      </c>
      <c r="F273" s="15">
        <f>IFERROR(__xludf.DUMMYFUNCTION("""COMPUTED_VALUE"""),-6.474229470811468)</f>
        <v>-6.474229471</v>
      </c>
      <c r="G273" s="17">
        <f>IFERROR(__xludf.DUMMYFUNCTION("""COMPUTED_VALUE"""),-0.8150393357830412)</f>
        <v>-0.8150393358</v>
      </c>
      <c r="H273" s="4"/>
      <c r="I273" s="5" t="s">
        <v>1262</v>
      </c>
      <c r="J273" s="5" t="s">
        <v>681</v>
      </c>
      <c r="K273" s="5">
        <v>590.0</v>
      </c>
      <c r="L273" s="5">
        <v>-5.40107</v>
      </c>
      <c r="M273" s="5">
        <v>-1.07275</v>
      </c>
      <c r="N273" s="5">
        <v>-6.47382</v>
      </c>
      <c r="O273" s="5">
        <v>-0.81497</v>
      </c>
    </row>
    <row r="274">
      <c r="A274" s="18" t="str">
        <f>IFERROR(__xludf.DUMMYFUNCTION("""COMPUTED_VALUE"""),"Daniel Schmidt")</f>
        <v>Daniel Schmidt</v>
      </c>
      <c r="B274" s="19" t="str">
        <f>IFERROR(__xludf.DUMMYFUNCTION("""COMPUTED_VALUE"""),"BIG")</f>
        <v>BIG</v>
      </c>
      <c r="C274" s="20">
        <f>IFERROR(__xludf.DUMMYFUNCTION("""COMPUTED_VALUE"""),701.2)</f>
        <v>701.2</v>
      </c>
      <c r="D274" s="21">
        <f>IFERROR(__xludf.DUMMYFUNCTION("""COMPUTED_VALUE"""),-0.6655925824174004)</f>
        <v>-0.6655925824</v>
      </c>
      <c r="E274" s="21">
        <f>IFERROR(__xludf.DUMMYFUNCTION("""COMPUTED_VALUE"""),-5.812436927961409)</f>
        <v>-5.812436928</v>
      </c>
      <c r="F274" s="21">
        <f>IFERROR(__xludf.DUMMYFUNCTION("""COMPUTED_VALUE"""),-6.47802951037881)</f>
        <v>-6.47802951</v>
      </c>
      <c r="G274" s="23">
        <f>IFERROR(__xludf.DUMMYFUNCTION("""COMPUTED_VALUE"""),-0.9850860683242685)</f>
        <v>-0.9850860683</v>
      </c>
      <c r="H274" s="4"/>
      <c r="I274" s="5" t="s">
        <v>1264</v>
      </c>
      <c r="J274" s="5" t="s">
        <v>798</v>
      </c>
      <c r="K274" s="5">
        <v>701.0</v>
      </c>
      <c r="L274" s="5">
        <v>-2.71783</v>
      </c>
      <c r="M274" s="5">
        <v>-3.76119</v>
      </c>
      <c r="N274" s="5">
        <v>-6.47902</v>
      </c>
      <c r="O274" s="5">
        <v>-0.9853</v>
      </c>
    </row>
    <row r="275">
      <c r="A275" s="12" t="str">
        <f>IFERROR(__xludf.DUMMYFUNCTION("""COMPUTED_VALUE"""),"Jacob Mampuya")</f>
        <v>Jacob Mampuya</v>
      </c>
      <c r="B275" s="13" t="str">
        <f>IFERROR(__xludf.DUMMYFUNCTION("""COMPUTED_VALUE"""),"TUB")</f>
        <v>TUB</v>
      </c>
      <c r="C275" s="14">
        <f>IFERROR(__xludf.DUMMYFUNCTION("""COMPUTED_VALUE"""),175.1)</f>
        <v>175.1</v>
      </c>
      <c r="D275" s="15">
        <f>IFERROR(__xludf.DUMMYFUNCTION("""COMPUTED_VALUE"""),-3.254815659094376)</f>
        <v>-3.254815659</v>
      </c>
      <c r="E275" s="15">
        <f>IFERROR(__xludf.DUMMYFUNCTION("""COMPUTED_VALUE"""),-3.388289801336917)</f>
        <v>-3.388289801</v>
      </c>
      <c r="F275" s="15">
        <f>IFERROR(__xludf.DUMMYFUNCTION("""COMPUTED_VALUE"""),-6.643105460431293)</f>
        <v>-6.64310546</v>
      </c>
      <c r="G275" s="17">
        <f>IFERROR(__xludf.DUMMYFUNCTION("""COMPUTED_VALUE"""),-0.2493717865621958)</f>
        <v>-0.2493717866</v>
      </c>
      <c r="H275" s="4"/>
      <c r="I275" s="5" t="s">
        <v>1266</v>
      </c>
      <c r="J275" s="5" t="s">
        <v>824</v>
      </c>
      <c r="K275" s="5">
        <v>175.0</v>
      </c>
      <c r="L275" s="5">
        <v>-4.33203</v>
      </c>
      <c r="M275" s="5">
        <v>-2.31186</v>
      </c>
      <c r="N275" s="5">
        <v>-6.64389</v>
      </c>
      <c r="O275" s="5">
        <v>-0.24941</v>
      </c>
    </row>
    <row r="276">
      <c r="A276" s="18" t="str">
        <f>IFERROR(__xludf.DUMMYFUNCTION("""COMPUTED_VALUE"""),"Ermen Reyes-Napoles")</f>
        <v>Ermen Reyes-Napoles</v>
      </c>
      <c r="B276" s="19" t="str">
        <f>IFERROR(__xludf.DUMMYFUNCTION("""COMPUTED_VALUE"""),"SCJ")</f>
        <v>SCJ</v>
      </c>
      <c r="C276" s="20">
        <f>IFERROR(__xludf.DUMMYFUNCTION("""COMPUTED_VALUE"""),480.1)</f>
        <v>480.1</v>
      </c>
      <c r="D276" s="21">
        <f>IFERROR(__xludf.DUMMYFUNCTION("""COMPUTED_VALUE"""),-4.194142642619308)</f>
        <v>-4.194142643</v>
      </c>
      <c r="E276" s="21">
        <f>IFERROR(__xludf.DUMMYFUNCTION("""COMPUTED_VALUE"""),-2.4808112907920297)</f>
        <v>-2.480811291</v>
      </c>
      <c r="F276" s="21">
        <f>IFERROR(__xludf.DUMMYFUNCTION("""COMPUTED_VALUE"""),-6.674953933411338)</f>
        <v>-6.674953933</v>
      </c>
      <c r="G276" s="23">
        <f>IFERROR(__xludf.DUMMYFUNCTION("""COMPUTED_VALUE"""),-0.6815559054728596)</f>
        <v>-0.6815559055</v>
      </c>
      <c r="H276" s="4"/>
      <c r="I276" s="5" t="s">
        <v>1268</v>
      </c>
      <c r="J276" s="5" t="s">
        <v>724</v>
      </c>
      <c r="K276" s="5">
        <v>480.0</v>
      </c>
      <c r="L276" s="5">
        <v>-4.73219</v>
      </c>
      <c r="M276" s="5">
        <v>-1.94318</v>
      </c>
      <c r="N276" s="5">
        <v>-6.67537</v>
      </c>
      <c r="O276" s="5">
        <v>-0.68162</v>
      </c>
    </row>
    <row r="277">
      <c r="A277" s="12" t="str">
        <f>IFERROR(__xludf.DUMMYFUNCTION("""COMPUTED_VALUE"""),"Jordan Sibert")</f>
        <v>Jordan Sibert</v>
      </c>
      <c r="B277" s="13" t="str">
        <f>IFERROR(__xludf.DUMMYFUNCTION("""COMPUTED_VALUE"""),"FRA")</f>
        <v>FRA</v>
      </c>
      <c r="C277" s="14">
        <f>IFERROR(__xludf.DUMMYFUNCTION("""COMPUTED_VALUE"""),327.9)</f>
        <v>327.9</v>
      </c>
      <c r="D277" s="15">
        <f>IFERROR(__xludf.DUMMYFUNCTION("""COMPUTED_VALUE"""),-1.513228038237947)</f>
        <v>-1.513228038</v>
      </c>
      <c r="E277" s="15">
        <f>IFERROR(__xludf.DUMMYFUNCTION("""COMPUTED_VALUE"""),-5.256740545737719)</f>
        <v>-5.256740546</v>
      </c>
      <c r="F277" s="15">
        <f>IFERROR(__xludf.DUMMYFUNCTION("""COMPUTED_VALUE"""),-6.769968583975666)</f>
        <v>-6.769968584</v>
      </c>
      <c r="G277" s="17">
        <f>IFERROR(__xludf.DUMMYFUNCTION("""COMPUTED_VALUE"""),-0.47847702755561977)</f>
        <v>-0.4784770276</v>
      </c>
      <c r="H277" s="4"/>
      <c r="I277" s="5" t="s">
        <v>1271</v>
      </c>
      <c r="J277" s="5" t="s">
        <v>697</v>
      </c>
      <c r="K277" s="5">
        <v>328.0</v>
      </c>
      <c r="L277" s="5">
        <v>-2.76007</v>
      </c>
      <c r="M277" s="5">
        <v>-4.01164</v>
      </c>
      <c r="N277" s="5">
        <v>-6.77171</v>
      </c>
      <c r="O277" s="5">
        <v>-0.47865</v>
      </c>
    </row>
    <row r="278">
      <c r="A278" s="18" t="str">
        <f>IFERROR(__xludf.DUMMYFUNCTION("""COMPUTED_VALUE"""),"Filip Stanic")</f>
        <v>Filip Stanic</v>
      </c>
      <c r="B278" s="19" t="str">
        <f>IFERROR(__xludf.DUMMYFUNCTION("""COMPUTED_VALUE"""),"BIG")</f>
        <v>BIG</v>
      </c>
      <c r="C278" s="20">
        <f>IFERROR(__xludf.DUMMYFUNCTION("""COMPUTED_VALUE"""),506.2)</f>
        <v>506.2</v>
      </c>
      <c r="D278" s="21">
        <f>IFERROR(__xludf.DUMMYFUNCTION("""COMPUTED_VALUE"""),-4.6036661676042865)</f>
        <v>-4.603666168</v>
      </c>
      <c r="E278" s="21">
        <f>IFERROR(__xludf.DUMMYFUNCTION("""COMPUTED_VALUE"""),-2.1825724440804484)</f>
        <v>-2.182572444</v>
      </c>
      <c r="F278" s="21">
        <f>IFERROR(__xludf.DUMMYFUNCTION("""COMPUTED_VALUE"""),-6.786238611684735)</f>
        <v>-6.786238612</v>
      </c>
      <c r="G278" s="23">
        <f>IFERROR(__xludf.DUMMYFUNCTION("""COMPUTED_VALUE"""),-0.7600843755800044)</f>
        <v>-0.7600843756</v>
      </c>
      <c r="H278" s="4"/>
      <c r="I278" s="5" t="s">
        <v>1272</v>
      </c>
      <c r="J278" s="5" t="s">
        <v>798</v>
      </c>
      <c r="K278" s="5">
        <v>506.0</v>
      </c>
      <c r="L278" s="5">
        <v>-6.65525</v>
      </c>
      <c r="M278" s="5">
        <v>-0.13144</v>
      </c>
      <c r="N278" s="5">
        <v>-6.78669</v>
      </c>
      <c r="O278" s="5">
        <v>-0.76016</v>
      </c>
    </row>
    <row r="279">
      <c r="A279" s="12" t="str">
        <f>IFERROR(__xludf.DUMMYFUNCTION("""COMPUTED_VALUE"""),"Tim Schwartz")</f>
        <v>Tim Schwartz</v>
      </c>
      <c r="B279" s="13" t="str">
        <f>IFERROR(__xludf.DUMMYFUNCTION("""COMPUTED_VALUE"""),"BLB")</f>
        <v>BLB</v>
      </c>
      <c r="C279" s="14">
        <f>IFERROR(__xludf.DUMMYFUNCTION("""COMPUTED_VALUE"""),466.1)</f>
        <v>466.1</v>
      </c>
      <c r="D279" s="15">
        <f>IFERROR(__xludf.DUMMYFUNCTION("""COMPUTED_VALUE"""),-3.5680717986497057)</f>
        <v>-3.568071799</v>
      </c>
      <c r="E279" s="15">
        <f>IFERROR(__xludf.DUMMYFUNCTION("""COMPUTED_VALUE"""),-3.3822225555415657)</f>
        <v>-3.382222556</v>
      </c>
      <c r="F279" s="15">
        <f>IFERROR(__xludf.DUMMYFUNCTION("""COMPUTED_VALUE"""),-6.950294354191271)</f>
        <v>-6.950294354</v>
      </c>
      <c r="G279" s="17">
        <f>IFERROR(__xludf.DUMMYFUNCTION("""COMPUTED_VALUE"""),-0.7128743146177601)</f>
        <v>-0.7128743146</v>
      </c>
      <c r="H279" s="4"/>
      <c r="I279" s="5" t="s">
        <v>1274</v>
      </c>
      <c r="J279" s="5" t="s">
        <v>681</v>
      </c>
      <c r="K279" s="5">
        <v>466.0</v>
      </c>
      <c r="L279" s="5">
        <v>-5.80253</v>
      </c>
      <c r="M279" s="5">
        <v>-1.14846</v>
      </c>
      <c r="N279" s="5">
        <v>-6.951</v>
      </c>
      <c r="O279" s="5">
        <v>-0.71298</v>
      </c>
    </row>
    <row r="280">
      <c r="A280" s="18" t="str">
        <f>IFERROR(__xludf.DUMMYFUNCTION("""COMPUTED_VALUE"""),"Mathis Monninghoff")</f>
        <v>Mathis Monninghoff</v>
      </c>
      <c r="B280" s="19" t="str">
        <f>IFERROR(__xludf.DUMMYFUNCTION("""COMPUTED_VALUE"""),"TUB")</f>
        <v>TUB</v>
      </c>
      <c r="C280" s="20">
        <f>IFERROR(__xludf.DUMMYFUNCTION("""COMPUTED_VALUE"""),744.6)</f>
        <v>744.6</v>
      </c>
      <c r="D280" s="21">
        <f>IFERROR(__xludf.DUMMYFUNCTION("""COMPUTED_VALUE"""),-0.9492728880976925)</f>
        <v>-0.9492728881</v>
      </c>
      <c r="E280" s="21">
        <f>IFERROR(__xludf.DUMMYFUNCTION("""COMPUTED_VALUE"""),-6.039165735103549)</f>
        <v>-6.039165735</v>
      </c>
      <c r="F280" s="21">
        <f>IFERROR(__xludf.DUMMYFUNCTION("""COMPUTED_VALUE"""),-6.988438623201242)</f>
        <v>-6.988438623</v>
      </c>
      <c r="G280" s="23">
        <f>IFERROR(__xludf.DUMMYFUNCTION("""COMPUTED_VALUE"""),-1.1393057455498532)</f>
        <v>-1.139305746</v>
      </c>
      <c r="H280" s="4"/>
      <c r="I280" s="5" t="s">
        <v>1276</v>
      </c>
      <c r="J280" s="5" t="s">
        <v>824</v>
      </c>
      <c r="K280" s="5">
        <v>745.0</v>
      </c>
      <c r="L280" s="5">
        <v>-2.79447</v>
      </c>
      <c r="M280" s="5">
        <v>-4.19498</v>
      </c>
      <c r="N280" s="5">
        <v>-6.98945</v>
      </c>
      <c r="O280" s="5">
        <v>-1.13954</v>
      </c>
    </row>
    <row r="281">
      <c r="A281" s="12" t="str">
        <f>IFERROR(__xludf.DUMMYFUNCTION("""COMPUTED_VALUE"""),"Dennis Kramer")</f>
        <v>Dennis Kramer</v>
      </c>
      <c r="B281" s="13" t="str">
        <f>IFERROR(__xludf.DUMMYFUNCTION("""COMPUTED_VALUE"""),"GOE")</f>
        <v>GOE</v>
      </c>
      <c r="C281" s="14">
        <f>IFERROR(__xludf.DUMMYFUNCTION("""COMPUTED_VALUE"""),289.1)</f>
        <v>289.1</v>
      </c>
      <c r="D281" s="15">
        <f>IFERROR(__xludf.DUMMYFUNCTION("""COMPUTED_VALUE"""),-4.012460857357015)</f>
        <v>-4.012460857</v>
      </c>
      <c r="E281" s="15">
        <f>IFERROR(__xludf.DUMMYFUNCTION("""COMPUTED_VALUE"""),-3.004577536365449)</f>
        <v>-3.004577536</v>
      </c>
      <c r="F281" s="15">
        <f>IFERROR(__xludf.DUMMYFUNCTION("""COMPUTED_VALUE"""),-7.017038393722464)</f>
        <v>-7.017038394</v>
      </c>
      <c r="G281" s="17">
        <f>IFERROR(__xludf.DUMMYFUNCTION("""COMPUTED_VALUE"""),-0.4373259458920479)</f>
        <v>-0.4373259459</v>
      </c>
      <c r="H281" s="4"/>
      <c r="I281" s="5" t="s">
        <v>1278</v>
      </c>
      <c r="J281" s="5" t="s">
        <v>734</v>
      </c>
      <c r="K281" s="5">
        <v>289.0</v>
      </c>
      <c r="L281" s="5">
        <v>-5.07278</v>
      </c>
      <c r="M281" s="5">
        <v>-1.94486</v>
      </c>
      <c r="N281" s="5">
        <v>-7.01764</v>
      </c>
      <c r="O281" s="5">
        <v>-0.43762</v>
      </c>
    </row>
    <row r="282">
      <c r="A282" s="18" t="str">
        <f>IFERROR(__xludf.DUMMYFUNCTION("""COMPUTED_VALUE"""),"Phillipp Heyden")</f>
        <v>Phillipp Heyden</v>
      </c>
      <c r="B282" s="19" t="str">
        <f>IFERROR(__xludf.DUMMYFUNCTION("""COMPUTED_VALUE"""),"TUB")</f>
        <v>TUB</v>
      </c>
      <c r="C282" s="20">
        <f>IFERROR(__xludf.DUMMYFUNCTION("""COMPUTED_VALUE"""),506.6)</f>
        <v>506.6</v>
      </c>
      <c r="D282" s="21">
        <f>IFERROR(__xludf.DUMMYFUNCTION("""COMPUTED_VALUE"""),-2.201677380173868)</f>
        <v>-2.20167738</v>
      </c>
      <c r="E282" s="21">
        <f>IFERROR(__xludf.DUMMYFUNCTION("""COMPUTED_VALUE"""),-5.017556876449035)</f>
        <v>-5.017556876</v>
      </c>
      <c r="F282" s="21">
        <f>IFERROR(__xludf.DUMMYFUNCTION("""COMPUTED_VALUE"""),-7.219234256622903)</f>
        <v>-7.219234257</v>
      </c>
      <c r="G282" s="23">
        <f>IFERROR(__xludf.DUMMYFUNCTION("""COMPUTED_VALUE"""),-0.8110069909477112)</f>
        <v>-0.8110069909</v>
      </c>
      <c r="H282" s="4"/>
      <c r="I282" s="5" t="s">
        <v>1280</v>
      </c>
      <c r="J282" s="5" t="s">
        <v>824</v>
      </c>
      <c r="K282" s="5">
        <v>507.0</v>
      </c>
      <c r="L282" s="5">
        <v>-4.04605</v>
      </c>
      <c r="M282" s="5">
        <v>-3.17352</v>
      </c>
      <c r="N282" s="5">
        <v>-7.21957</v>
      </c>
      <c r="O282" s="5">
        <v>-0.81106</v>
      </c>
    </row>
    <row r="283">
      <c r="A283" s="12" t="str">
        <f>IFERROR(__xludf.DUMMYFUNCTION("""COMPUTED_VALUE"""),"David Taylor")</f>
        <v>David Taylor</v>
      </c>
      <c r="B283" s="13" t="str">
        <f>IFERROR(__xludf.DUMMYFUNCTION("""COMPUTED_VALUE"""),"BIG")</f>
        <v>BIG</v>
      </c>
      <c r="C283" s="14">
        <f>IFERROR(__xludf.DUMMYFUNCTION("""COMPUTED_VALUE"""),234.5)</f>
        <v>234.5</v>
      </c>
      <c r="D283" s="15">
        <f>IFERROR(__xludf.DUMMYFUNCTION("""COMPUTED_VALUE"""),-4.459109421188654)</f>
        <v>-4.459109421</v>
      </c>
      <c r="E283" s="15">
        <f>IFERROR(__xludf.DUMMYFUNCTION("""COMPUTED_VALUE"""),-2.816804519527693)</f>
        <v>-2.81680452</v>
      </c>
      <c r="F283" s="15">
        <f>IFERROR(__xludf.DUMMYFUNCTION("""COMPUTED_VALUE"""),-7.275913940716348)</f>
        <v>-7.275913941</v>
      </c>
      <c r="G283" s="17">
        <f>IFERROR(__xludf.DUMMYFUNCTION("""COMPUTED_VALUE"""),-0.38813773596371076)</f>
        <v>-0.388137736</v>
      </c>
      <c r="H283" s="4"/>
      <c r="I283" s="5" t="s">
        <v>1282</v>
      </c>
      <c r="J283" s="5" t="s">
        <v>798</v>
      </c>
      <c r="K283" s="5">
        <v>235.0</v>
      </c>
      <c r="L283" s="5">
        <v>-6.06291</v>
      </c>
      <c r="M283" s="5">
        <v>-1.21348</v>
      </c>
      <c r="N283" s="5">
        <v>-7.27638</v>
      </c>
      <c r="O283" s="5">
        <v>-0.38817</v>
      </c>
    </row>
    <row r="284">
      <c r="A284" s="18" t="str">
        <f>IFERROR(__xludf.DUMMYFUNCTION("""COMPUTED_VALUE"""),"Darrel Mitchell")</f>
        <v>Darrel Mitchell</v>
      </c>
      <c r="B284" s="19" t="str">
        <f>IFERROR(__xludf.DUMMYFUNCTION("""COMPUTED_VALUE"""),"BIG")</f>
        <v>BIG</v>
      </c>
      <c r="C284" s="20">
        <f>IFERROR(__xludf.DUMMYFUNCTION("""COMPUTED_VALUE"""),263.8)</f>
        <v>263.8</v>
      </c>
      <c r="D284" s="21">
        <f>IFERROR(__xludf.DUMMYFUNCTION("""COMPUTED_VALUE"""),-2.163859457954827)</f>
        <v>-2.163859458</v>
      </c>
      <c r="E284" s="21">
        <f>IFERROR(__xludf.DUMMYFUNCTION("""COMPUTED_VALUE"""),-5.1433786963921175)</f>
        <v>-5.143378696</v>
      </c>
      <c r="F284" s="21">
        <f>IFERROR(__xludf.DUMMYFUNCTION("""COMPUTED_VALUE"""),-7.307238154346945)</f>
        <v>-7.307238154</v>
      </c>
      <c r="G284" s="23">
        <f>IFERROR(__xludf.DUMMYFUNCTION("""COMPUTED_VALUE"""),-0.43922665301146246)</f>
        <v>-0.439226653</v>
      </c>
      <c r="H284" s="4"/>
      <c r="I284" s="5" t="s">
        <v>1284</v>
      </c>
      <c r="J284" s="5" t="s">
        <v>798</v>
      </c>
      <c r="K284" s="5">
        <v>264.0</v>
      </c>
      <c r="L284" s="5">
        <v>-3.96755</v>
      </c>
      <c r="M284" s="5">
        <v>-3.33981</v>
      </c>
      <c r="N284" s="5">
        <v>-7.30736</v>
      </c>
      <c r="O284" s="5">
        <v>-0.43924</v>
      </c>
    </row>
    <row r="285">
      <c r="A285" s="12" t="str">
        <f>IFERROR(__xludf.DUMMYFUNCTION("""COMPUTED_VALUE"""),"Robert Zinn")</f>
        <v>Robert Zinn</v>
      </c>
      <c r="B285" s="13" t="str">
        <f>IFERROR(__xludf.DUMMYFUNCTION("""COMPUTED_VALUE"""),"TUB")</f>
        <v>TUB</v>
      </c>
      <c r="C285" s="14">
        <f>IFERROR(__xludf.DUMMYFUNCTION("""COMPUTED_VALUE"""),286.4)</f>
        <v>286.4</v>
      </c>
      <c r="D285" s="15">
        <f>IFERROR(__xludf.DUMMYFUNCTION("""COMPUTED_VALUE"""),-1.8554416928708921)</f>
        <v>-1.855441693</v>
      </c>
      <c r="E285" s="15">
        <f>IFERROR(__xludf.DUMMYFUNCTION("""COMPUTED_VALUE"""),-5.590490570958294)</f>
        <v>-5.590490571</v>
      </c>
      <c r="F285" s="15">
        <f>IFERROR(__xludf.DUMMYFUNCTION("""COMPUTED_VALUE"""),-7.445932263829186)</f>
        <v>-7.445932264</v>
      </c>
      <c r="G285" s="17">
        <f>IFERROR(__xludf.DUMMYFUNCTION("""COMPUTED_VALUE"""),-0.4784073810552783)</f>
        <v>-0.4784073811</v>
      </c>
      <c r="H285" s="4"/>
      <c r="I285" s="5" t="s">
        <v>1286</v>
      </c>
      <c r="J285" s="5" t="s">
        <v>824</v>
      </c>
      <c r="K285" s="5">
        <v>286.0</v>
      </c>
      <c r="L285" s="5">
        <v>-3.61715</v>
      </c>
      <c r="M285" s="5">
        <v>-3.82988</v>
      </c>
      <c r="N285" s="5">
        <v>-7.44703</v>
      </c>
      <c r="O285" s="5">
        <v>-0.4785</v>
      </c>
    </row>
    <row r="286">
      <c r="A286" s="18" t="str">
        <f>IFERROR(__xludf.DUMMYFUNCTION("""COMPUTED_VALUE"""),"Leon Williams")</f>
        <v>Leon Williams</v>
      </c>
      <c r="B286" s="19" t="str">
        <f>IFERROR(__xludf.DUMMYFUNCTION("""COMPUTED_VALUE"""),"GOE")</f>
        <v>GOE</v>
      </c>
      <c r="C286" s="20">
        <f>IFERROR(__xludf.DUMMYFUNCTION("""COMPUTED_VALUE"""),544.6)</f>
        <v>544.6</v>
      </c>
      <c r="D286" s="21">
        <f>IFERROR(__xludf.DUMMYFUNCTION("""COMPUTED_VALUE"""),-3.4257464453671425)</f>
        <v>-3.425746445</v>
      </c>
      <c r="E286" s="21">
        <f>IFERROR(__xludf.DUMMYFUNCTION("""COMPUTED_VALUE"""),-4.380013772886984)</f>
        <v>-4.380013773</v>
      </c>
      <c r="F286" s="21">
        <f>IFERROR(__xludf.DUMMYFUNCTION("""COMPUTED_VALUE"""),-7.805760218254126)</f>
        <v>-7.805760218</v>
      </c>
      <c r="G286" s="23">
        <f>IFERROR(__xludf.DUMMYFUNCTION("""COMPUTED_VALUE"""),-0.9533370249750722)</f>
        <v>-0.953337025</v>
      </c>
      <c r="H286" s="4"/>
      <c r="I286" s="5" t="s">
        <v>1288</v>
      </c>
      <c r="J286" s="5" t="s">
        <v>734</v>
      </c>
      <c r="K286" s="5">
        <v>545.0</v>
      </c>
      <c r="L286" s="5">
        <v>-4.52689</v>
      </c>
      <c r="M286" s="5">
        <v>-3.28019</v>
      </c>
      <c r="N286" s="5">
        <v>-7.80707</v>
      </c>
      <c r="O286" s="5">
        <v>-0.95408</v>
      </c>
    </row>
    <row r="287">
      <c r="A287" s="12" t="str">
        <f>IFERROR(__xludf.DUMMYFUNCTION("""COMPUTED_VALUE"""),"Ryan Brooks")</f>
        <v>Ryan Brooks</v>
      </c>
      <c r="B287" s="13" t="str">
        <f>IFERROR(__xludf.DUMMYFUNCTION("""COMPUTED_VALUE"""),"TUB")</f>
        <v>TUB</v>
      </c>
      <c r="C287" s="14">
        <f>IFERROR(__xludf.DUMMYFUNCTION("""COMPUTED_VALUE"""),562.1)</f>
        <v>562.1</v>
      </c>
      <c r="D287" s="15">
        <f>IFERROR(__xludf.DUMMYFUNCTION("""COMPUTED_VALUE"""),-2.92077161590522)</f>
        <v>-2.920771616</v>
      </c>
      <c r="E287" s="15">
        <f>IFERROR(__xludf.DUMMYFUNCTION("""COMPUTED_VALUE"""),-5.445139517523588)</f>
        <v>-5.445139518</v>
      </c>
      <c r="F287" s="15">
        <f>IFERROR(__xludf.DUMMYFUNCTION("""COMPUTED_VALUE"""),-8.365911133428808)</f>
        <v>-8.365911133</v>
      </c>
      <c r="G287" s="17">
        <f>IFERROR(__xludf.DUMMYFUNCTION("""COMPUTED_VALUE"""),-1.0975562306753714)</f>
        <v>-1.097556231</v>
      </c>
      <c r="H287" s="4"/>
      <c r="I287" s="5" t="s">
        <v>1290</v>
      </c>
      <c r="J287" s="5" t="s">
        <v>824</v>
      </c>
      <c r="K287" s="5">
        <v>562.0</v>
      </c>
      <c r="L287" s="5">
        <v>-4.765</v>
      </c>
      <c r="M287" s="5">
        <v>-3.60113</v>
      </c>
      <c r="N287" s="5">
        <v>-8.36613</v>
      </c>
      <c r="O287" s="5">
        <v>-1.09759</v>
      </c>
    </row>
    <row r="288">
      <c r="A288" s="18" t="str">
        <f>IFERROR(__xludf.DUMMYFUNCTION("""COMPUTED_VALUE"""),"Malcolm Lee")</f>
        <v>Malcolm Lee</v>
      </c>
      <c r="B288" s="19" t="str">
        <f>IFERROR(__xludf.DUMMYFUNCTION("""COMPUTED_VALUE"""),"TUB")</f>
        <v>TUB</v>
      </c>
      <c r="C288" s="20">
        <f>IFERROR(__xludf.DUMMYFUNCTION("""COMPUTED_VALUE"""),356.1)</f>
        <v>356.1</v>
      </c>
      <c r="D288" s="21">
        <f>IFERROR(__xludf.DUMMYFUNCTION("""COMPUTED_VALUE"""),-2.5985774400173822)</f>
        <v>-2.59857744</v>
      </c>
      <c r="E288" s="21">
        <f>IFERROR(__xludf.DUMMYFUNCTION("""COMPUTED_VALUE"""),-5.769857478512283)</f>
        <v>-5.769857479</v>
      </c>
      <c r="F288" s="21">
        <f>IFERROR(__xludf.DUMMYFUNCTION("""COMPUTED_VALUE"""),-8.368434918529665)</f>
        <v>-8.368434919</v>
      </c>
      <c r="G288" s="23">
        <f>IFERROR(__xludf.DUMMYFUNCTION("""COMPUTED_VALUE"""),-0.69559637676058)</f>
        <v>-0.6955963768</v>
      </c>
      <c r="H288" s="4"/>
      <c r="I288" s="5" t="s">
        <v>1185</v>
      </c>
      <c r="J288" s="5" t="s">
        <v>824</v>
      </c>
      <c r="K288" s="5">
        <v>356.0</v>
      </c>
      <c r="L288" s="5">
        <v>-4.44229</v>
      </c>
      <c r="M288" s="5">
        <v>-3.92594</v>
      </c>
      <c r="N288" s="5">
        <v>-8.36822</v>
      </c>
      <c r="O288" s="5">
        <v>-0.69557</v>
      </c>
    </row>
    <row r="289">
      <c r="A289" s="12" t="str">
        <f>IFERROR(__xludf.DUMMYFUNCTION("""COMPUTED_VALUE"""),"Dominique Johnson")</f>
        <v>Dominique Johnson</v>
      </c>
      <c r="B289" s="13" t="str">
        <f>IFERROR(__xludf.DUMMYFUNCTION("""COMPUTED_VALUE"""),"EIS")</f>
        <v>EIS</v>
      </c>
      <c r="C289" s="14">
        <f>IFERROR(__xludf.DUMMYFUNCTION("""COMPUTED_VALUE"""),455.1)</f>
        <v>455.1</v>
      </c>
      <c r="D289" s="15">
        <f>IFERROR(__xludf.DUMMYFUNCTION("""COMPUTED_VALUE"""),-5.722611118165576)</f>
        <v>-5.722611118</v>
      </c>
      <c r="E289" s="15">
        <f>IFERROR(__xludf.DUMMYFUNCTION("""COMPUTED_VALUE"""),-2.758376898203478)</f>
        <v>-2.758376898</v>
      </c>
      <c r="F289" s="15">
        <f>IFERROR(__xludf.DUMMYFUNCTION("""COMPUTED_VALUE"""),-8.480988016369054)</f>
        <v>-8.480988016</v>
      </c>
      <c r="G289" s="17">
        <f>IFERROR(__xludf.DUMMYFUNCTION("""COMPUTED_VALUE"""),-0.8928818692605869)</f>
        <v>-0.8928818693</v>
      </c>
      <c r="H289" s="4"/>
      <c r="I289" s="5" t="s">
        <v>1294</v>
      </c>
      <c r="J289" s="5" t="s">
        <v>684</v>
      </c>
      <c r="K289" s="5">
        <v>455.0</v>
      </c>
      <c r="L289" s="5">
        <v>-6.51174</v>
      </c>
      <c r="M289" s="5">
        <v>-1.96991</v>
      </c>
      <c r="N289" s="5">
        <v>-8.48165</v>
      </c>
      <c r="O289" s="5">
        <v>-0.89297</v>
      </c>
    </row>
    <row r="290">
      <c r="A290" s="18" t="str">
        <f>IFERROR(__xludf.DUMMYFUNCTION("""COMPUTED_VALUE"""),"Tre Bussey")</f>
        <v>Tre Bussey</v>
      </c>
      <c r="B290" s="19" t="str">
        <f>IFERROR(__xludf.DUMMYFUNCTION("""COMPUTED_VALUE"""),"EIS")</f>
        <v>EIS</v>
      </c>
      <c r="C290" s="20">
        <f>IFERROR(__xludf.DUMMYFUNCTION("""COMPUTED_VALUE"""),416.9)</f>
        <v>416.9</v>
      </c>
      <c r="D290" s="21">
        <f>IFERROR(__xludf.DUMMYFUNCTION("""COMPUTED_VALUE"""),-7.589875958184807)</f>
        <v>-7.589875958</v>
      </c>
      <c r="E290" s="21">
        <f>IFERROR(__xludf.DUMMYFUNCTION("""COMPUTED_VALUE"""),-4.316324824409133)</f>
        <v>-4.316324824</v>
      </c>
      <c r="F290" s="21">
        <f>IFERROR(__xludf.DUMMYFUNCTION("""COMPUTED_VALUE"""),-11.90620078259394)</f>
        <v>-11.90620078</v>
      </c>
      <c r="G290" s="23">
        <f>IFERROR(__xludf.DUMMYFUNCTION("""COMPUTED_VALUE"""),-1.250215767088165)</f>
        <v>-1.250215767</v>
      </c>
      <c r="H290" s="4"/>
      <c r="I290" s="5" t="s">
        <v>1295</v>
      </c>
      <c r="J290" s="5" t="s">
        <v>684</v>
      </c>
      <c r="K290" s="5">
        <v>417.0</v>
      </c>
      <c r="L290" s="5">
        <v>-8.37768</v>
      </c>
      <c r="M290" s="5">
        <v>-3.52809</v>
      </c>
      <c r="N290" s="5">
        <v>-11.90577</v>
      </c>
      <c r="O290" s="5">
        <v>-1.25016</v>
      </c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D517" s="25"/>
      <c r="E517" s="25"/>
      <c r="F517" s="25"/>
      <c r="G517" s="26"/>
      <c r="H517" s="4"/>
    </row>
    <row r="518">
      <c r="D518" s="25"/>
      <c r="E518" s="25"/>
      <c r="F518" s="25"/>
      <c r="G518" s="26"/>
      <c r="H518" s="4"/>
    </row>
    <row r="519">
      <c r="D519" s="25"/>
      <c r="E519" s="25"/>
      <c r="F519" s="25"/>
      <c r="G519" s="26"/>
      <c r="H519" s="4"/>
    </row>
    <row r="520">
      <c r="D520" s="25"/>
      <c r="E520" s="25"/>
      <c r="F520" s="25"/>
      <c r="G520" s="26"/>
      <c r="H520" s="4"/>
    </row>
    <row r="521">
      <c r="D521" s="25"/>
      <c r="E521" s="25"/>
      <c r="F521" s="25"/>
      <c r="G521" s="26"/>
      <c r="H521" s="4"/>
    </row>
    <row r="522">
      <c r="D522" s="25"/>
      <c r="E522" s="25"/>
      <c r="F522" s="25"/>
      <c r="G522" s="26"/>
      <c r="H522" s="4"/>
    </row>
    <row r="523">
      <c r="D523" s="25"/>
      <c r="E523" s="25"/>
      <c r="F523" s="25"/>
      <c r="G523" s="26"/>
      <c r="H523" s="4"/>
    </row>
    <row r="524">
      <c r="D524" s="25"/>
      <c r="E524" s="25"/>
      <c r="F524" s="25"/>
      <c r="G524" s="26"/>
      <c r="H524" s="4"/>
    </row>
    <row r="525">
      <c r="D525" s="25"/>
      <c r="E525" s="25"/>
      <c r="F525" s="25"/>
      <c r="G525" s="26"/>
      <c r="H525" s="4"/>
    </row>
    <row r="526">
      <c r="D526" s="25"/>
      <c r="E526" s="25"/>
      <c r="F526" s="25"/>
      <c r="G526" s="26"/>
      <c r="H526" s="4"/>
    </row>
    <row r="527">
      <c r="D527" s="25"/>
      <c r="E527" s="25"/>
      <c r="F527" s="25"/>
      <c r="G527" s="26"/>
      <c r="H527" s="4"/>
    </row>
    <row r="528">
      <c r="D528" s="25"/>
      <c r="E528" s="25"/>
      <c r="F528" s="25"/>
      <c r="G528" s="26"/>
      <c r="H528" s="4"/>
    </row>
    <row r="529">
      <c r="D529" s="25"/>
      <c r="E529" s="25"/>
      <c r="F529" s="25"/>
      <c r="G529" s="26"/>
      <c r="H529" s="4"/>
    </row>
    <row r="530">
      <c r="D530" s="25"/>
      <c r="E530" s="25"/>
      <c r="F530" s="25"/>
      <c r="G530" s="26"/>
      <c r="H530" s="4"/>
    </row>
    <row r="531">
      <c r="D531" s="25"/>
      <c r="E531" s="25"/>
      <c r="F531" s="25"/>
      <c r="G531" s="26"/>
      <c r="H531" s="4"/>
    </row>
    <row r="532">
      <c r="D532" s="25"/>
      <c r="E532" s="25"/>
      <c r="F532" s="25"/>
      <c r="G532" s="26"/>
      <c r="H532" s="4"/>
    </row>
    <row r="533">
      <c r="D533" s="25"/>
      <c r="E533" s="25"/>
      <c r="F533" s="25"/>
      <c r="G533" s="26"/>
      <c r="H533" s="4"/>
    </row>
    <row r="534">
      <c r="D534" s="25"/>
      <c r="E534" s="25"/>
      <c r="F534" s="25"/>
      <c r="G534" s="26"/>
      <c r="H534" s="4"/>
    </row>
    <row r="535">
      <c r="D535" s="25"/>
      <c r="E535" s="25"/>
      <c r="F535" s="25"/>
      <c r="G535" s="26"/>
      <c r="H535" s="4"/>
    </row>
    <row r="536">
      <c r="D536" s="25"/>
      <c r="E536" s="25"/>
      <c r="F536" s="25"/>
      <c r="G536" s="26"/>
      <c r="H536" s="4"/>
    </row>
    <row r="537">
      <c r="D537" s="25"/>
      <c r="E537" s="25"/>
      <c r="F537" s="25"/>
      <c r="G537" s="26"/>
      <c r="H537" s="4"/>
    </row>
    <row r="538">
      <c r="D538" s="25"/>
      <c r="E538" s="25"/>
      <c r="F538" s="25"/>
      <c r="G538" s="26"/>
      <c r="H538" s="4"/>
    </row>
    <row r="539">
      <c r="D539" s="25"/>
      <c r="E539" s="25"/>
      <c r="F539" s="25"/>
      <c r="G539" s="26"/>
      <c r="H539" s="4"/>
    </row>
    <row r="540">
      <c r="D540" s="25"/>
      <c r="E540" s="25"/>
      <c r="F540" s="25"/>
      <c r="G540" s="26"/>
      <c r="H540" s="4"/>
    </row>
    <row r="541">
      <c r="D541" s="25"/>
      <c r="E541" s="25"/>
      <c r="F541" s="25"/>
      <c r="G541" s="26"/>
      <c r="H541" s="4"/>
    </row>
    <row r="542">
      <c r="D542" s="25"/>
      <c r="E542" s="25"/>
      <c r="F542" s="25"/>
      <c r="G542" s="26"/>
      <c r="H542" s="4"/>
    </row>
    <row r="543">
      <c r="D543" s="25"/>
      <c r="E543" s="25"/>
      <c r="F543" s="25"/>
      <c r="G543" s="26"/>
      <c r="H543" s="4"/>
    </row>
    <row r="544">
      <c r="D544" s="25"/>
      <c r="E544" s="25"/>
      <c r="F544" s="25"/>
      <c r="G544" s="26"/>
      <c r="H544" s="4"/>
    </row>
    <row r="545">
      <c r="D545" s="25"/>
      <c r="E545" s="25"/>
      <c r="F545" s="25"/>
      <c r="G545" s="26"/>
      <c r="H545" s="4"/>
    </row>
    <row r="546">
      <c r="D546" s="25"/>
      <c r="E546" s="25"/>
      <c r="F546" s="25"/>
      <c r="G546" s="26"/>
      <c r="H546" s="4"/>
    </row>
    <row r="547">
      <c r="D547" s="25"/>
      <c r="E547" s="25"/>
      <c r="F547" s="25"/>
      <c r="G547" s="26"/>
      <c r="H547" s="4"/>
    </row>
    <row r="548">
      <c r="D548" s="25"/>
      <c r="E548" s="25"/>
      <c r="F548" s="25"/>
      <c r="G548" s="26"/>
      <c r="H548" s="4"/>
    </row>
    <row r="549">
      <c r="D549" s="25"/>
      <c r="E549" s="25"/>
      <c r="F549" s="25"/>
      <c r="G549" s="26"/>
      <c r="H549" s="4"/>
    </row>
    <row r="550">
      <c r="D550" s="25"/>
      <c r="E550" s="25"/>
      <c r="F550" s="25"/>
      <c r="G550" s="26"/>
      <c r="H550" s="4"/>
    </row>
    <row r="551">
      <c r="D551" s="25"/>
      <c r="E551" s="25"/>
      <c r="F551" s="25"/>
      <c r="G551" s="26"/>
      <c r="H551" s="4"/>
    </row>
    <row r="552">
      <c r="D552" s="25"/>
      <c r="E552" s="25"/>
      <c r="F552" s="25"/>
      <c r="G552" s="26"/>
      <c r="H552" s="4"/>
    </row>
    <row r="553">
      <c r="D553" s="25"/>
      <c r="E553" s="25"/>
      <c r="F553" s="25"/>
      <c r="G553" s="26"/>
      <c r="H553" s="4"/>
    </row>
    <row r="554">
      <c r="D554" s="25"/>
      <c r="E554" s="25"/>
      <c r="F554" s="25"/>
      <c r="G554" s="26"/>
      <c r="H554" s="4"/>
    </row>
    <row r="555">
      <c r="D555" s="25"/>
      <c r="E555" s="25"/>
      <c r="F555" s="25"/>
      <c r="G555" s="26"/>
      <c r="H555" s="4"/>
    </row>
    <row r="556">
      <c r="D556" s="25"/>
      <c r="E556" s="25"/>
      <c r="F556" s="25"/>
      <c r="G556" s="26"/>
      <c r="H556" s="4"/>
    </row>
    <row r="557">
      <c r="D557" s="25"/>
      <c r="E557" s="25"/>
      <c r="F557" s="25"/>
      <c r="G557" s="26"/>
      <c r="H557" s="4"/>
    </row>
    <row r="558">
      <c r="D558" s="25"/>
      <c r="E558" s="25"/>
      <c r="F558" s="25"/>
      <c r="G558" s="26"/>
      <c r="H558" s="4"/>
    </row>
    <row r="559">
      <c r="D559" s="25"/>
      <c r="E559" s="25"/>
      <c r="F559" s="25"/>
      <c r="G559" s="26"/>
      <c r="H559" s="4"/>
    </row>
    <row r="560">
      <c r="D560" s="25"/>
      <c r="E560" s="25"/>
      <c r="F560" s="25"/>
      <c r="G560" s="26"/>
      <c r="H560" s="4"/>
    </row>
    <row r="561">
      <c r="D561" s="25"/>
      <c r="E561" s="25"/>
      <c r="F561" s="25"/>
      <c r="G561" s="26"/>
      <c r="H561" s="4"/>
    </row>
    <row r="562">
      <c r="D562" s="25"/>
      <c r="E562" s="25"/>
      <c r="F562" s="25"/>
      <c r="G562" s="26"/>
      <c r="H562" s="4"/>
    </row>
    <row r="563">
      <c r="D563" s="25"/>
      <c r="E563" s="25"/>
      <c r="F563" s="25"/>
      <c r="G563" s="26"/>
      <c r="H563" s="4"/>
    </row>
    <row r="564">
      <c r="D564" s="25"/>
      <c r="E564" s="25"/>
      <c r="F564" s="25"/>
      <c r="G564" s="26"/>
      <c r="H564" s="4"/>
    </row>
    <row r="565">
      <c r="D565" s="25"/>
      <c r="E565" s="25"/>
      <c r="F565" s="25"/>
      <c r="G565" s="26"/>
      <c r="H565" s="4"/>
    </row>
    <row r="566">
      <c r="D566" s="25"/>
      <c r="E566" s="25"/>
      <c r="F566" s="25"/>
      <c r="G566" s="26"/>
      <c r="H566" s="4"/>
    </row>
    <row r="567">
      <c r="D567" s="25"/>
      <c r="E567" s="25"/>
      <c r="F567" s="25"/>
      <c r="G567" s="26"/>
      <c r="H567" s="4"/>
    </row>
    <row r="568">
      <c r="D568" s="25"/>
      <c r="E568" s="25"/>
      <c r="F568" s="25"/>
      <c r="G568" s="26"/>
      <c r="H568" s="4"/>
    </row>
    <row r="569">
      <c r="D569" s="25"/>
      <c r="E569" s="25"/>
      <c r="F569" s="25"/>
      <c r="G569" s="26"/>
      <c r="H569" s="4"/>
    </row>
    <row r="570">
      <c r="D570" s="25"/>
      <c r="E570" s="25"/>
      <c r="F570" s="25"/>
      <c r="G570" s="26"/>
      <c r="H570" s="4"/>
    </row>
    <row r="571">
      <c r="D571" s="25"/>
      <c r="E571" s="25"/>
      <c r="F571" s="25"/>
      <c r="G571" s="26"/>
      <c r="H571" s="4"/>
    </row>
    <row r="572">
      <c r="D572" s="25"/>
      <c r="E572" s="25"/>
      <c r="F572" s="25"/>
      <c r="G572" s="26"/>
      <c r="H572" s="4"/>
    </row>
    <row r="573">
      <c r="D573" s="25"/>
      <c r="E573" s="25"/>
      <c r="F573" s="25"/>
      <c r="G573" s="26"/>
      <c r="H573" s="4"/>
    </row>
    <row r="574">
      <c r="D574" s="25"/>
      <c r="E574" s="25"/>
      <c r="F574" s="25"/>
      <c r="G574" s="26"/>
      <c r="H574" s="4"/>
    </row>
    <row r="575">
      <c r="D575" s="25"/>
      <c r="E575" s="25"/>
      <c r="F575" s="25"/>
      <c r="G575" s="26"/>
      <c r="H575" s="4"/>
    </row>
    <row r="576">
      <c r="D576" s="25"/>
      <c r="E576" s="25"/>
      <c r="F576" s="25"/>
      <c r="G576" s="26"/>
      <c r="H576" s="4"/>
    </row>
    <row r="577">
      <c r="D577" s="25"/>
      <c r="E577" s="25"/>
      <c r="F577" s="25"/>
      <c r="G577" s="26"/>
      <c r="H577" s="4"/>
    </row>
    <row r="578">
      <c r="D578" s="25"/>
      <c r="E578" s="25"/>
      <c r="F578" s="25"/>
      <c r="G578" s="26"/>
      <c r="H578" s="4"/>
    </row>
    <row r="579">
      <c r="D579" s="25"/>
      <c r="E579" s="25"/>
      <c r="F579" s="25"/>
      <c r="G579" s="26"/>
      <c r="H579" s="4"/>
    </row>
    <row r="580">
      <c r="D580" s="25"/>
      <c r="E580" s="25"/>
      <c r="F580" s="25"/>
      <c r="G580" s="26"/>
      <c r="H580" s="4"/>
    </row>
    <row r="581">
      <c r="D581" s="25"/>
      <c r="E581" s="25"/>
      <c r="F581" s="25"/>
      <c r="G581" s="26"/>
      <c r="H581" s="4"/>
    </row>
    <row r="582">
      <c r="D582" s="25"/>
      <c r="E582" s="25"/>
      <c r="F582" s="25"/>
      <c r="G582" s="26"/>
      <c r="H582" s="4"/>
    </row>
    <row r="583">
      <c r="D583" s="25"/>
      <c r="E583" s="25"/>
      <c r="F583" s="25"/>
      <c r="G583" s="26"/>
      <c r="H583" s="4"/>
    </row>
    <row r="584">
      <c r="D584" s="25"/>
      <c r="E584" s="25"/>
      <c r="F584" s="25"/>
      <c r="G584" s="26"/>
      <c r="H584" s="4"/>
    </row>
    <row r="585">
      <c r="D585" s="25"/>
      <c r="E585" s="25"/>
      <c r="F585" s="25"/>
      <c r="G585" s="26"/>
      <c r="H585" s="4"/>
    </row>
    <row r="586">
      <c r="D586" s="25"/>
      <c r="E586" s="25"/>
      <c r="F586" s="25"/>
      <c r="G586" s="26"/>
      <c r="H586" s="4"/>
    </row>
    <row r="587">
      <c r="D587" s="25"/>
      <c r="E587" s="25"/>
      <c r="F587" s="25"/>
      <c r="G587" s="26"/>
      <c r="H587" s="4"/>
    </row>
    <row r="588">
      <c r="D588" s="25"/>
      <c r="E588" s="25"/>
      <c r="F588" s="25"/>
      <c r="G588" s="26"/>
      <c r="H588" s="4"/>
    </row>
    <row r="589">
      <c r="D589" s="25"/>
      <c r="E589" s="25"/>
      <c r="F589" s="25"/>
      <c r="G589" s="26"/>
      <c r="H589" s="4"/>
    </row>
    <row r="590">
      <c r="D590" s="25"/>
      <c r="E590" s="25"/>
      <c r="F590" s="25"/>
      <c r="G590" s="26"/>
      <c r="H590" s="4"/>
    </row>
    <row r="591">
      <c r="D591" s="25"/>
      <c r="E591" s="25"/>
      <c r="F591" s="25"/>
      <c r="G591" s="26"/>
      <c r="H591" s="4"/>
    </row>
    <row r="592">
      <c r="D592" s="25"/>
      <c r="E592" s="25"/>
      <c r="F592" s="25"/>
      <c r="G592" s="26"/>
      <c r="H592" s="4"/>
    </row>
    <row r="593">
      <c r="D593" s="25"/>
      <c r="E593" s="25"/>
      <c r="F593" s="25"/>
      <c r="G593" s="26"/>
      <c r="H593" s="4"/>
    </row>
    <row r="594">
      <c r="D594" s="25"/>
      <c r="E594" s="25"/>
      <c r="F594" s="25"/>
      <c r="G594" s="26"/>
      <c r="H594" s="4"/>
    </row>
    <row r="595">
      <c r="D595" s="25"/>
      <c r="E595" s="25"/>
      <c r="F595" s="25"/>
      <c r="G595" s="26"/>
      <c r="H595" s="4"/>
    </row>
    <row r="596">
      <c r="D596" s="25"/>
      <c r="E596" s="25"/>
      <c r="F596" s="25"/>
      <c r="G596" s="26"/>
      <c r="H596" s="4"/>
    </row>
    <row r="597">
      <c r="D597" s="25"/>
      <c r="E597" s="25"/>
      <c r="F597" s="25"/>
      <c r="G597" s="26"/>
      <c r="H597" s="4"/>
    </row>
    <row r="598">
      <c r="D598" s="25"/>
      <c r="E598" s="25"/>
      <c r="F598" s="25"/>
      <c r="G598" s="26"/>
      <c r="H598" s="4"/>
    </row>
    <row r="599">
      <c r="D599" s="25"/>
      <c r="E599" s="25"/>
      <c r="F599" s="25"/>
      <c r="G599" s="26"/>
      <c r="H599" s="4"/>
    </row>
    <row r="600">
      <c r="D600" s="25"/>
      <c r="E600" s="25"/>
      <c r="F600" s="25"/>
      <c r="G600" s="26"/>
      <c r="H600" s="4"/>
    </row>
    <row r="601">
      <c r="D601" s="25"/>
      <c r="E601" s="25"/>
      <c r="F601" s="25"/>
      <c r="G601" s="26"/>
      <c r="H601" s="4"/>
    </row>
    <row r="602">
      <c r="D602" s="25"/>
      <c r="E602" s="25"/>
      <c r="F602" s="25"/>
      <c r="G602" s="26"/>
      <c r="H602" s="4"/>
    </row>
    <row r="603">
      <c r="D603" s="25"/>
      <c r="E603" s="25"/>
      <c r="F603" s="25"/>
      <c r="G603" s="26"/>
      <c r="H603" s="4"/>
    </row>
    <row r="604">
      <c r="D604" s="25"/>
      <c r="E604" s="25"/>
      <c r="F604" s="25"/>
      <c r="G604" s="26"/>
      <c r="H604" s="4"/>
    </row>
    <row r="605">
      <c r="D605" s="25"/>
      <c r="E605" s="25"/>
      <c r="F605" s="25"/>
      <c r="G605" s="26"/>
      <c r="H605" s="4"/>
    </row>
    <row r="606">
      <c r="D606" s="25"/>
      <c r="E606" s="25"/>
      <c r="F606" s="25"/>
      <c r="G606" s="26"/>
      <c r="H606" s="4"/>
    </row>
    <row r="607">
      <c r="D607" s="25"/>
      <c r="E607" s="25"/>
      <c r="F607" s="25"/>
      <c r="G607" s="26"/>
      <c r="H607" s="4"/>
    </row>
    <row r="608">
      <c r="D608" s="25"/>
      <c r="E608" s="25"/>
      <c r="F608" s="25"/>
      <c r="G608" s="26"/>
      <c r="H608" s="4"/>
    </row>
    <row r="609">
      <c r="D609" s="25"/>
      <c r="E609" s="25"/>
      <c r="F609" s="25"/>
      <c r="G609" s="26"/>
      <c r="H609" s="4"/>
    </row>
    <row r="610">
      <c r="D610" s="25"/>
      <c r="E610" s="25"/>
      <c r="F610" s="25"/>
      <c r="G610" s="26"/>
      <c r="H610" s="4"/>
    </row>
    <row r="611">
      <c r="D611" s="25"/>
      <c r="E611" s="25"/>
      <c r="F611" s="25"/>
      <c r="G611" s="26"/>
      <c r="H611" s="4"/>
    </row>
    <row r="612">
      <c r="D612" s="25"/>
      <c r="E612" s="25"/>
      <c r="F612" s="25"/>
      <c r="G612" s="26"/>
      <c r="H612" s="4"/>
    </row>
    <row r="613">
      <c r="D613" s="25"/>
      <c r="E613" s="25"/>
      <c r="F613" s="25"/>
      <c r="G613" s="26"/>
      <c r="H613" s="4"/>
    </row>
    <row r="614">
      <c r="D614" s="25"/>
      <c r="E614" s="25"/>
      <c r="F614" s="25"/>
      <c r="G614" s="26"/>
      <c r="H614" s="4"/>
    </row>
    <row r="615">
      <c r="D615" s="25"/>
      <c r="E615" s="25"/>
      <c r="F615" s="25"/>
      <c r="G615" s="26"/>
      <c r="H615" s="4"/>
    </row>
    <row r="616">
      <c r="D616" s="25"/>
      <c r="E616" s="25"/>
      <c r="F616" s="25"/>
      <c r="G616" s="26"/>
      <c r="H616" s="4"/>
    </row>
    <row r="617">
      <c r="D617" s="25"/>
      <c r="E617" s="25"/>
      <c r="F617" s="25"/>
      <c r="G617" s="26"/>
      <c r="H617" s="4"/>
    </row>
    <row r="618">
      <c r="D618" s="25"/>
      <c r="E618" s="25"/>
      <c r="F618" s="25"/>
      <c r="G618" s="26"/>
      <c r="H618" s="4"/>
    </row>
    <row r="619">
      <c r="D619" s="25"/>
      <c r="E619" s="25"/>
      <c r="F619" s="25"/>
      <c r="G619" s="26"/>
      <c r="H619" s="4"/>
    </row>
    <row r="620">
      <c r="D620" s="25"/>
      <c r="E620" s="25"/>
      <c r="F620" s="25"/>
      <c r="G620" s="26"/>
      <c r="H620" s="4"/>
    </row>
    <row r="621">
      <c r="D621" s="25"/>
      <c r="E621" s="25"/>
      <c r="F621" s="25"/>
      <c r="G621" s="26"/>
      <c r="H621" s="4"/>
    </row>
    <row r="622">
      <c r="D622" s="25"/>
      <c r="E622" s="25"/>
      <c r="F622" s="25"/>
      <c r="G622" s="26"/>
      <c r="H622" s="4"/>
    </row>
    <row r="623">
      <c r="D623" s="25"/>
      <c r="E623" s="25"/>
      <c r="F623" s="25"/>
      <c r="G623" s="26"/>
      <c r="H623" s="4"/>
    </row>
    <row r="624">
      <c r="D624" s="25"/>
      <c r="E624" s="25"/>
      <c r="F624" s="25"/>
      <c r="G624" s="26"/>
      <c r="H624" s="4"/>
    </row>
    <row r="625">
      <c r="D625" s="25"/>
      <c r="E625" s="25"/>
      <c r="F625" s="25"/>
      <c r="G625" s="26"/>
      <c r="H625" s="4"/>
    </row>
    <row r="626">
      <c r="D626" s="25"/>
      <c r="E626" s="25"/>
      <c r="F626" s="25"/>
      <c r="G626" s="26"/>
      <c r="H626" s="4"/>
    </row>
    <row r="627">
      <c r="D627" s="25"/>
      <c r="E627" s="25"/>
      <c r="F627" s="25"/>
      <c r="G627" s="26"/>
      <c r="H627" s="4"/>
    </row>
    <row r="628">
      <c r="D628" s="25"/>
      <c r="E628" s="25"/>
      <c r="F628" s="25"/>
      <c r="G628" s="26"/>
      <c r="H628" s="4"/>
    </row>
    <row r="629">
      <c r="D629" s="25"/>
      <c r="E629" s="25"/>
      <c r="F629" s="25"/>
      <c r="G629" s="26"/>
      <c r="H629" s="4"/>
    </row>
    <row r="630">
      <c r="D630" s="25"/>
      <c r="E630" s="25"/>
      <c r="F630" s="25"/>
      <c r="G630" s="26"/>
      <c r="H630" s="4"/>
    </row>
    <row r="631">
      <c r="D631" s="25"/>
      <c r="E631" s="25"/>
      <c r="F631" s="25"/>
      <c r="G631" s="26"/>
      <c r="H631" s="4"/>
    </row>
    <row r="632">
      <c r="D632" s="25"/>
      <c r="E632" s="25"/>
      <c r="F632" s="25"/>
      <c r="G632" s="26"/>
      <c r="H632" s="4"/>
    </row>
    <row r="633">
      <c r="D633" s="25"/>
      <c r="E633" s="25"/>
      <c r="F633" s="25"/>
      <c r="G633" s="26"/>
      <c r="H633" s="4"/>
    </row>
    <row r="634">
      <c r="D634" s="25"/>
      <c r="E634" s="25"/>
      <c r="F634" s="25"/>
      <c r="G634" s="26"/>
      <c r="H634" s="4"/>
    </row>
    <row r="635">
      <c r="D635" s="25"/>
      <c r="E635" s="25"/>
      <c r="F635" s="25"/>
      <c r="G635" s="26"/>
      <c r="H635" s="4"/>
    </row>
    <row r="636">
      <c r="D636" s="25"/>
      <c r="E636" s="25"/>
      <c r="F636" s="25"/>
      <c r="G636" s="26"/>
      <c r="H636" s="4"/>
    </row>
    <row r="637">
      <c r="D637" s="25"/>
      <c r="E637" s="25"/>
      <c r="F637" s="25"/>
      <c r="G637" s="26"/>
      <c r="H637" s="4"/>
    </row>
    <row r="638">
      <c r="D638" s="25"/>
      <c r="E638" s="25"/>
      <c r="F638" s="25"/>
      <c r="G638" s="26"/>
      <c r="H638" s="4"/>
    </row>
    <row r="639">
      <c r="D639" s="25"/>
      <c r="E639" s="25"/>
      <c r="F639" s="25"/>
      <c r="G639" s="26"/>
      <c r="H639" s="4"/>
    </row>
    <row r="640">
      <c r="D640" s="25"/>
      <c r="E640" s="25"/>
      <c r="F640" s="25"/>
      <c r="G640" s="26"/>
      <c r="H640" s="4"/>
    </row>
    <row r="641">
      <c r="D641" s="25"/>
      <c r="E641" s="25"/>
      <c r="F641" s="25"/>
      <c r="G641" s="26"/>
      <c r="H641" s="4"/>
    </row>
    <row r="642">
      <c r="D642" s="25"/>
      <c r="E642" s="25"/>
      <c r="F642" s="25"/>
      <c r="G642" s="26"/>
      <c r="H642" s="4"/>
    </row>
    <row r="643">
      <c r="D643" s="25"/>
      <c r="E643" s="25"/>
      <c r="F643" s="25"/>
      <c r="G643" s="26"/>
      <c r="H643" s="4"/>
    </row>
    <row r="644">
      <c r="D644" s="25"/>
      <c r="E644" s="25"/>
      <c r="F644" s="25"/>
      <c r="G644" s="26"/>
      <c r="H644" s="4"/>
    </row>
    <row r="645">
      <c r="D645" s="25"/>
      <c r="E645" s="25"/>
      <c r="F645" s="25"/>
      <c r="G645" s="26"/>
      <c r="H645" s="4"/>
    </row>
    <row r="646">
      <c r="D646" s="25"/>
      <c r="E646" s="25"/>
      <c r="F646" s="25"/>
      <c r="G646" s="26"/>
      <c r="H646" s="4"/>
    </row>
    <row r="647">
      <c r="D647" s="25"/>
      <c r="E647" s="25"/>
      <c r="F647" s="25"/>
      <c r="G647" s="26"/>
      <c r="H647" s="4"/>
    </row>
    <row r="648">
      <c r="D648" s="25"/>
      <c r="E648" s="25"/>
      <c r="F648" s="25"/>
      <c r="G648" s="26"/>
      <c r="H648" s="4"/>
    </row>
    <row r="649">
      <c r="D649" s="25"/>
      <c r="E649" s="25"/>
      <c r="F649" s="25"/>
      <c r="G649" s="26"/>
      <c r="H649" s="4"/>
    </row>
    <row r="650">
      <c r="D650" s="25"/>
      <c r="E650" s="25"/>
      <c r="F650" s="25"/>
      <c r="G650" s="26"/>
      <c r="H650" s="4"/>
    </row>
    <row r="651">
      <c r="D651" s="25"/>
      <c r="E651" s="25"/>
      <c r="F651" s="25"/>
      <c r="G651" s="26"/>
      <c r="H651" s="4"/>
    </row>
    <row r="652">
      <c r="D652" s="25"/>
      <c r="E652" s="25"/>
      <c r="F652" s="25"/>
      <c r="G652" s="26"/>
      <c r="H652" s="4"/>
    </row>
    <row r="653">
      <c r="D653" s="25"/>
      <c r="E653" s="25"/>
      <c r="F653" s="25"/>
      <c r="G653" s="26"/>
      <c r="H653" s="4"/>
    </row>
    <row r="654">
      <c r="D654" s="25"/>
      <c r="E654" s="25"/>
      <c r="F654" s="25"/>
      <c r="G654" s="26"/>
      <c r="H654" s="4"/>
    </row>
    <row r="655">
      <c r="D655" s="25"/>
      <c r="E655" s="25"/>
      <c r="F655" s="25"/>
      <c r="G655" s="26"/>
      <c r="H655" s="4"/>
    </row>
    <row r="656">
      <c r="D656" s="25"/>
      <c r="E656" s="25"/>
      <c r="F656" s="25"/>
      <c r="G656" s="26"/>
      <c r="H656" s="4"/>
    </row>
    <row r="657">
      <c r="D657" s="25"/>
      <c r="E657" s="25"/>
      <c r="F657" s="25"/>
      <c r="G657" s="26"/>
      <c r="H657" s="4"/>
    </row>
    <row r="658">
      <c r="D658" s="25"/>
      <c r="E658" s="25"/>
      <c r="F658" s="25"/>
      <c r="G658" s="26"/>
      <c r="H658" s="4"/>
    </row>
    <row r="659">
      <c r="D659" s="25"/>
      <c r="E659" s="25"/>
      <c r="F659" s="25"/>
      <c r="G659" s="26"/>
      <c r="H659" s="4"/>
    </row>
    <row r="660">
      <c r="D660" s="25"/>
      <c r="E660" s="25"/>
      <c r="F660" s="25"/>
      <c r="G660" s="26"/>
      <c r="H660" s="4"/>
    </row>
    <row r="661">
      <c r="D661" s="25"/>
      <c r="E661" s="25"/>
      <c r="F661" s="25"/>
      <c r="G661" s="26"/>
      <c r="H661" s="4"/>
    </row>
    <row r="662">
      <c r="D662" s="25"/>
      <c r="E662" s="25"/>
      <c r="F662" s="25"/>
      <c r="G662" s="26"/>
      <c r="H662" s="4"/>
    </row>
    <row r="663">
      <c r="D663" s="25"/>
      <c r="E663" s="25"/>
      <c r="F663" s="25"/>
      <c r="G663" s="26"/>
      <c r="H663" s="4"/>
    </row>
    <row r="664">
      <c r="D664" s="25"/>
      <c r="E664" s="25"/>
      <c r="F664" s="25"/>
      <c r="G664" s="26"/>
      <c r="H664" s="4"/>
    </row>
    <row r="665">
      <c r="D665" s="25"/>
      <c r="E665" s="25"/>
      <c r="F665" s="25"/>
      <c r="G665" s="26"/>
      <c r="H665" s="4"/>
    </row>
    <row r="666">
      <c r="D666" s="25"/>
      <c r="E666" s="25"/>
      <c r="F666" s="25"/>
      <c r="G666" s="26"/>
      <c r="H666" s="4"/>
    </row>
    <row r="667">
      <c r="D667" s="25"/>
      <c r="E667" s="25"/>
      <c r="F667" s="25"/>
      <c r="G667" s="26"/>
      <c r="H667" s="4"/>
    </row>
    <row r="668">
      <c r="D668" s="25"/>
      <c r="E668" s="25"/>
      <c r="F668" s="25"/>
      <c r="G668" s="26"/>
      <c r="H668" s="4"/>
    </row>
    <row r="669">
      <c r="D669" s="25"/>
      <c r="E669" s="25"/>
      <c r="F669" s="25"/>
      <c r="G669" s="26"/>
      <c r="H669" s="4"/>
    </row>
    <row r="670">
      <c r="D670" s="25"/>
      <c r="E670" s="25"/>
      <c r="F670" s="25"/>
      <c r="G670" s="26"/>
      <c r="H670" s="4"/>
    </row>
    <row r="671">
      <c r="D671" s="25"/>
      <c r="E671" s="25"/>
      <c r="F671" s="25"/>
      <c r="G671" s="26"/>
      <c r="H671" s="4"/>
    </row>
    <row r="672">
      <c r="D672" s="25"/>
      <c r="E672" s="25"/>
      <c r="F672" s="25"/>
      <c r="G672" s="26"/>
      <c r="H672" s="4"/>
    </row>
    <row r="673">
      <c r="D673" s="25"/>
      <c r="E673" s="25"/>
      <c r="F673" s="25"/>
      <c r="G673" s="26"/>
      <c r="H673" s="4"/>
    </row>
    <row r="674">
      <c r="D674" s="25"/>
      <c r="E674" s="25"/>
      <c r="F674" s="25"/>
      <c r="G674" s="26"/>
      <c r="H674" s="4"/>
    </row>
    <row r="675">
      <c r="D675" s="25"/>
      <c r="E675" s="25"/>
      <c r="F675" s="25"/>
      <c r="G675" s="26"/>
      <c r="H675" s="4"/>
    </row>
    <row r="676">
      <c r="D676" s="25"/>
      <c r="E676" s="25"/>
      <c r="F676" s="25"/>
      <c r="G676" s="26"/>
      <c r="H676" s="4"/>
    </row>
    <row r="677">
      <c r="D677" s="25"/>
      <c r="E677" s="25"/>
      <c r="F677" s="25"/>
      <c r="G677" s="26"/>
      <c r="H677" s="4"/>
    </row>
    <row r="678">
      <c r="D678" s="25"/>
      <c r="E678" s="25"/>
      <c r="F678" s="25"/>
      <c r="G678" s="26"/>
      <c r="H678" s="4"/>
    </row>
    <row r="679">
      <c r="D679" s="25"/>
      <c r="E679" s="25"/>
      <c r="F679" s="25"/>
      <c r="G679" s="26"/>
      <c r="H679" s="4"/>
    </row>
    <row r="680">
      <c r="D680" s="25"/>
      <c r="E680" s="25"/>
      <c r="F680" s="25"/>
      <c r="G680" s="26"/>
      <c r="H680" s="4"/>
    </row>
    <row r="681">
      <c r="D681" s="25"/>
      <c r="E681" s="25"/>
      <c r="F681" s="25"/>
      <c r="G681" s="26"/>
      <c r="H681" s="4"/>
    </row>
    <row r="682">
      <c r="D682" s="25"/>
      <c r="E682" s="25"/>
      <c r="F682" s="25"/>
      <c r="G682" s="26"/>
      <c r="H682" s="4"/>
    </row>
    <row r="683">
      <c r="D683" s="25"/>
      <c r="E683" s="25"/>
      <c r="F683" s="25"/>
      <c r="G683" s="26"/>
      <c r="H683" s="4"/>
    </row>
    <row r="684">
      <c r="D684" s="25"/>
      <c r="E684" s="25"/>
      <c r="F684" s="25"/>
      <c r="G684" s="26"/>
      <c r="H684" s="4"/>
    </row>
    <row r="685">
      <c r="D685" s="25"/>
      <c r="E685" s="25"/>
      <c r="F685" s="25"/>
      <c r="G685" s="26"/>
      <c r="H685" s="4"/>
    </row>
    <row r="686">
      <c r="D686" s="25"/>
      <c r="E686" s="25"/>
      <c r="F686" s="25"/>
      <c r="G686" s="26"/>
      <c r="H686" s="4"/>
    </row>
    <row r="687">
      <c r="D687" s="25"/>
      <c r="E687" s="25"/>
      <c r="F687" s="25"/>
      <c r="G687" s="26"/>
      <c r="H687" s="4"/>
    </row>
    <row r="688">
      <c r="D688" s="25"/>
      <c r="E688" s="25"/>
      <c r="F688" s="25"/>
      <c r="G688" s="26"/>
      <c r="H688" s="4"/>
    </row>
    <row r="689">
      <c r="D689" s="25"/>
      <c r="E689" s="25"/>
      <c r="F689" s="25"/>
      <c r="G689" s="26"/>
      <c r="H689" s="4"/>
    </row>
    <row r="690">
      <c r="D690" s="25"/>
      <c r="E690" s="25"/>
      <c r="F690" s="25"/>
      <c r="G690" s="26"/>
      <c r="H690" s="4"/>
    </row>
    <row r="691">
      <c r="D691" s="25"/>
      <c r="E691" s="25"/>
      <c r="F691" s="25"/>
      <c r="G691" s="26"/>
      <c r="H691" s="4"/>
    </row>
    <row r="692">
      <c r="D692" s="25"/>
      <c r="E692" s="25"/>
      <c r="F692" s="25"/>
      <c r="G692" s="26"/>
      <c r="H692" s="4"/>
    </row>
    <row r="693">
      <c r="D693" s="25"/>
      <c r="E693" s="25"/>
      <c r="F693" s="25"/>
      <c r="G693" s="26"/>
      <c r="H693" s="4"/>
    </row>
    <row r="694">
      <c r="D694" s="25"/>
      <c r="E694" s="25"/>
      <c r="F694" s="25"/>
      <c r="G694" s="26"/>
      <c r="H694" s="4"/>
    </row>
    <row r="695">
      <c r="D695" s="25"/>
      <c r="E695" s="25"/>
      <c r="F695" s="25"/>
      <c r="G695" s="26"/>
      <c r="H695" s="4"/>
    </row>
    <row r="696">
      <c r="D696" s="25"/>
      <c r="E696" s="25"/>
      <c r="F696" s="25"/>
      <c r="G696" s="26"/>
      <c r="H696" s="4"/>
    </row>
    <row r="697">
      <c r="D697" s="25"/>
      <c r="E697" s="25"/>
      <c r="F697" s="25"/>
      <c r="G697" s="26"/>
      <c r="H697" s="4"/>
    </row>
    <row r="698">
      <c r="D698" s="25"/>
      <c r="E698" s="25"/>
      <c r="F698" s="25"/>
      <c r="G698" s="26"/>
      <c r="H698" s="4"/>
    </row>
    <row r="699">
      <c r="D699" s="25"/>
      <c r="E699" s="25"/>
      <c r="F699" s="25"/>
      <c r="G699" s="26"/>
      <c r="H699" s="4"/>
    </row>
    <row r="700">
      <c r="D700" s="25"/>
      <c r="E700" s="25"/>
      <c r="F700" s="25"/>
      <c r="G700" s="26"/>
      <c r="H700" s="4"/>
    </row>
    <row r="701">
      <c r="D701" s="25"/>
      <c r="E701" s="25"/>
      <c r="F701" s="25"/>
      <c r="G701" s="26"/>
      <c r="H701" s="4"/>
    </row>
    <row r="702">
      <c r="D702" s="25"/>
      <c r="E702" s="25"/>
      <c r="F702" s="25"/>
      <c r="G702" s="26"/>
      <c r="H702" s="4"/>
    </row>
    <row r="703">
      <c r="D703" s="25"/>
      <c r="E703" s="25"/>
      <c r="F703" s="25"/>
      <c r="G703" s="26"/>
      <c r="H703" s="4"/>
    </row>
    <row r="704">
      <c r="D704" s="25"/>
      <c r="E704" s="25"/>
      <c r="F704" s="25"/>
      <c r="G704" s="26"/>
      <c r="H704" s="4"/>
    </row>
    <row r="705">
      <c r="D705" s="25"/>
      <c r="E705" s="25"/>
      <c r="F705" s="25"/>
      <c r="G705" s="26"/>
      <c r="H705" s="4"/>
    </row>
    <row r="706">
      <c r="D706" s="25"/>
      <c r="E706" s="25"/>
      <c r="F706" s="25"/>
      <c r="G706" s="26"/>
      <c r="H706" s="4"/>
    </row>
    <row r="707">
      <c r="D707" s="25"/>
      <c r="E707" s="25"/>
      <c r="F707" s="25"/>
      <c r="G707" s="26"/>
      <c r="H707" s="4"/>
    </row>
    <row r="708">
      <c r="D708" s="25"/>
      <c r="E708" s="25"/>
      <c r="F708" s="25"/>
      <c r="G708" s="26"/>
      <c r="H708" s="4"/>
    </row>
    <row r="709">
      <c r="D709" s="25"/>
      <c r="E709" s="25"/>
      <c r="F709" s="25"/>
      <c r="G709" s="26"/>
      <c r="H709" s="4"/>
    </row>
    <row r="710">
      <c r="D710" s="25"/>
      <c r="E710" s="25"/>
      <c r="F710" s="25"/>
      <c r="G710" s="26"/>
      <c r="H710" s="4"/>
    </row>
    <row r="711">
      <c r="D711" s="25"/>
      <c r="E711" s="25"/>
      <c r="F711" s="25"/>
      <c r="G711" s="26"/>
      <c r="H711" s="4"/>
    </row>
    <row r="712">
      <c r="D712" s="25"/>
      <c r="E712" s="25"/>
      <c r="F712" s="25"/>
      <c r="G712" s="26"/>
      <c r="H712" s="4"/>
    </row>
    <row r="713">
      <c r="D713" s="25"/>
      <c r="E713" s="25"/>
      <c r="F713" s="25"/>
      <c r="G713" s="26"/>
      <c r="H713" s="4"/>
    </row>
    <row r="714">
      <c r="D714" s="25"/>
      <c r="E714" s="25"/>
      <c r="F714" s="25"/>
      <c r="G714" s="26"/>
      <c r="H714" s="4"/>
    </row>
    <row r="715">
      <c r="D715" s="25"/>
      <c r="E715" s="25"/>
      <c r="F715" s="25"/>
      <c r="G715" s="26"/>
      <c r="H715" s="4"/>
    </row>
    <row r="716">
      <c r="D716" s="25"/>
      <c r="E716" s="25"/>
      <c r="F716" s="25"/>
      <c r="G716" s="26"/>
      <c r="H716" s="4"/>
    </row>
    <row r="717">
      <c r="D717" s="25"/>
      <c r="E717" s="25"/>
      <c r="F717" s="25"/>
      <c r="G717" s="26"/>
      <c r="H717" s="4"/>
    </row>
    <row r="718">
      <c r="D718" s="25"/>
      <c r="E718" s="25"/>
      <c r="F718" s="25"/>
      <c r="G718" s="26"/>
      <c r="H718" s="4"/>
    </row>
    <row r="719">
      <c r="D719" s="25"/>
      <c r="E719" s="25"/>
      <c r="F719" s="25"/>
      <c r="G719" s="26"/>
      <c r="H719" s="4"/>
    </row>
    <row r="720">
      <c r="D720" s="25"/>
      <c r="E720" s="25"/>
      <c r="F720" s="25"/>
      <c r="G720" s="26"/>
      <c r="H720" s="4"/>
    </row>
    <row r="721">
      <c r="D721" s="25"/>
      <c r="E721" s="25"/>
      <c r="F721" s="25"/>
      <c r="G721" s="26"/>
      <c r="H721" s="4"/>
    </row>
    <row r="722">
      <c r="D722" s="25"/>
      <c r="E722" s="25"/>
      <c r="F722" s="25"/>
      <c r="G722" s="26"/>
      <c r="H722" s="4"/>
    </row>
    <row r="723">
      <c r="D723" s="25"/>
      <c r="E723" s="25"/>
      <c r="F723" s="25"/>
      <c r="G723" s="26"/>
      <c r="H723" s="4"/>
    </row>
    <row r="724">
      <c r="D724" s="25"/>
      <c r="E724" s="25"/>
      <c r="F724" s="25"/>
      <c r="G724" s="26"/>
      <c r="H724" s="4"/>
    </row>
    <row r="725">
      <c r="D725" s="25"/>
      <c r="E725" s="25"/>
      <c r="F725" s="25"/>
      <c r="G725" s="26"/>
      <c r="H725" s="4"/>
    </row>
    <row r="726">
      <c r="D726" s="25"/>
      <c r="E726" s="25"/>
      <c r="F726" s="25"/>
      <c r="G726" s="26"/>
      <c r="H726" s="4"/>
    </row>
    <row r="727">
      <c r="D727" s="25"/>
      <c r="E727" s="25"/>
      <c r="F727" s="25"/>
      <c r="G727" s="26"/>
      <c r="H727" s="4"/>
    </row>
    <row r="728">
      <c r="D728" s="25"/>
      <c r="E728" s="25"/>
      <c r="F728" s="25"/>
      <c r="G728" s="26"/>
      <c r="H728" s="4"/>
    </row>
    <row r="729">
      <c r="D729" s="25"/>
      <c r="E729" s="25"/>
      <c r="F729" s="25"/>
      <c r="G729" s="26"/>
      <c r="H729" s="4"/>
    </row>
    <row r="730">
      <c r="D730" s="25"/>
      <c r="E730" s="25"/>
      <c r="F730" s="25"/>
      <c r="G730" s="26"/>
      <c r="H730" s="4"/>
    </row>
    <row r="731">
      <c r="D731" s="25"/>
      <c r="E731" s="25"/>
      <c r="F731" s="25"/>
      <c r="G731" s="26"/>
      <c r="H731" s="4"/>
    </row>
    <row r="732">
      <c r="D732" s="25"/>
      <c r="E732" s="25"/>
      <c r="F732" s="25"/>
      <c r="G732" s="26"/>
      <c r="H732" s="4"/>
    </row>
    <row r="733">
      <c r="D733" s="25"/>
      <c r="E733" s="25"/>
      <c r="F733" s="25"/>
      <c r="G733" s="26"/>
      <c r="H733" s="4"/>
    </row>
    <row r="734">
      <c r="D734" s="25"/>
      <c r="E734" s="25"/>
      <c r="F734" s="25"/>
      <c r="G734" s="26"/>
      <c r="H734" s="4"/>
    </row>
    <row r="735">
      <c r="D735" s="25"/>
      <c r="E735" s="25"/>
      <c r="F735" s="25"/>
      <c r="G735" s="26"/>
      <c r="H735" s="4"/>
    </row>
    <row r="736">
      <c r="D736" s="25"/>
      <c r="E736" s="25"/>
      <c r="F736" s="25"/>
      <c r="G736" s="26"/>
      <c r="H736" s="4"/>
    </row>
    <row r="737">
      <c r="D737" s="25"/>
      <c r="E737" s="25"/>
      <c r="F737" s="25"/>
      <c r="G737" s="26"/>
      <c r="H737" s="4"/>
    </row>
    <row r="738">
      <c r="D738" s="25"/>
      <c r="E738" s="25"/>
      <c r="F738" s="25"/>
      <c r="G738" s="26"/>
      <c r="H738" s="4"/>
    </row>
    <row r="739">
      <c r="D739" s="25"/>
      <c r="E739" s="25"/>
      <c r="F739" s="25"/>
      <c r="G739" s="26"/>
      <c r="H739" s="4"/>
    </row>
    <row r="740">
      <c r="D740" s="25"/>
      <c r="E740" s="25"/>
      <c r="F740" s="25"/>
      <c r="G740" s="26"/>
      <c r="H740" s="4"/>
    </row>
    <row r="741">
      <c r="D741" s="25"/>
      <c r="E741" s="25"/>
      <c r="F741" s="25"/>
      <c r="G741" s="26"/>
      <c r="H741" s="4"/>
    </row>
    <row r="742">
      <c r="D742" s="25"/>
      <c r="E742" s="25"/>
      <c r="F742" s="25"/>
      <c r="G742" s="26"/>
      <c r="H742" s="4"/>
    </row>
    <row r="743">
      <c r="D743" s="25"/>
      <c r="E743" s="25"/>
      <c r="F743" s="25"/>
      <c r="G743" s="26"/>
      <c r="H743" s="4"/>
    </row>
    <row r="744">
      <c r="D744" s="25"/>
      <c r="E744" s="25"/>
      <c r="F744" s="25"/>
      <c r="G744" s="26"/>
      <c r="H744" s="4"/>
    </row>
    <row r="745">
      <c r="D745" s="25"/>
      <c r="E745" s="25"/>
      <c r="F745" s="25"/>
      <c r="G745" s="26"/>
      <c r="H745" s="4"/>
    </row>
    <row r="746">
      <c r="D746" s="25"/>
      <c r="E746" s="25"/>
      <c r="F746" s="25"/>
      <c r="G746" s="26"/>
      <c r="H746" s="4"/>
    </row>
    <row r="747">
      <c r="D747" s="25"/>
      <c r="E747" s="25"/>
      <c r="F747" s="25"/>
      <c r="G747" s="26"/>
      <c r="H747" s="4"/>
    </row>
    <row r="748">
      <c r="D748" s="25"/>
      <c r="E748" s="25"/>
      <c r="F748" s="25"/>
      <c r="G748" s="26"/>
      <c r="H748" s="4"/>
    </row>
    <row r="749">
      <c r="D749" s="25"/>
      <c r="E749" s="25"/>
      <c r="F749" s="25"/>
      <c r="G749" s="26"/>
      <c r="H749" s="4"/>
    </row>
    <row r="750">
      <c r="D750" s="25"/>
      <c r="E750" s="25"/>
      <c r="F750" s="25"/>
      <c r="G750" s="26"/>
      <c r="H750" s="4"/>
    </row>
    <row r="751">
      <c r="D751" s="25"/>
      <c r="E751" s="25"/>
      <c r="F751" s="25"/>
      <c r="G751" s="26"/>
      <c r="H751" s="4"/>
    </row>
    <row r="752">
      <c r="D752" s="25"/>
      <c r="E752" s="25"/>
      <c r="F752" s="25"/>
      <c r="G752" s="26"/>
      <c r="H752" s="4"/>
    </row>
    <row r="753">
      <c r="D753" s="25"/>
      <c r="E753" s="25"/>
      <c r="F753" s="25"/>
      <c r="G753" s="26"/>
      <c r="H753" s="4"/>
    </row>
    <row r="754">
      <c r="D754" s="25"/>
      <c r="E754" s="25"/>
      <c r="F754" s="25"/>
      <c r="G754" s="26"/>
      <c r="H754" s="4"/>
    </row>
    <row r="755">
      <c r="D755" s="25"/>
      <c r="E755" s="25"/>
      <c r="F755" s="25"/>
      <c r="G755" s="26"/>
      <c r="H755" s="4"/>
    </row>
    <row r="756">
      <c r="D756" s="25"/>
      <c r="E756" s="25"/>
      <c r="F756" s="25"/>
      <c r="G756" s="26"/>
      <c r="H756" s="4"/>
    </row>
    <row r="757">
      <c r="D757" s="25"/>
      <c r="E757" s="25"/>
      <c r="F757" s="25"/>
      <c r="G757" s="26"/>
      <c r="H757" s="4"/>
    </row>
    <row r="758">
      <c r="D758" s="25"/>
      <c r="E758" s="25"/>
      <c r="F758" s="25"/>
      <c r="G758" s="26"/>
      <c r="H758" s="4"/>
    </row>
    <row r="759">
      <c r="D759" s="25"/>
      <c r="E759" s="25"/>
      <c r="F759" s="25"/>
      <c r="G759" s="26"/>
      <c r="H759" s="4"/>
    </row>
    <row r="760">
      <c r="D760" s="25"/>
      <c r="E760" s="25"/>
      <c r="F760" s="25"/>
      <c r="G760" s="26"/>
      <c r="H760" s="4"/>
    </row>
    <row r="761">
      <c r="D761" s="25"/>
      <c r="E761" s="25"/>
      <c r="F761" s="25"/>
      <c r="G761" s="26"/>
      <c r="H761" s="4"/>
    </row>
    <row r="762">
      <c r="D762" s="25"/>
      <c r="E762" s="25"/>
      <c r="F762" s="25"/>
      <c r="G762" s="26"/>
      <c r="H762" s="4"/>
    </row>
    <row r="763">
      <c r="D763" s="25"/>
      <c r="E763" s="25"/>
      <c r="F763" s="25"/>
      <c r="G763" s="26"/>
      <c r="H763" s="4"/>
    </row>
    <row r="764">
      <c r="D764" s="25"/>
      <c r="E764" s="25"/>
      <c r="F764" s="25"/>
      <c r="G764" s="26"/>
      <c r="H764" s="4"/>
    </row>
    <row r="765">
      <c r="D765" s="25"/>
      <c r="E765" s="25"/>
      <c r="F765" s="25"/>
      <c r="G765" s="26"/>
      <c r="H765" s="4"/>
    </row>
    <row r="766">
      <c r="D766" s="25"/>
      <c r="E766" s="25"/>
      <c r="F766" s="25"/>
      <c r="G766" s="26"/>
      <c r="H766" s="4"/>
    </row>
    <row r="767">
      <c r="D767" s="25"/>
      <c r="E767" s="25"/>
      <c r="F767" s="25"/>
      <c r="G767" s="26"/>
      <c r="H767" s="4"/>
    </row>
    <row r="768">
      <c r="D768" s="25"/>
      <c r="E768" s="25"/>
      <c r="F768" s="25"/>
      <c r="G768" s="26"/>
      <c r="H768" s="4"/>
    </row>
    <row r="769">
      <c r="D769" s="25"/>
      <c r="E769" s="25"/>
      <c r="F769" s="25"/>
      <c r="G769" s="26"/>
      <c r="H769" s="4"/>
    </row>
    <row r="770">
      <c r="D770" s="25"/>
      <c r="E770" s="25"/>
      <c r="F770" s="25"/>
      <c r="G770" s="26"/>
      <c r="H770" s="4"/>
    </row>
    <row r="771">
      <c r="D771" s="25"/>
      <c r="E771" s="25"/>
      <c r="F771" s="25"/>
      <c r="G771" s="26"/>
      <c r="H771" s="4"/>
    </row>
    <row r="772">
      <c r="D772" s="25"/>
      <c r="E772" s="25"/>
      <c r="F772" s="25"/>
      <c r="G772" s="26"/>
      <c r="H772" s="4"/>
    </row>
    <row r="773">
      <c r="D773" s="25"/>
      <c r="E773" s="25"/>
      <c r="F773" s="25"/>
      <c r="G773" s="26"/>
      <c r="H773" s="4"/>
    </row>
    <row r="774">
      <c r="D774" s="25"/>
      <c r="E774" s="25"/>
      <c r="F774" s="25"/>
      <c r="G774" s="26"/>
      <c r="H774" s="4"/>
    </row>
    <row r="775">
      <c r="D775" s="25"/>
      <c r="E775" s="25"/>
      <c r="F775" s="25"/>
      <c r="G775" s="26"/>
      <c r="H775" s="4"/>
    </row>
    <row r="776">
      <c r="D776" s="25"/>
      <c r="E776" s="25"/>
      <c r="F776" s="25"/>
      <c r="G776" s="26"/>
      <c r="H776" s="4"/>
    </row>
    <row r="777">
      <c r="D777" s="25"/>
      <c r="E777" s="25"/>
      <c r="F777" s="25"/>
      <c r="G777" s="26"/>
      <c r="H777" s="4"/>
    </row>
    <row r="778">
      <c r="D778" s="25"/>
      <c r="E778" s="25"/>
      <c r="F778" s="25"/>
      <c r="G778" s="26"/>
      <c r="H778" s="4"/>
    </row>
    <row r="779">
      <c r="D779" s="25"/>
      <c r="E779" s="25"/>
      <c r="F779" s="25"/>
      <c r="G779" s="26"/>
      <c r="H779" s="4"/>
    </row>
    <row r="780">
      <c r="D780" s="25"/>
      <c r="E780" s="25"/>
      <c r="F780" s="25"/>
      <c r="G780" s="26"/>
      <c r="H780" s="4"/>
    </row>
    <row r="781">
      <c r="D781" s="25"/>
      <c r="E781" s="25"/>
      <c r="F781" s="25"/>
      <c r="G781" s="26"/>
      <c r="H781" s="4"/>
    </row>
    <row r="782">
      <c r="D782" s="25"/>
      <c r="E782" s="25"/>
      <c r="F782" s="25"/>
      <c r="G782" s="26"/>
      <c r="H782" s="4"/>
    </row>
    <row r="783">
      <c r="D783" s="25"/>
      <c r="E783" s="25"/>
      <c r="F783" s="25"/>
      <c r="G783" s="26"/>
      <c r="H783" s="4"/>
    </row>
    <row r="784">
      <c r="D784" s="25"/>
      <c r="E784" s="25"/>
      <c r="F784" s="25"/>
      <c r="G784" s="26"/>
      <c r="H784" s="4"/>
    </row>
    <row r="785">
      <c r="D785" s="25"/>
      <c r="E785" s="25"/>
      <c r="F785" s="25"/>
      <c r="G785" s="26"/>
      <c r="H785" s="4"/>
    </row>
    <row r="786">
      <c r="D786" s="25"/>
      <c r="E786" s="25"/>
      <c r="F786" s="25"/>
      <c r="G786" s="26"/>
      <c r="H786" s="4"/>
    </row>
    <row r="787">
      <c r="D787" s="25"/>
      <c r="E787" s="25"/>
      <c r="F787" s="25"/>
      <c r="G787" s="26"/>
      <c r="H787" s="4"/>
    </row>
    <row r="788">
      <c r="D788" s="25"/>
      <c r="E788" s="25"/>
      <c r="F788" s="25"/>
      <c r="G788" s="26"/>
      <c r="H788" s="4"/>
    </row>
    <row r="789">
      <c r="D789" s="25"/>
      <c r="E789" s="25"/>
      <c r="F789" s="25"/>
      <c r="G789" s="26"/>
      <c r="H789" s="4"/>
    </row>
    <row r="790">
      <c r="D790" s="25"/>
      <c r="E790" s="25"/>
      <c r="F790" s="25"/>
      <c r="G790" s="26"/>
      <c r="H790" s="4"/>
    </row>
    <row r="791">
      <c r="D791" s="25"/>
      <c r="E791" s="25"/>
      <c r="F791" s="25"/>
      <c r="G791" s="26"/>
      <c r="H791" s="4"/>
    </row>
    <row r="792">
      <c r="D792" s="25"/>
      <c r="E792" s="25"/>
      <c r="F792" s="25"/>
      <c r="G792" s="26"/>
      <c r="H792" s="4"/>
    </row>
    <row r="793">
      <c r="D793" s="25"/>
      <c r="E793" s="25"/>
      <c r="F793" s="25"/>
      <c r="G793" s="26"/>
      <c r="H793" s="4"/>
    </row>
    <row r="794">
      <c r="D794" s="25"/>
      <c r="E794" s="25"/>
      <c r="F794" s="25"/>
      <c r="G794" s="26"/>
      <c r="H794" s="4"/>
    </row>
    <row r="795">
      <c r="D795" s="25"/>
      <c r="E795" s="25"/>
      <c r="F795" s="25"/>
      <c r="G795" s="26"/>
      <c r="H795" s="4"/>
    </row>
    <row r="796">
      <c r="D796" s="25"/>
      <c r="E796" s="25"/>
      <c r="F796" s="25"/>
      <c r="G796" s="26"/>
      <c r="H796" s="4"/>
    </row>
    <row r="797">
      <c r="D797" s="25"/>
      <c r="E797" s="25"/>
      <c r="F797" s="25"/>
      <c r="G797" s="26"/>
      <c r="H797" s="4"/>
    </row>
    <row r="798">
      <c r="D798" s="25"/>
      <c r="E798" s="25"/>
      <c r="F798" s="25"/>
      <c r="G798" s="26"/>
      <c r="H798" s="4"/>
    </row>
    <row r="799">
      <c r="D799" s="25"/>
      <c r="E799" s="25"/>
      <c r="F799" s="25"/>
      <c r="G799" s="26"/>
      <c r="H799" s="4"/>
    </row>
    <row r="800">
      <c r="D800" s="25"/>
      <c r="E800" s="25"/>
      <c r="F800" s="25"/>
      <c r="G800" s="26"/>
      <c r="H800" s="4"/>
    </row>
    <row r="801">
      <c r="D801" s="25"/>
      <c r="E801" s="25"/>
      <c r="F801" s="25"/>
      <c r="G801" s="26"/>
      <c r="H801" s="4"/>
    </row>
    <row r="802">
      <c r="D802" s="25"/>
      <c r="E802" s="25"/>
      <c r="F802" s="25"/>
      <c r="G802" s="26"/>
      <c r="H802" s="4"/>
    </row>
    <row r="803">
      <c r="D803" s="25"/>
      <c r="E803" s="25"/>
      <c r="F803" s="25"/>
      <c r="G803" s="26"/>
      <c r="H803" s="4"/>
    </row>
    <row r="804">
      <c r="D804" s="25"/>
      <c r="E804" s="25"/>
      <c r="F804" s="25"/>
      <c r="G804" s="26"/>
      <c r="H804" s="4"/>
    </row>
    <row r="805">
      <c r="D805" s="25"/>
      <c r="E805" s="25"/>
      <c r="F805" s="25"/>
      <c r="G805" s="26"/>
      <c r="H805" s="4"/>
    </row>
    <row r="806">
      <c r="D806" s="25"/>
      <c r="E806" s="25"/>
      <c r="F806" s="25"/>
      <c r="G806" s="26"/>
      <c r="H806" s="4"/>
    </row>
    <row r="807">
      <c r="D807" s="25"/>
      <c r="E807" s="25"/>
      <c r="F807" s="25"/>
      <c r="G807" s="26"/>
      <c r="H807" s="4"/>
    </row>
    <row r="808">
      <c r="D808" s="25"/>
      <c r="E808" s="25"/>
      <c r="F808" s="25"/>
      <c r="G808" s="26"/>
      <c r="H808" s="4"/>
    </row>
    <row r="809">
      <c r="D809" s="25"/>
      <c r="E809" s="25"/>
      <c r="F809" s="25"/>
      <c r="G809" s="26"/>
      <c r="H809" s="4"/>
    </row>
    <row r="810">
      <c r="D810" s="25"/>
      <c r="E810" s="25"/>
      <c r="F810" s="25"/>
      <c r="G810" s="26"/>
      <c r="H810" s="4"/>
    </row>
    <row r="811">
      <c r="D811" s="25"/>
      <c r="E811" s="25"/>
      <c r="F811" s="25"/>
      <c r="G811" s="26"/>
      <c r="H811" s="4"/>
    </row>
    <row r="812">
      <c r="D812" s="25"/>
      <c r="E812" s="25"/>
      <c r="F812" s="25"/>
      <c r="G812" s="26"/>
      <c r="H812" s="4"/>
    </row>
    <row r="813">
      <c r="D813" s="25"/>
      <c r="E813" s="25"/>
      <c r="F813" s="25"/>
      <c r="G813" s="26"/>
      <c r="H813" s="4"/>
    </row>
    <row r="814">
      <c r="D814" s="25"/>
      <c r="E814" s="25"/>
      <c r="F814" s="25"/>
      <c r="G814" s="26"/>
      <c r="H814" s="4"/>
    </row>
    <row r="815">
      <c r="D815" s="25"/>
      <c r="E815" s="25"/>
      <c r="F815" s="25"/>
      <c r="G815" s="26"/>
      <c r="H815" s="4"/>
    </row>
    <row r="816">
      <c r="D816" s="25"/>
      <c r="E816" s="25"/>
      <c r="F816" s="25"/>
      <c r="G816" s="26"/>
      <c r="H816" s="4"/>
    </row>
    <row r="817">
      <c r="D817" s="25"/>
      <c r="E817" s="25"/>
      <c r="F817" s="25"/>
      <c r="G817" s="26"/>
      <c r="H817" s="4"/>
    </row>
    <row r="818">
      <c r="D818" s="25"/>
      <c r="E818" s="25"/>
      <c r="F818" s="25"/>
      <c r="G818" s="26"/>
      <c r="H818" s="4"/>
    </row>
    <row r="819">
      <c r="D819" s="25"/>
      <c r="E819" s="25"/>
      <c r="F819" s="25"/>
      <c r="G819" s="26"/>
      <c r="H819" s="4"/>
    </row>
    <row r="820">
      <c r="D820" s="25"/>
      <c r="E820" s="25"/>
      <c r="F820" s="25"/>
      <c r="G820" s="26"/>
      <c r="H820" s="4"/>
    </row>
    <row r="821">
      <c r="D821" s="25"/>
      <c r="E821" s="25"/>
      <c r="F821" s="25"/>
      <c r="G821" s="26"/>
      <c r="H821" s="4"/>
    </row>
    <row r="822">
      <c r="D822" s="25"/>
      <c r="E822" s="25"/>
      <c r="F822" s="25"/>
      <c r="G822" s="26"/>
      <c r="H822" s="4"/>
    </row>
    <row r="823">
      <c r="D823" s="25"/>
      <c r="E823" s="25"/>
      <c r="F823" s="25"/>
      <c r="G823" s="26"/>
      <c r="H823" s="4"/>
    </row>
    <row r="824">
      <c r="D824" s="25"/>
      <c r="E824" s="25"/>
      <c r="F824" s="25"/>
      <c r="G824" s="26"/>
      <c r="H824" s="4"/>
    </row>
    <row r="825">
      <c r="D825" s="25"/>
      <c r="E825" s="25"/>
      <c r="F825" s="25"/>
      <c r="G825" s="26"/>
      <c r="H825" s="4"/>
    </row>
    <row r="826">
      <c r="D826" s="25"/>
      <c r="E826" s="25"/>
      <c r="F826" s="25"/>
      <c r="G826" s="26"/>
      <c r="H826" s="4"/>
    </row>
    <row r="827">
      <c r="D827" s="25"/>
      <c r="E827" s="25"/>
      <c r="F827" s="25"/>
      <c r="G827" s="26"/>
      <c r="H827" s="4"/>
    </row>
    <row r="828">
      <c r="D828" s="25"/>
      <c r="E828" s="25"/>
      <c r="F828" s="25"/>
      <c r="G828" s="26"/>
      <c r="H828" s="4"/>
    </row>
    <row r="829">
      <c r="D829" s="25"/>
      <c r="E829" s="25"/>
      <c r="F829" s="25"/>
      <c r="G829" s="26"/>
      <c r="H829" s="4"/>
    </row>
    <row r="830">
      <c r="D830" s="25"/>
      <c r="E830" s="25"/>
      <c r="F830" s="25"/>
      <c r="G830" s="26"/>
      <c r="H830" s="4"/>
    </row>
    <row r="831">
      <c r="D831" s="25"/>
      <c r="E831" s="25"/>
      <c r="F831" s="25"/>
      <c r="G831" s="26"/>
      <c r="H831" s="4"/>
    </row>
    <row r="832">
      <c r="D832" s="25"/>
      <c r="E832" s="25"/>
      <c r="F832" s="25"/>
      <c r="G832" s="26"/>
      <c r="H832" s="4"/>
    </row>
    <row r="833">
      <c r="D833" s="25"/>
      <c r="E833" s="25"/>
      <c r="F833" s="25"/>
      <c r="G833" s="26"/>
      <c r="H833" s="4"/>
    </row>
    <row r="834">
      <c r="D834" s="25"/>
      <c r="E834" s="25"/>
      <c r="F834" s="25"/>
      <c r="G834" s="26"/>
      <c r="H834" s="4"/>
    </row>
    <row r="835">
      <c r="D835" s="25"/>
      <c r="E835" s="25"/>
      <c r="F835" s="25"/>
      <c r="G835" s="26"/>
      <c r="H835" s="4"/>
    </row>
    <row r="836">
      <c r="D836" s="25"/>
      <c r="E836" s="25"/>
      <c r="F836" s="25"/>
      <c r="G836" s="26"/>
      <c r="H836" s="4"/>
    </row>
    <row r="837">
      <c r="D837" s="25"/>
      <c r="E837" s="25"/>
      <c r="F837" s="25"/>
      <c r="G837" s="26"/>
      <c r="H837" s="4"/>
    </row>
    <row r="838">
      <c r="D838" s="25"/>
      <c r="E838" s="25"/>
      <c r="F838" s="25"/>
      <c r="G838" s="26"/>
      <c r="H838" s="4"/>
    </row>
    <row r="839">
      <c r="D839" s="25"/>
      <c r="E839" s="25"/>
      <c r="F839" s="25"/>
      <c r="G839" s="26"/>
      <c r="H839" s="4"/>
    </row>
    <row r="840">
      <c r="D840" s="25"/>
      <c r="E840" s="25"/>
      <c r="F840" s="25"/>
      <c r="G840" s="26"/>
      <c r="H840" s="4"/>
    </row>
    <row r="841">
      <c r="D841" s="25"/>
      <c r="E841" s="25"/>
      <c r="F841" s="25"/>
      <c r="G841" s="26"/>
      <c r="H841" s="4"/>
    </row>
    <row r="842">
      <c r="D842" s="25"/>
      <c r="E842" s="25"/>
      <c r="F842" s="25"/>
      <c r="G842" s="26"/>
      <c r="H842" s="4"/>
    </row>
    <row r="843">
      <c r="D843" s="25"/>
      <c r="E843" s="25"/>
      <c r="F843" s="25"/>
      <c r="G843" s="26"/>
      <c r="H843" s="4"/>
    </row>
    <row r="844">
      <c r="D844" s="25"/>
      <c r="E844" s="25"/>
      <c r="F844" s="25"/>
      <c r="G844" s="26"/>
      <c r="H844" s="4"/>
    </row>
    <row r="845">
      <c r="D845" s="25"/>
      <c r="E845" s="25"/>
      <c r="F845" s="25"/>
      <c r="G845" s="26"/>
      <c r="H845" s="4"/>
    </row>
    <row r="846">
      <c r="D846" s="25"/>
      <c r="E846" s="25"/>
      <c r="F846" s="25"/>
      <c r="G846" s="26"/>
      <c r="H846" s="4"/>
    </row>
    <row r="847">
      <c r="D847" s="25"/>
      <c r="E847" s="25"/>
      <c r="F847" s="25"/>
      <c r="G847" s="26"/>
      <c r="H847" s="4"/>
    </row>
    <row r="848">
      <c r="D848" s="25"/>
      <c r="E848" s="25"/>
      <c r="F848" s="25"/>
      <c r="G848" s="26"/>
      <c r="H848" s="4"/>
    </row>
    <row r="849">
      <c r="D849" s="25"/>
      <c r="E849" s="25"/>
      <c r="F849" s="25"/>
      <c r="G849" s="26"/>
      <c r="H849" s="4"/>
    </row>
    <row r="850">
      <c r="D850" s="25"/>
      <c r="E850" s="25"/>
      <c r="F850" s="25"/>
      <c r="G850" s="26"/>
      <c r="H850" s="4"/>
    </row>
    <row r="851">
      <c r="D851" s="25"/>
      <c r="E851" s="25"/>
      <c r="F851" s="25"/>
      <c r="G851" s="26"/>
      <c r="H851" s="4"/>
    </row>
    <row r="852">
      <c r="D852" s="25"/>
      <c r="E852" s="25"/>
      <c r="F852" s="25"/>
      <c r="G852" s="26"/>
      <c r="H852" s="4"/>
    </row>
    <row r="853">
      <c r="D853" s="25"/>
      <c r="E853" s="25"/>
      <c r="F853" s="25"/>
      <c r="G853" s="26"/>
      <c r="H853" s="4"/>
    </row>
    <row r="854">
      <c r="D854" s="25"/>
      <c r="E854" s="25"/>
      <c r="F854" s="25"/>
      <c r="G854" s="26"/>
      <c r="H854" s="4"/>
    </row>
    <row r="855">
      <c r="D855" s="25"/>
      <c r="E855" s="25"/>
      <c r="F855" s="25"/>
      <c r="G855" s="26"/>
      <c r="H855" s="4"/>
    </row>
    <row r="856">
      <c r="D856" s="25"/>
      <c r="E856" s="25"/>
      <c r="F856" s="25"/>
      <c r="G856" s="26"/>
      <c r="H856" s="4"/>
    </row>
    <row r="857">
      <c r="D857" s="25"/>
      <c r="E857" s="25"/>
      <c r="F857" s="25"/>
      <c r="G857" s="26"/>
      <c r="H857" s="4"/>
    </row>
    <row r="858">
      <c r="D858" s="25"/>
      <c r="E858" s="25"/>
      <c r="F858" s="25"/>
      <c r="G858" s="26"/>
      <c r="H858" s="4"/>
    </row>
    <row r="859">
      <c r="D859" s="25"/>
      <c r="E859" s="25"/>
      <c r="F859" s="25"/>
      <c r="G859" s="26"/>
      <c r="H859" s="4"/>
    </row>
    <row r="860">
      <c r="D860" s="25"/>
      <c r="E860" s="25"/>
      <c r="F860" s="25"/>
      <c r="G860" s="26"/>
      <c r="H860" s="4"/>
    </row>
    <row r="861">
      <c r="D861" s="25"/>
      <c r="E861" s="25"/>
      <c r="F861" s="25"/>
      <c r="G861" s="26"/>
      <c r="H861" s="4"/>
    </row>
    <row r="862">
      <c r="D862" s="25"/>
      <c r="E862" s="25"/>
      <c r="F862" s="25"/>
      <c r="G862" s="26"/>
      <c r="H862" s="4"/>
    </row>
    <row r="863">
      <c r="D863" s="25"/>
      <c r="E863" s="25"/>
      <c r="F863" s="25"/>
      <c r="G863" s="26"/>
      <c r="H863" s="4"/>
    </row>
    <row r="864">
      <c r="D864" s="25"/>
      <c r="E864" s="25"/>
      <c r="F864" s="25"/>
      <c r="G864" s="26"/>
      <c r="H864" s="4"/>
    </row>
    <row r="865">
      <c r="D865" s="25"/>
      <c r="E865" s="25"/>
      <c r="F865" s="25"/>
      <c r="G865" s="26"/>
      <c r="H865" s="4"/>
    </row>
    <row r="866">
      <c r="D866" s="25"/>
      <c r="E866" s="25"/>
      <c r="F866" s="25"/>
      <c r="G866" s="26"/>
      <c r="H866" s="4"/>
    </row>
    <row r="867">
      <c r="D867" s="25"/>
      <c r="E867" s="25"/>
      <c r="F867" s="25"/>
      <c r="G867" s="26"/>
      <c r="H867" s="4"/>
    </row>
    <row r="868">
      <c r="D868" s="25"/>
      <c r="E868" s="25"/>
      <c r="F868" s="25"/>
      <c r="G868" s="26"/>
      <c r="H868" s="4"/>
    </row>
    <row r="869">
      <c r="D869" s="25"/>
      <c r="E869" s="25"/>
      <c r="F869" s="25"/>
      <c r="G869" s="26"/>
      <c r="H869" s="4"/>
    </row>
    <row r="870">
      <c r="D870" s="25"/>
      <c r="E870" s="25"/>
      <c r="F870" s="25"/>
      <c r="G870" s="26"/>
      <c r="H870" s="4"/>
    </row>
    <row r="871">
      <c r="D871" s="25"/>
      <c r="E871" s="25"/>
      <c r="F871" s="25"/>
      <c r="G871" s="26"/>
      <c r="H871" s="4"/>
    </row>
    <row r="872">
      <c r="D872" s="25"/>
      <c r="E872" s="25"/>
      <c r="F872" s="25"/>
      <c r="G872" s="26"/>
      <c r="H872" s="4"/>
    </row>
    <row r="873">
      <c r="D873" s="25"/>
      <c r="E873" s="25"/>
      <c r="F873" s="25"/>
      <c r="G873" s="26"/>
      <c r="H873" s="4"/>
    </row>
    <row r="874">
      <c r="D874" s="25"/>
      <c r="E874" s="25"/>
      <c r="F874" s="25"/>
      <c r="G874" s="26"/>
      <c r="H874" s="4"/>
    </row>
    <row r="875">
      <c r="D875" s="25"/>
      <c r="E875" s="25"/>
      <c r="F875" s="25"/>
      <c r="G875" s="26"/>
      <c r="H875" s="4"/>
    </row>
    <row r="876">
      <c r="D876" s="25"/>
      <c r="E876" s="25"/>
      <c r="F876" s="25"/>
      <c r="G876" s="26"/>
      <c r="H876" s="4"/>
    </row>
    <row r="877">
      <c r="D877" s="25"/>
      <c r="E877" s="25"/>
      <c r="F877" s="25"/>
      <c r="G877" s="26"/>
      <c r="H877" s="4"/>
    </row>
    <row r="878">
      <c r="D878" s="25"/>
      <c r="E878" s="25"/>
      <c r="F878" s="25"/>
      <c r="G878" s="26"/>
      <c r="H878" s="4"/>
    </row>
    <row r="879">
      <c r="D879" s="25"/>
      <c r="E879" s="25"/>
      <c r="F879" s="25"/>
      <c r="G879" s="26"/>
      <c r="H879" s="4"/>
    </row>
    <row r="880">
      <c r="D880" s="25"/>
      <c r="E880" s="25"/>
      <c r="F880" s="25"/>
      <c r="G880" s="26"/>
      <c r="H880" s="4"/>
    </row>
    <row r="881">
      <c r="D881" s="25"/>
      <c r="E881" s="25"/>
      <c r="F881" s="25"/>
      <c r="G881" s="26"/>
      <c r="H881" s="4"/>
    </row>
    <row r="882">
      <c r="D882" s="25"/>
      <c r="E882" s="25"/>
      <c r="F882" s="25"/>
      <c r="G882" s="26"/>
      <c r="H882" s="4"/>
    </row>
    <row r="883">
      <c r="D883" s="25"/>
      <c r="E883" s="25"/>
      <c r="F883" s="25"/>
      <c r="G883" s="26"/>
      <c r="H883" s="4"/>
    </row>
    <row r="884">
      <c r="D884" s="25"/>
      <c r="E884" s="25"/>
      <c r="F884" s="25"/>
      <c r="G884" s="26"/>
      <c r="H884" s="4"/>
    </row>
    <row r="885">
      <c r="D885" s="25"/>
      <c r="E885" s="25"/>
      <c r="F885" s="25"/>
      <c r="G885" s="26"/>
      <c r="H885" s="4"/>
    </row>
    <row r="886">
      <c r="D886" s="25"/>
      <c r="E886" s="25"/>
      <c r="F886" s="25"/>
      <c r="G886" s="26"/>
      <c r="H886" s="4"/>
    </row>
    <row r="887">
      <c r="D887" s="25"/>
      <c r="E887" s="25"/>
      <c r="F887" s="25"/>
      <c r="G887" s="26"/>
      <c r="H887" s="4"/>
    </row>
    <row r="888">
      <c r="D888" s="25"/>
      <c r="E888" s="25"/>
      <c r="F888" s="25"/>
      <c r="G888" s="26"/>
      <c r="H888" s="4"/>
    </row>
    <row r="889">
      <c r="D889" s="25"/>
      <c r="E889" s="25"/>
      <c r="F889" s="25"/>
      <c r="G889" s="26"/>
      <c r="H889" s="4"/>
    </row>
    <row r="890">
      <c r="D890" s="25"/>
      <c r="E890" s="25"/>
      <c r="F890" s="25"/>
      <c r="G890" s="26"/>
      <c r="H890" s="4"/>
    </row>
    <row r="891">
      <c r="D891" s="25"/>
      <c r="E891" s="25"/>
      <c r="F891" s="25"/>
      <c r="G891" s="26"/>
      <c r="H891" s="4"/>
    </row>
    <row r="892">
      <c r="D892" s="25"/>
      <c r="E892" s="25"/>
      <c r="F892" s="25"/>
      <c r="G892" s="26"/>
      <c r="H892" s="4"/>
    </row>
    <row r="893">
      <c r="D893" s="25"/>
      <c r="E893" s="25"/>
      <c r="F893" s="25"/>
      <c r="G893" s="26"/>
      <c r="H893" s="4"/>
    </row>
    <row r="894">
      <c r="D894" s="25"/>
      <c r="E894" s="25"/>
      <c r="F894" s="25"/>
      <c r="G894" s="26"/>
      <c r="H894" s="4"/>
    </row>
    <row r="895">
      <c r="D895" s="25"/>
      <c r="E895" s="25"/>
      <c r="F895" s="25"/>
      <c r="G895" s="26"/>
      <c r="H895" s="4"/>
    </row>
    <row r="896">
      <c r="D896" s="25"/>
      <c r="E896" s="25"/>
      <c r="F896" s="25"/>
      <c r="G896" s="26"/>
      <c r="H896" s="4"/>
    </row>
    <row r="897">
      <c r="D897" s="25"/>
      <c r="E897" s="25"/>
      <c r="F897" s="25"/>
      <c r="G897" s="26"/>
      <c r="H897" s="4"/>
    </row>
    <row r="898">
      <c r="D898" s="25"/>
      <c r="E898" s="25"/>
      <c r="F898" s="25"/>
      <c r="G898" s="26"/>
      <c r="H898" s="4"/>
    </row>
    <row r="899">
      <c r="D899" s="25"/>
      <c r="E899" s="25"/>
      <c r="F899" s="25"/>
      <c r="G899" s="26"/>
      <c r="H899" s="4"/>
    </row>
    <row r="900">
      <c r="D900" s="25"/>
      <c r="E900" s="25"/>
      <c r="F900" s="25"/>
      <c r="G900" s="26"/>
      <c r="H900" s="4"/>
    </row>
    <row r="901">
      <c r="D901" s="25"/>
      <c r="E901" s="25"/>
      <c r="F901" s="25"/>
      <c r="G901" s="26"/>
      <c r="H901" s="4"/>
    </row>
    <row r="902">
      <c r="D902" s="25"/>
      <c r="E902" s="25"/>
      <c r="F902" s="25"/>
      <c r="G902" s="26"/>
      <c r="H902" s="4"/>
    </row>
    <row r="903">
      <c r="D903" s="25"/>
      <c r="E903" s="25"/>
      <c r="F903" s="25"/>
      <c r="G903" s="26"/>
      <c r="H903" s="4"/>
    </row>
    <row r="904">
      <c r="D904" s="25"/>
      <c r="E904" s="25"/>
      <c r="F904" s="25"/>
      <c r="G904" s="26"/>
      <c r="H904" s="4"/>
    </row>
    <row r="905">
      <c r="D905" s="25"/>
      <c r="E905" s="25"/>
      <c r="F905" s="25"/>
      <c r="G905" s="26"/>
      <c r="H905" s="4"/>
    </row>
    <row r="906">
      <c r="D906" s="25"/>
      <c r="E906" s="25"/>
      <c r="F906" s="25"/>
      <c r="G906" s="26"/>
      <c r="H906" s="4"/>
    </row>
    <row r="907">
      <c r="D907" s="25"/>
      <c r="E907" s="25"/>
      <c r="F907" s="25"/>
      <c r="G907" s="26"/>
      <c r="H907" s="4"/>
    </row>
    <row r="908">
      <c r="D908" s="25"/>
      <c r="E908" s="25"/>
      <c r="F908" s="25"/>
      <c r="G908" s="26"/>
      <c r="H908" s="4"/>
    </row>
    <row r="909">
      <c r="D909" s="25"/>
      <c r="E909" s="25"/>
      <c r="F909" s="25"/>
      <c r="G909" s="26"/>
      <c r="H909" s="4"/>
    </row>
    <row r="910">
      <c r="D910" s="25"/>
      <c r="E910" s="25"/>
      <c r="F910" s="25"/>
      <c r="G910" s="26"/>
      <c r="H910" s="4"/>
    </row>
    <row r="911">
      <c r="D911" s="25"/>
      <c r="E911" s="25"/>
      <c r="F911" s="25"/>
      <c r="G911" s="26"/>
      <c r="H911" s="4"/>
    </row>
    <row r="912">
      <c r="D912" s="25"/>
      <c r="E912" s="25"/>
      <c r="F912" s="25"/>
      <c r="G912" s="26"/>
      <c r="H912" s="4"/>
    </row>
    <row r="913">
      <c r="D913" s="25"/>
      <c r="E913" s="25"/>
      <c r="F913" s="25"/>
      <c r="G913" s="26"/>
      <c r="H913" s="4"/>
    </row>
    <row r="914">
      <c r="D914" s="25"/>
      <c r="E914" s="25"/>
      <c r="F914" s="25"/>
      <c r="G914" s="26"/>
      <c r="H914" s="4"/>
    </row>
    <row r="915">
      <c r="D915" s="25"/>
      <c r="E915" s="25"/>
      <c r="F915" s="25"/>
      <c r="G915" s="26"/>
      <c r="H915" s="4"/>
    </row>
    <row r="916">
      <c r="D916" s="25"/>
      <c r="E916" s="25"/>
      <c r="F916" s="25"/>
      <c r="G916" s="26"/>
      <c r="H916" s="4"/>
    </row>
    <row r="917">
      <c r="D917" s="25"/>
      <c r="E917" s="25"/>
      <c r="F917" s="25"/>
      <c r="G917" s="26"/>
      <c r="H917" s="4"/>
    </row>
    <row r="918">
      <c r="D918" s="25"/>
      <c r="E918" s="25"/>
      <c r="F918" s="25"/>
      <c r="G918" s="26"/>
      <c r="H918" s="4"/>
    </row>
    <row r="919">
      <c r="D919" s="25"/>
      <c r="E919" s="25"/>
      <c r="F919" s="25"/>
      <c r="G919" s="26"/>
      <c r="H919" s="4"/>
    </row>
    <row r="920">
      <c r="D920" s="25"/>
      <c r="E920" s="25"/>
      <c r="F920" s="25"/>
      <c r="G920" s="26"/>
      <c r="H920" s="4"/>
    </row>
    <row r="921">
      <c r="D921" s="25"/>
      <c r="E921" s="25"/>
      <c r="F921" s="25"/>
      <c r="G921" s="26"/>
      <c r="H921" s="4"/>
    </row>
    <row r="922">
      <c r="D922" s="25"/>
      <c r="E922" s="25"/>
      <c r="F922" s="25"/>
      <c r="G922" s="26"/>
      <c r="H922" s="4"/>
    </row>
    <row r="923">
      <c r="D923" s="25"/>
      <c r="E923" s="25"/>
      <c r="F923" s="25"/>
      <c r="G923" s="26"/>
      <c r="H923" s="4"/>
    </row>
    <row r="924">
      <c r="D924" s="25"/>
      <c r="E924" s="25"/>
      <c r="F924" s="25"/>
      <c r="G924" s="26"/>
      <c r="H924" s="4"/>
    </row>
    <row r="925">
      <c r="D925" s="25"/>
      <c r="E925" s="25"/>
      <c r="F925" s="25"/>
      <c r="G925" s="26"/>
      <c r="H925" s="4"/>
    </row>
    <row r="926">
      <c r="D926" s="25"/>
      <c r="E926" s="25"/>
      <c r="F926" s="25"/>
      <c r="G926" s="26"/>
      <c r="H926" s="4"/>
    </row>
    <row r="927">
      <c r="D927" s="25"/>
      <c r="E927" s="25"/>
      <c r="F927" s="25"/>
      <c r="G927" s="26"/>
      <c r="H927" s="4"/>
    </row>
    <row r="928">
      <c r="D928" s="25"/>
      <c r="E928" s="25"/>
      <c r="F928" s="25"/>
      <c r="G928" s="26"/>
      <c r="H928" s="4"/>
    </row>
    <row r="929">
      <c r="D929" s="25"/>
      <c r="E929" s="25"/>
      <c r="F929" s="25"/>
      <c r="G929" s="26"/>
      <c r="H929" s="4"/>
    </row>
    <row r="930">
      <c r="D930" s="25"/>
      <c r="E930" s="25"/>
      <c r="F930" s="25"/>
      <c r="G930" s="26"/>
      <c r="H930" s="4"/>
    </row>
    <row r="931">
      <c r="D931" s="25"/>
      <c r="E931" s="25"/>
      <c r="F931" s="25"/>
      <c r="G931" s="26"/>
      <c r="H931" s="4"/>
    </row>
    <row r="932">
      <c r="D932" s="25"/>
      <c r="E932" s="25"/>
      <c r="F932" s="25"/>
      <c r="G932" s="26"/>
      <c r="H932" s="4"/>
    </row>
    <row r="933">
      <c r="D933" s="25"/>
      <c r="E933" s="25"/>
      <c r="F933" s="25"/>
      <c r="G933" s="26"/>
      <c r="H933" s="4"/>
    </row>
    <row r="934">
      <c r="D934" s="25"/>
      <c r="E934" s="25"/>
      <c r="F934" s="25"/>
      <c r="G934" s="26"/>
      <c r="H934" s="4"/>
    </row>
    <row r="935">
      <c r="D935" s="25"/>
      <c r="E935" s="25"/>
      <c r="F935" s="25"/>
      <c r="G935" s="26"/>
      <c r="H935" s="4"/>
    </row>
    <row r="936">
      <c r="D936" s="25"/>
      <c r="E936" s="25"/>
      <c r="F936" s="25"/>
      <c r="G936" s="26"/>
      <c r="H936" s="4"/>
    </row>
    <row r="937">
      <c r="D937" s="25"/>
      <c r="E937" s="25"/>
      <c r="F937" s="25"/>
      <c r="G937" s="26"/>
      <c r="H937" s="4"/>
    </row>
    <row r="938">
      <c r="D938" s="25"/>
      <c r="E938" s="25"/>
      <c r="F938" s="25"/>
      <c r="G938" s="26"/>
      <c r="H938" s="4"/>
    </row>
    <row r="939">
      <c r="D939" s="25"/>
      <c r="E939" s="25"/>
      <c r="F939" s="25"/>
      <c r="G939" s="26"/>
      <c r="H939" s="4"/>
    </row>
    <row r="940">
      <c r="D940" s="25"/>
      <c r="E940" s="25"/>
      <c r="F940" s="25"/>
      <c r="G940" s="26"/>
      <c r="H940" s="4"/>
    </row>
    <row r="941">
      <c r="D941" s="25"/>
      <c r="E941" s="25"/>
      <c r="F941" s="25"/>
      <c r="G941" s="26"/>
      <c r="H941" s="4"/>
    </row>
    <row r="942">
      <c r="D942" s="25"/>
      <c r="E942" s="25"/>
      <c r="F942" s="25"/>
      <c r="G942" s="26"/>
      <c r="H942" s="4"/>
    </row>
    <row r="943">
      <c r="D943" s="25"/>
      <c r="E943" s="25"/>
      <c r="F943" s="25"/>
      <c r="G943" s="26"/>
      <c r="H943" s="4"/>
    </row>
    <row r="944">
      <c r="D944" s="25"/>
      <c r="E944" s="25"/>
      <c r="F944" s="25"/>
      <c r="G944" s="26"/>
      <c r="H944" s="4"/>
    </row>
    <row r="945">
      <c r="D945" s="25"/>
      <c r="E945" s="25"/>
      <c r="F945" s="25"/>
      <c r="G945" s="26"/>
      <c r="H945" s="4"/>
    </row>
    <row r="946">
      <c r="D946" s="25"/>
      <c r="E946" s="25"/>
      <c r="F946" s="25"/>
      <c r="G946" s="26"/>
      <c r="H946" s="4"/>
    </row>
    <row r="947">
      <c r="D947" s="25"/>
      <c r="E947" s="25"/>
      <c r="F947" s="25"/>
      <c r="G947" s="26"/>
      <c r="H947" s="4"/>
    </row>
    <row r="948">
      <c r="D948" s="25"/>
      <c r="E948" s="25"/>
      <c r="F948" s="25"/>
      <c r="G948" s="26"/>
      <c r="H948" s="4"/>
    </row>
    <row r="949">
      <c r="D949" s="25"/>
      <c r="E949" s="25"/>
      <c r="F949" s="25"/>
      <c r="G949" s="26"/>
      <c r="H949" s="4"/>
    </row>
    <row r="950">
      <c r="D950" s="25"/>
      <c r="E950" s="25"/>
      <c r="F950" s="25"/>
      <c r="G950" s="26"/>
      <c r="H950" s="4"/>
    </row>
    <row r="951">
      <c r="D951" s="25"/>
      <c r="E951" s="25"/>
      <c r="F951" s="25"/>
      <c r="G951" s="26"/>
      <c r="H951" s="4"/>
    </row>
    <row r="952">
      <c r="D952" s="25"/>
      <c r="E952" s="25"/>
      <c r="F952" s="25"/>
      <c r="G952" s="26"/>
      <c r="H952" s="4"/>
    </row>
    <row r="953">
      <c r="D953" s="25"/>
      <c r="E953" s="25"/>
      <c r="F953" s="25"/>
      <c r="G953" s="26"/>
      <c r="H953" s="4"/>
    </row>
    <row r="954">
      <c r="D954" s="25"/>
      <c r="E954" s="25"/>
      <c r="F954" s="25"/>
      <c r="G954" s="26"/>
      <c r="H954" s="4"/>
    </row>
    <row r="955">
      <c r="D955" s="25"/>
      <c r="E955" s="25"/>
      <c r="F955" s="25"/>
      <c r="G955" s="26"/>
      <c r="H955" s="4"/>
    </row>
    <row r="956">
      <c r="D956" s="25"/>
      <c r="E956" s="25"/>
      <c r="F956" s="25"/>
      <c r="G956" s="26"/>
      <c r="H956" s="4"/>
    </row>
    <row r="957">
      <c r="D957" s="25"/>
      <c r="E957" s="25"/>
      <c r="F957" s="25"/>
      <c r="G957" s="26"/>
      <c r="H957" s="4"/>
    </row>
    <row r="958">
      <c r="D958" s="25"/>
      <c r="E958" s="25"/>
      <c r="F958" s="25"/>
      <c r="G958" s="26"/>
      <c r="H958" s="4"/>
    </row>
    <row r="959">
      <c r="D959" s="25"/>
      <c r="E959" s="25"/>
      <c r="F959" s="25"/>
      <c r="G959" s="26"/>
      <c r="H959" s="4"/>
    </row>
    <row r="960">
      <c r="D960" s="25"/>
      <c r="E960" s="25"/>
      <c r="F960" s="25"/>
      <c r="G960" s="26"/>
      <c r="H960" s="4"/>
    </row>
    <row r="961">
      <c r="D961" s="25"/>
      <c r="E961" s="25"/>
      <c r="F961" s="25"/>
      <c r="G961" s="26"/>
      <c r="H961" s="4"/>
    </row>
    <row r="962">
      <c r="D962" s="25"/>
      <c r="E962" s="25"/>
      <c r="F962" s="25"/>
      <c r="G962" s="26"/>
      <c r="H962" s="4"/>
    </row>
    <row r="963">
      <c r="D963" s="25"/>
      <c r="E963" s="25"/>
      <c r="F963" s="25"/>
      <c r="G963" s="26"/>
      <c r="H963" s="4"/>
    </row>
    <row r="964">
      <c r="D964" s="25"/>
      <c r="E964" s="25"/>
      <c r="F964" s="25"/>
      <c r="G964" s="26"/>
      <c r="H964" s="4"/>
    </row>
    <row r="965">
      <c r="D965" s="25"/>
      <c r="E965" s="25"/>
      <c r="F965" s="25"/>
      <c r="G965" s="26"/>
      <c r="H965" s="4"/>
    </row>
    <row r="966">
      <c r="D966" s="25"/>
      <c r="E966" s="25"/>
      <c r="F966" s="25"/>
      <c r="G966" s="26"/>
      <c r="H966" s="4"/>
    </row>
    <row r="967">
      <c r="D967" s="25"/>
      <c r="E967" s="25"/>
      <c r="F967" s="25"/>
      <c r="G967" s="26"/>
      <c r="H967" s="4"/>
    </row>
    <row r="968">
      <c r="D968" s="25"/>
      <c r="E968" s="25"/>
      <c r="F968" s="25"/>
      <c r="G968" s="26"/>
      <c r="H968" s="4"/>
    </row>
    <row r="969">
      <c r="D969" s="25"/>
      <c r="E969" s="25"/>
      <c r="F969" s="25"/>
      <c r="G969" s="26"/>
      <c r="H969" s="4"/>
    </row>
    <row r="970">
      <c r="D970" s="25"/>
      <c r="E970" s="25"/>
      <c r="F970" s="25"/>
      <c r="G970" s="26"/>
      <c r="H970" s="4"/>
    </row>
    <row r="971">
      <c r="D971" s="25"/>
      <c r="E971" s="25"/>
      <c r="F971" s="25"/>
      <c r="G971" s="26"/>
      <c r="H971" s="4"/>
    </row>
    <row r="972">
      <c r="D972" s="25"/>
      <c r="E972" s="25"/>
      <c r="F972" s="25"/>
      <c r="G972" s="26"/>
      <c r="H972" s="4"/>
    </row>
    <row r="973">
      <c r="D973" s="25"/>
      <c r="E973" s="25"/>
      <c r="F973" s="25"/>
      <c r="G973" s="26"/>
      <c r="H973" s="4"/>
    </row>
    <row r="974">
      <c r="D974" s="25"/>
      <c r="E974" s="25"/>
      <c r="F974" s="25"/>
      <c r="G974" s="26"/>
      <c r="H974" s="4"/>
    </row>
    <row r="975">
      <c r="D975" s="25"/>
      <c r="E975" s="25"/>
      <c r="F975" s="25"/>
      <c r="G975" s="26"/>
      <c r="H975" s="4"/>
    </row>
    <row r="976">
      <c r="D976" s="25"/>
      <c r="E976" s="25"/>
      <c r="F976" s="25"/>
      <c r="G976" s="26"/>
      <c r="H976" s="4"/>
    </row>
    <row r="977">
      <c r="D977" s="25"/>
      <c r="E977" s="25"/>
      <c r="F977" s="25"/>
      <c r="G977" s="26"/>
      <c r="H977" s="4"/>
    </row>
    <row r="978">
      <c r="D978" s="25"/>
      <c r="E978" s="25"/>
      <c r="F978" s="25"/>
      <c r="G978" s="26"/>
      <c r="H978" s="4"/>
    </row>
    <row r="979">
      <c r="D979" s="25"/>
      <c r="E979" s="25"/>
      <c r="F979" s="25"/>
      <c r="G979" s="26"/>
      <c r="H979" s="4"/>
    </row>
    <row r="980">
      <c r="D980" s="25"/>
      <c r="E980" s="25"/>
      <c r="F980" s="25"/>
      <c r="G980" s="26"/>
      <c r="H980" s="4"/>
    </row>
    <row r="981">
      <c r="D981" s="25"/>
      <c r="E981" s="25"/>
      <c r="F981" s="25"/>
      <c r="G981" s="26"/>
      <c r="H981" s="4"/>
    </row>
    <row r="982">
      <c r="D982" s="25"/>
      <c r="E982" s="25"/>
      <c r="F982" s="25"/>
      <c r="G982" s="26"/>
      <c r="H982" s="4"/>
    </row>
    <row r="983">
      <c r="D983" s="25"/>
      <c r="E983" s="25"/>
      <c r="F983" s="25"/>
      <c r="G983" s="26"/>
      <c r="H983" s="4"/>
    </row>
    <row r="984">
      <c r="D984" s="25"/>
      <c r="E984" s="25"/>
      <c r="F984" s="25"/>
      <c r="G984" s="26"/>
      <c r="H984" s="4"/>
    </row>
    <row r="985">
      <c r="D985" s="25"/>
      <c r="E985" s="25"/>
      <c r="F985" s="25"/>
      <c r="G985" s="26"/>
      <c r="H985" s="4"/>
    </row>
    <row r="986">
      <c r="D986" s="25"/>
      <c r="E986" s="25"/>
      <c r="F986" s="25"/>
      <c r="G986" s="26"/>
      <c r="H986" s="4"/>
    </row>
    <row r="987">
      <c r="D987" s="25"/>
      <c r="E987" s="25"/>
      <c r="F987" s="25"/>
      <c r="G987" s="26"/>
      <c r="H987" s="4"/>
    </row>
    <row r="988">
      <c r="D988" s="25"/>
      <c r="E988" s="25"/>
      <c r="F988" s="25"/>
      <c r="G988" s="26"/>
      <c r="H988" s="4"/>
    </row>
    <row r="989">
      <c r="D989" s="25"/>
      <c r="E989" s="25"/>
      <c r="F989" s="25"/>
      <c r="G989" s="26"/>
      <c r="H989" s="4"/>
    </row>
    <row r="990">
      <c r="D990" s="25"/>
      <c r="E990" s="25"/>
      <c r="F990" s="25"/>
      <c r="G990" s="26"/>
      <c r="H990" s="4"/>
    </row>
    <row r="991">
      <c r="D991" s="25"/>
      <c r="E991" s="25"/>
      <c r="F991" s="25"/>
      <c r="G991" s="26"/>
      <c r="H991" s="4"/>
    </row>
    <row r="992">
      <c r="D992" s="25"/>
      <c r="E992" s="25"/>
      <c r="F992" s="25"/>
      <c r="G992" s="26"/>
      <c r="H992" s="4"/>
    </row>
    <row r="993">
      <c r="D993" s="25"/>
      <c r="E993" s="25"/>
      <c r="F993" s="25"/>
      <c r="G993" s="26"/>
      <c r="H993" s="4"/>
    </row>
    <row r="994">
      <c r="D994" s="25"/>
      <c r="E994" s="25"/>
      <c r="F994" s="25"/>
      <c r="G994" s="26"/>
      <c r="H994" s="4"/>
    </row>
    <row r="995">
      <c r="D995" s="25"/>
      <c r="E995" s="25"/>
      <c r="F995" s="25"/>
      <c r="G995" s="26"/>
      <c r="H995" s="4"/>
    </row>
    <row r="996">
      <c r="D996" s="25"/>
      <c r="E996" s="25"/>
      <c r="F996" s="25"/>
      <c r="G996" s="26"/>
      <c r="H996" s="4"/>
    </row>
    <row r="997">
      <c r="D997" s="25"/>
      <c r="E997" s="25"/>
      <c r="F997" s="25"/>
      <c r="G997" s="26"/>
      <c r="H997" s="4"/>
    </row>
    <row r="998">
      <c r="D998" s="25"/>
      <c r="E998" s="25"/>
      <c r="F998" s="25"/>
      <c r="G998" s="26"/>
      <c r="H998" s="4"/>
    </row>
    <row r="999">
      <c r="D999" s="25"/>
      <c r="E999" s="25"/>
      <c r="F999" s="25"/>
      <c r="G999" s="26"/>
      <c r="H999" s="4"/>
    </row>
    <row r="1000"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45818E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896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IFERROR(__xludf.DUMMYFUNCTION("IMPORTRANGE(""https://docs.google.com/spreadsheets/d/1Q3QCcTPZvB8RpiTO_8cr79Aeft_NobLcDaNxsXlq1C4/edit#gid=1120027332"",""Leaders!A3:G502"")"),"Taylor Rochestie")</f>
        <v>Taylor Rochestie</v>
      </c>
      <c r="B3" s="13" t="str">
        <f>IFERROR(__xludf.DUMMYFUNCTION("""COMPUTED_VALUE"""),"ZVE")</f>
        <v>ZVE</v>
      </c>
      <c r="C3" s="14">
        <f>IFERROR(__xludf.DUMMYFUNCTION("""COMPUTED_VALUE"""),734.6)</f>
        <v>734.6</v>
      </c>
      <c r="D3" s="15">
        <f>IFERROR(__xludf.DUMMYFUNCTION("""COMPUTED_VALUE"""),7.070617897708004)</f>
        <v>7.070617898</v>
      </c>
      <c r="E3" s="15">
        <f>IFERROR(__xludf.DUMMYFUNCTION("""COMPUTED_VALUE"""),0.276872942960555)</f>
        <v>0.276872943</v>
      </c>
      <c r="F3" s="15">
        <f>IFERROR(__xludf.DUMMYFUNCTION("""COMPUTED_VALUE"""),7.347490840668559)</f>
        <v>7.347490841</v>
      </c>
      <c r="G3" s="17">
        <f>IFERROR(__xludf.DUMMYFUNCTION("""COMPUTED_VALUE"""),2.222150837860568)</f>
        <v>2.222150838</v>
      </c>
      <c r="H3" s="4"/>
      <c r="I3" s="5" t="s">
        <v>150</v>
      </c>
      <c r="J3" s="5" t="s">
        <v>137</v>
      </c>
      <c r="K3" s="24">
        <v>735.0</v>
      </c>
      <c r="L3" s="5">
        <v>7.07062</v>
      </c>
      <c r="M3" s="5">
        <v>0.27687</v>
      </c>
      <c r="N3" s="5">
        <v>7.34749</v>
      </c>
      <c r="O3" s="5">
        <v>2.22215</v>
      </c>
    </row>
    <row r="4">
      <c r="A4" s="18" t="str">
        <f>IFERROR(__xludf.DUMMYFUNCTION("""COMPUTED_VALUE"""),"Mathias Lessort")</f>
        <v>Mathias Lessort</v>
      </c>
      <c r="B4" s="19" t="str">
        <f>IFERROR(__xludf.DUMMYFUNCTION("""COMPUTED_VALUE"""),"ZVE")</f>
        <v>ZVE</v>
      </c>
      <c r="C4" s="20">
        <f>IFERROR(__xludf.DUMMYFUNCTION("""COMPUTED_VALUE"""),532.8)</f>
        <v>532.8</v>
      </c>
      <c r="D4" s="21">
        <f>IFERROR(__xludf.DUMMYFUNCTION("""COMPUTED_VALUE"""),1.2023909604876872)</f>
        <v>1.20239096</v>
      </c>
      <c r="E4" s="21">
        <f>IFERROR(__xludf.DUMMYFUNCTION("""COMPUTED_VALUE"""),4.451881950201356)</f>
        <v>4.45188195</v>
      </c>
      <c r="F4" s="21">
        <f>IFERROR(__xludf.DUMMYFUNCTION("""COMPUTED_VALUE"""),5.654272910689043)</f>
        <v>5.654272911</v>
      </c>
      <c r="G4" s="23">
        <f>IFERROR(__xludf.DUMMYFUNCTION("""COMPUTED_VALUE"""),1.3197623109271628)</f>
        <v>1.319762311</v>
      </c>
      <c r="H4" s="4"/>
      <c r="I4" s="5" t="s">
        <v>338</v>
      </c>
      <c r="J4" s="5" t="s">
        <v>137</v>
      </c>
      <c r="K4" s="24">
        <v>533.0</v>
      </c>
      <c r="L4" s="5">
        <v>1.20239</v>
      </c>
      <c r="M4" s="5">
        <v>4.45188</v>
      </c>
      <c r="N4" s="5">
        <v>5.65427</v>
      </c>
      <c r="O4" s="5">
        <v>1.31976</v>
      </c>
    </row>
    <row r="5">
      <c r="A5" s="12" t="str">
        <f>IFERROR(__xludf.DUMMYFUNCTION("""COMPUTED_VALUE"""),"Ognjen Dobric")</f>
        <v>Ognjen Dobric</v>
      </c>
      <c r="B5" s="13" t="str">
        <f>IFERROR(__xludf.DUMMYFUNCTION("""COMPUTED_VALUE"""),"ZVE")</f>
        <v>ZVE</v>
      </c>
      <c r="C5" s="14">
        <f>IFERROR(__xludf.DUMMYFUNCTION("""COMPUTED_VALUE"""),449.3)</f>
        <v>449.3</v>
      </c>
      <c r="D5" s="15">
        <f>IFERROR(__xludf.DUMMYFUNCTION("""COMPUTED_VALUE"""),4.459431598791802)</f>
        <v>4.459431599</v>
      </c>
      <c r="E5" s="15">
        <f>IFERROR(__xludf.DUMMYFUNCTION("""COMPUTED_VALUE"""),1.132926838971291)</f>
        <v>1.132926839</v>
      </c>
      <c r="F5" s="15">
        <f>IFERROR(__xludf.DUMMYFUNCTION("""COMPUTED_VALUE"""),5.592358437763093)</f>
        <v>5.592358438</v>
      </c>
      <c r="G5" s="17">
        <f>IFERROR(__xludf.DUMMYFUNCTION("""COMPUTED_VALUE"""),1.103927836450762)</f>
        <v>1.103927836</v>
      </c>
      <c r="H5" s="4"/>
      <c r="I5" s="5" t="s">
        <v>327</v>
      </c>
      <c r="J5" s="5" t="s">
        <v>137</v>
      </c>
      <c r="K5" s="5">
        <v>449.0</v>
      </c>
      <c r="L5" s="5">
        <v>4.45943</v>
      </c>
      <c r="M5" s="5">
        <v>1.13293</v>
      </c>
      <c r="N5" s="5">
        <v>5.59236</v>
      </c>
      <c r="O5" s="5">
        <v>1.10393</v>
      </c>
    </row>
    <row r="6">
      <c r="A6" s="18" t="str">
        <f>IFERROR(__xludf.DUMMYFUNCTION("""COMPUTED_VALUE"""),"Nikola Ivanovic")</f>
        <v>Nikola Ivanovic</v>
      </c>
      <c r="B6" s="19" t="str">
        <f>IFERROR(__xludf.DUMMYFUNCTION("""COMPUTED_VALUE"""),"BUD")</f>
        <v>BUD</v>
      </c>
      <c r="C6" s="20">
        <f>IFERROR(__xludf.DUMMYFUNCTION("""COMPUTED_VALUE"""),658.8)</f>
        <v>658.8</v>
      </c>
      <c r="D6" s="21">
        <f>IFERROR(__xludf.DUMMYFUNCTION("""COMPUTED_VALUE"""),5.5489135216582515)</f>
        <v>5.548913522</v>
      </c>
      <c r="E6" s="21">
        <f>IFERROR(__xludf.DUMMYFUNCTION("""COMPUTED_VALUE"""),-0.004820998880893157)</f>
        <v>-0.004820998881</v>
      </c>
      <c r="F6" s="21">
        <f>IFERROR(__xludf.DUMMYFUNCTION("""COMPUTED_VALUE"""),5.544092522777358)</f>
        <v>5.544092523</v>
      </c>
      <c r="G6" s="23">
        <f>IFERROR(__xludf.DUMMYFUNCTION("""COMPUTED_VALUE"""),1.5158858466472878)</f>
        <v>1.515885847</v>
      </c>
      <c r="H6" s="4"/>
      <c r="I6" s="5" t="s">
        <v>913</v>
      </c>
      <c r="J6" s="5" t="s">
        <v>914</v>
      </c>
      <c r="K6" s="5">
        <v>659.0</v>
      </c>
      <c r="L6" s="5">
        <v>5.54891</v>
      </c>
      <c r="M6" s="5">
        <v>-0.00482</v>
      </c>
      <c r="N6" s="5">
        <v>5.54409</v>
      </c>
      <c r="O6" s="5">
        <v>1.51589</v>
      </c>
    </row>
    <row r="7">
      <c r="A7" s="12" t="str">
        <f>IFERROR(__xludf.DUMMYFUNCTION("""COMPUTED_VALUE"""),"Dejan Davidovac")</f>
        <v>Dejan Davidovac</v>
      </c>
      <c r="B7" s="13" t="str">
        <f>IFERROR(__xludf.DUMMYFUNCTION("""COMPUTED_VALUE"""),"ZVE")</f>
        <v>ZVE</v>
      </c>
      <c r="C7" s="14">
        <f>IFERROR(__xludf.DUMMYFUNCTION("""COMPUTED_VALUE"""),383.6)</f>
        <v>383.6</v>
      </c>
      <c r="D7" s="15">
        <f>IFERROR(__xludf.DUMMYFUNCTION("""COMPUTED_VALUE"""),1.2904627963321527)</f>
        <v>1.290462796</v>
      </c>
      <c r="E7" s="15">
        <f>IFERROR(__xludf.DUMMYFUNCTION("""COMPUTED_VALUE"""),4.0775736334984085)</f>
        <v>4.077573633</v>
      </c>
      <c r="F7" s="15">
        <f>IFERROR(__xludf.DUMMYFUNCTION("""COMPUTED_VALUE"""),5.368036429830561)</f>
        <v>5.36803643</v>
      </c>
      <c r="G7" s="17">
        <f>IFERROR(__xludf.DUMMYFUNCTION("""COMPUTED_VALUE"""),0.9146562911492978)</f>
        <v>0.9146562911</v>
      </c>
      <c r="H7" s="4"/>
      <c r="I7" s="5" t="s">
        <v>136</v>
      </c>
      <c r="J7" s="5" t="s">
        <v>137</v>
      </c>
      <c r="K7" s="24">
        <v>384.0</v>
      </c>
      <c r="L7" s="5">
        <v>1.29046</v>
      </c>
      <c r="M7" s="5">
        <v>4.07757</v>
      </c>
      <c r="N7" s="5">
        <v>5.36804</v>
      </c>
      <c r="O7" s="5">
        <v>0.91466</v>
      </c>
    </row>
    <row r="8">
      <c r="A8" s="18" t="str">
        <f>IFERROR(__xludf.DUMMYFUNCTION("""COMPUTED_VALUE"""),"Alen Omic")</f>
        <v>Alen Omic</v>
      </c>
      <c r="B8" s="19" t="str">
        <f>IFERROR(__xludf.DUMMYFUNCTION("""COMPUTED_VALUE"""),"ZVE")</f>
        <v>ZVE</v>
      </c>
      <c r="C8" s="20">
        <f>IFERROR(__xludf.DUMMYFUNCTION("""COMPUTED_VALUE"""),225.8)</f>
        <v>225.8</v>
      </c>
      <c r="D8" s="21">
        <f>IFERROR(__xludf.DUMMYFUNCTION("""COMPUTED_VALUE"""),3.378977116861758)</f>
        <v>3.378977117</v>
      </c>
      <c r="E8" s="21">
        <f>IFERROR(__xludf.DUMMYFUNCTION("""COMPUTED_VALUE"""),1.9518775415826481)</f>
        <v>1.951877542</v>
      </c>
      <c r="F8" s="21">
        <f>IFERROR(__xludf.DUMMYFUNCTION("""COMPUTED_VALUE"""),5.330854658444406)</f>
        <v>5.330854658</v>
      </c>
      <c r="G8" s="23">
        <f>IFERROR(__xludf.DUMMYFUNCTION("""COMPUTED_VALUE"""),0.5356808359961832)</f>
        <v>0.535680836</v>
      </c>
      <c r="H8" s="4"/>
      <c r="I8" s="5" t="s">
        <v>369</v>
      </c>
      <c r="J8" s="5" t="s">
        <v>137</v>
      </c>
      <c r="K8" s="5">
        <v>226.0</v>
      </c>
      <c r="L8" s="5">
        <v>3.37898</v>
      </c>
      <c r="M8" s="5">
        <v>1.95188</v>
      </c>
      <c r="N8" s="5">
        <v>5.33085</v>
      </c>
      <c r="O8" s="5">
        <v>0.53568</v>
      </c>
    </row>
    <row r="9">
      <c r="A9" s="12" t="str">
        <f>IFERROR(__xludf.DUMMYFUNCTION("""COMPUTED_VALUE"""),"Uros Lukovic")</f>
        <v>Uros Lukovic</v>
      </c>
      <c r="B9" s="13" t="str">
        <f>IFERROR(__xludf.DUMMYFUNCTION("""COMPUTED_VALUE"""),"MOR")</f>
        <v>MOR</v>
      </c>
      <c r="C9" s="14">
        <f>IFERROR(__xludf.DUMMYFUNCTION("""COMPUTED_VALUE"""),521.9)</f>
        <v>521.9</v>
      </c>
      <c r="D9" s="15">
        <f>IFERROR(__xludf.DUMMYFUNCTION("""COMPUTED_VALUE"""),2.0300712103619034)</f>
        <v>2.03007121</v>
      </c>
      <c r="E9" s="15">
        <f>IFERROR(__xludf.DUMMYFUNCTION("""COMPUTED_VALUE"""),3.2755256341846657)</f>
        <v>3.275525634</v>
      </c>
      <c r="F9" s="15">
        <f>IFERROR(__xludf.DUMMYFUNCTION("""COMPUTED_VALUE"""),5.305596844546569)</f>
        <v>5.305596845</v>
      </c>
      <c r="G9" s="17">
        <f>IFERROR(__xludf.DUMMYFUNCTION("""COMPUTED_VALUE"""),1.162947975514365)</f>
        <v>1.162947976</v>
      </c>
      <c r="H9" s="4"/>
      <c r="I9" s="5" t="s">
        <v>920</v>
      </c>
      <c r="J9" s="5" t="s">
        <v>921</v>
      </c>
      <c r="K9" s="5">
        <v>522.0</v>
      </c>
      <c r="L9" s="5">
        <v>2.03007</v>
      </c>
      <c r="M9" s="5">
        <v>3.27553</v>
      </c>
      <c r="N9" s="5">
        <v>5.3056</v>
      </c>
      <c r="O9" s="5">
        <v>1.16295</v>
      </c>
    </row>
    <row r="10">
      <c r="A10" s="18" t="str">
        <f>IFERROR(__xludf.DUMMYFUNCTION("""COMPUTED_VALUE"""),"Suad Sehovic")</f>
        <v>Suad Sehovic</v>
      </c>
      <c r="B10" s="19" t="str">
        <f>IFERROR(__xludf.DUMMYFUNCTION("""COMPUTED_VALUE"""),"BUD")</f>
        <v>BUD</v>
      </c>
      <c r="C10" s="20">
        <f>IFERROR(__xludf.DUMMYFUNCTION("""COMPUTED_VALUE"""),524.2)</f>
        <v>524.2</v>
      </c>
      <c r="D10" s="21">
        <f>IFERROR(__xludf.DUMMYFUNCTION("""COMPUTED_VALUE"""),3.5370233393564567)</f>
        <v>3.537023339</v>
      </c>
      <c r="E10" s="21">
        <f>IFERROR(__xludf.DUMMYFUNCTION("""COMPUTED_VALUE"""),1.6528099479397542)</f>
        <v>1.652809948</v>
      </c>
      <c r="F10" s="21">
        <f>IFERROR(__xludf.DUMMYFUNCTION("""COMPUTED_VALUE"""),5.189833287296211)</f>
        <v>5.189833287</v>
      </c>
      <c r="G10" s="23">
        <f>IFERROR(__xludf.DUMMYFUNCTION("""COMPUTED_VALUE"""),1.1495337817122342)</f>
        <v>1.149533782</v>
      </c>
      <c r="H10" s="4"/>
      <c r="I10" s="5" t="s">
        <v>923</v>
      </c>
      <c r="J10" s="5" t="s">
        <v>914</v>
      </c>
      <c r="K10" s="24">
        <v>524.0</v>
      </c>
      <c r="L10" s="5">
        <v>3.53702</v>
      </c>
      <c r="M10" s="5">
        <v>1.65281</v>
      </c>
      <c r="N10" s="5">
        <v>5.18983</v>
      </c>
      <c r="O10" s="5">
        <v>1.14953</v>
      </c>
    </row>
    <row r="11">
      <c r="A11" s="12" t="str">
        <f>IFERROR(__xludf.DUMMYFUNCTION("""COMPUTED_VALUE"""),"Demetris Nichols")</f>
        <v>Demetris Nichols</v>
      </c>
      <c r="B11" s="13" t="str">
        <f>IFERROR(__xludf.DUMMYFUNCTION("""COMPUTED_VALUE"""),"CED")</f>
        <v>CED</v>
      </c>
      <c r="C11" s="14">
        <f>IFERROR(__xludf.DUMMYFUNCTION("""COMPUTED_VALUE"""),690.5)</f>
        <v>690.5</v>
      </c>
      <c r="D11" s="15">
        <f>IFERROR(__xludf.DUMMYFUNCTION("""COMPUTED_VALUE"""),2.4399716832427862)</f>
        <v>2.439971683</v>
      </c>
      <c r="E11" s="15">
        <f>IFERROR(__xludf.DUMMYFUNCTION("""COMPUTED_VALUE"""),2.615821424201385)</f>
        <v>2.615821424</v>
      </c>
      <c r="F11" s="15">
        <f>IFERROR(__xludf.DUMMYFUNCTION("""COMPUTED_VALUE"""),5.055793107444171)</f>
        <v>5.055793107</v>
      </c>
      <c r="G11" s="17">
        <f>IFERROR(__xludf.DUMMYFUNCTION("""COMPUTED_VALUE"""),1.4711912349977314)</f>
        <v>1.471191235</v>
      </c>
      <c r="H11" s="4"/>
      <c r="I11" s="5" t="s">
        <v>927</v>
      </c>
      <c r="J11" s="5" t="s">
        <v>928</v>
      </c>
      <c r="K11" s="5">
        <v>691.0</v>
      </c>
      <c r="L11" s="5">
        <v>2.43997</v>
      </c>
      <c r="M11" s="5">
        <v>2.61582</v>
      </c>
      <c r="N11" s="5">
        <v>5.05579</v>
      </c>
      <c r="O11" s="5">
        <v>1.47119</v>
      </c>
    </row>
    <row r="12">
      <c r="A12" s="18" t="str">
        <f>IFERROR(__xludf.DUMMYFUNCTION("""COMPUTED_VALUE"""),"Zoran Nikolic")</f>
        <v>Zoran Nikolic</v>
      </c>
      <c r="B12" s="19" t="str">
        <f>IFERROR(__xludf.DUMMYFUNCTION("""COMPUTED_VALUE"""),"BUD")</f>
        <v>BUD</v>
      </c>
      <c r="C12" s="20">
        <f>IFERROR(__xludf.DUMMYFUNCTION("""COMPUTED_VALUE"""),481.4)</f>
        <v>481.4</v>
      </c>
      <c r="D12" s="21">
        <f>IFERROR(__xludf.DUMMYFUNCTION("""COMPUTED_VALUE"""),-1.020469632737277)</f>
        <v>-1.020469633</v>
      </c>
      <c r="E12" s="21">
        <f>IFERROR(__xludf.DUMMYFUNCTION("""COMPUTED_VALUE"""),5.572411210873891)</f>
        <v>5.572411211</v>
      </c>
      <c r="F12" s="21">
        <f>IFERROR(__xludf.DUMMYFUNCTION("""COMPUTED_VALUE"""),4.5519415781366135)</f>
        <v>4.551941578</v>
      </c>
      <c r="G12" s="23">
        <f>IFERROR(__xludf.DUMMYFUNCTION("""COMPUTED_VALUE"""),0.9620153545004956)</f>
        <v>0.9620153545</v>
      </c>
      <c r="H12" s="4"/>
      <c r="I12" s="5" t="s">
        <v>932</v>
      </c>
      <c r="J12" s="5" t="s">
        <v>914</v>
      </c>
      <c r="K12" s="24">
        <v>481.0</v>
      </c>
      <c r="L12" s="5">
        <v>-1.02047</v>
      </c>
      <c r="M12" s="5">
        <v>5.57241</v>
      </c>
      <c r="N12" s="5">
        <v>4.55194</v>
      </c>
      <c r="O12" s="5">
        <v>0.96202</v>
      </c>
    </row>
    <row r="13">
      <c r="A13" s="12" t="str">
        <f>IFERROR(__xludf.DUMMYFUNCTION("""COMPUTED_VALUE"""),"Dylan Ennis")</f>
        <v>Dylan Ennis</v>
      </c>
      <c r="B13" s="13" t="str">
        <f>IFERROR(__xludf.DUMMYFUNCTION("""COMPUTED_VALUE"""),"MEG")</f>
        <v>MEG</v>
      </c>
      <c r="C13" s="14">
        <f>IFERROR(__xludf.DUMMYFUNCTION("""COMPUTED_VALUE"""),318.79999999999995)</f>
        <v>318.8</v>
      </c>
      <c r="D13" s="15">
        <f>IFERROR(__xludf.DUMMYFUNCTION("""COMPUTED_VALUE"""),1.6067168584489562)</f>
        <v>1.606716858</v>
      </c>
      <c r="E13" s="15">
        <f>IFERROR(__xludf.DUMMYFUNCTION("""COMPUTED_VALUE"""),2.793333356773112)</f>
        <v>2.793333357</v>
      </c>
      <c r="F13" s="15">
        <f>IFERROR(__xludf.DUMMYFUNCTION("""COMPUTED_VALUE"""),4.400050215222068)</f>
        <v>4.400050215</v>
      </c>
      <c r="G13" s="17">
        <f>IFERROR(__xludf.DUMMYFUNCTION("""COMPUTED_VALUE"""),0.630087273904723)</f>
        <v>0.6300872739</v>
      </c>
      <c r="H13" s="4"/>
      <c r="I13" s="5" t="s">
        <v>454</v>
      </c>
      <c r="J13" s="5" t="s">
        <v>934</v>
      </c>
      <c r="K13" s="24">
        <v>319.0</v>
      </c>
      <c r="L13" s="5">
        <v>1.60672</v>
      </c>
      <c r="M13" s="5">
        <v>2.79333</v>
      </c>
      <c r="N13" s="5">
        <v>4.40005</v>
      </c>
      <c r="O13" s="5">
        <v>0.63009</v>
      </c>
    </row>
    <row r="14">
      <c r="A14" s="18" t="str">
        <f>IFERROR(__xludf.DUMMYFUNCTION("""COMPUTED_VALUE"""),"Kyle Landry")</f>
        <v>Kyle Landry</v>
      </c>
      <c r="B14" s="19" t="str">
        <f>IFERROR(__xludf.DUMMYFUNCTION("""COMPUTED_VALUE"""),"BUD")</f>
        <v>BUD</v>
      </c>
      <c r="C14" s="20">
        <f>IFERROR(__xludf.DUMMYFUNCTION("""COMPUTED_VALUE"""),435.1)</f>
        <v>435.1</v>
      </c>
      <c r="D14" s="21">
        <f>IFERROR(__xludf.DUMMYFUNCTION("""COMPUTED_VALUE"""),2.7775474492335386)</f>
        <v>2.777547449</v>
      </c>
      <c r="E14" s="21">
        <f>IFERROR(__xludf.DUMMYFUNCTION("""COMPUTED_VALUE"""),1.5353669845790305)</f>
        <v>1.535366985</v>
      </c>
      <c r="F14" s="21">
        <f>IFERROR(__xludf.DUMMYFUNCTION("""COMPUTED_VALUE"""),4.312914433812569)</f>
        <v>4.312914434</v>
      </c>
      <c r="G14" s="23">
        <f>IFERROR(__xludf.DUMMYFUNCTION("""COMPUTED_VALUE"""),0.8377701605122095)</f>
        <v>0.8377701605</v>
      </c>
      <c r="H14" s="4"/>
      <c r="I14" s="5" t="s">
        <v>938</v>
      </c>
      <c r="J14" s="5" t="s">
        <v>914</v>
      </c>
      <c r="K14" s="5">
        <v>435.0</v>
      </c>
      <c r="L14" s="5">
        <v>2.77755</v>
      </c>
      <c r="M14" s="5">
        <v>1.53537</v>
      </c>
      <c r="N14" s="5">
        <v>4.31291</v>
      </c>
      <c r="O14" s="5">
        <v>0.83777</v>
      </c>
    </row>
    <row r="15">
      <c r="A15" s="12" t="str">
        <f>IFERROR(__xludf.DUMMYFUNCTION("""COMPUTED_VALUE"""),"Will Cherry")</f>
        <v>Will Cherry</v>
      </c>
      <c r="B15" s="13" t="str">
        <f>IFERROR(__xludf.DUMMYFUNCTION("""COMPUTED_VALUE"""),"CED")</f>
        <v>CED</v>
      </c>
      <c r="C15" s="14">
        <f>IFERROR(__xludf.DUMMYFUNCTION("""COMPUTED_VALUE"""),632.6)</f>
        <v>632.6</v>
      </c>
      <c r="D15" s="15">
        <f>IFERROR(__xludf.DUMMYFUNCTION("""COMPUTED_VALUE"""),1.3573982790135157)</f>
        <v>1.357398279</v>
      </c>
      <c r="E15" s="15">
        <f>IFERROR(__xludf.DUMMYFUNCTION("""COMPUTED_VALUE"""),2.5274527027072)</f>
        <v>2.527452703</v>
      </c>
      <c r="F15" s="15">
        <f>IFERROR(__xludf.DUMMYFUNCTION("""COMPUTED_VALUE"""),3.8848509817207155)</f>
        <v>3.884850982</v>
      </c>
      <c r="G15" s="17">
        <f>IFERROR(__xludf.DUMMYFUNCTION("""COMPUTED_VALUE"""),1.1241500022214281)</f>
        <v>1.124150002</v>
      </c>
      <c r="H15" s="4"/>
      <c r="I15" s="5" t="s">
        <v>943</v>
      </c>
      <c r="J15" s="5" t="s">
        <v>928</v>
      </c>
      <c r="K15" s="5">
        <v>633.0</v>
      </c>
      <c r="L15" s="5">
        <v>1.3574</v>
      </c>
      <c r="M15" s="5">
        <v>2.52745</v>
      </c>
      <c r="N15" s="5">
        <v>3.88485</v>
      </c>
      <c r="O15" s="5">
        <v>1.12415</v>
      </c>
    </row>
    <row r="16">
      <c r="A16" s="18" t="str">
        <f>IFERROR(__xludf.DUMMYFUNCTION("""COMPUTED_VALUE"""),"Aleksa Ilic")</f>
        <v>Aleksa Ilic</v>
      </c>
      <c r="B16" s="19" t="str">
        <f>IFERROR(__xludf.DUMMYFUNCTION("""COMPUTED_VALUE"""),"BUD")</f>
        <v>BUD</v>
      </c>
      <c r="C16" s="20">
        <f>IFERROR(__xludf.DUMMYFUNCTION("""COMPUTED_VALUE"""),336.8)</f>
        <v>336.8</v>
      </c>
      <c r="D16" s="21">
        <f>IFERROR(__xludf.DUMMYFUNCTION("""COMPUTED_VALUE"""),-1.561965567596932)</f>
        <v>-1.561965568</v>
      </c>
      <c r="E16" s="21">
        <f>IFERROR(__xludf.DUMMYFUNCTION("""COMPUTED_VALUE"""),5.434381734276816)</f>
        <v>5.434381734</v>
      </c>
      <c r="F16" s="21">
        <f>IFERROR(__xludf.DUMMYFUNCTION("""COMPUTED_VALUE"""),3.8724161666798844)</f>
        <v>3.872416167</v>
      </c>
      <c r="G16" s="23">
        <f>IFERROR(__xludf.DUMMYFUNCTION("""COMPUTED_VALUE"""),0.6032464987950835)</f>
        <v>0.6032464988</v>
      </c>
      <c r="H16" s="4"/>
      <c r="I16" s="5" t="s">
        <v>946</v>
      </c>
      <c r="J16" s="5" t="s">
        <v>914</v>
      </c>
      <c r="K16" s="24">
        <v>337.0</v>
      </c>
      <c r="L16" s="5">
        <v>-1.56197</v>
      </c>
      <c r="M16" s="5">
        <v>5.43438</v>
      </c>
      <c r="N16" s="5">
        <v>3.87242</v>
      </c>
      <c r="O16" s="5">
        <v>0.60325</v>
      </c>
    </row>
    <row r="17">
      <c r="A17" s="12" t="str">
        <f>IFERROR(__xludf.DUMMYFUNCTION("""COMPUTED_VALUE"""),"James Feldeine")</f>
        <v>James Feldeine</v>
      </c>
      <c r="B17" s="13" t="str">
        <f>IFERROR(__xludf.DUMMYFUNCTION("""COMPUTED_VALUE"""),"ZVE")</f>
        <v>ZVE</v>
      </c>
      <c r="C17" s="14">
        <f>IFERROR(__xludf.DUMMYFUNCTION("""COMPUTED_VALUE"""),666.3)</f>
        <v>666.3</v>
      </c>
      <c r="D17" s="15">
        <f>IFERROR(__xludf.DUMMYFUNCTION("""COMPUTED_VALUE"""),4.065183916581958)</f>
        <v>4.065183917</v>
      </c>
      <c r="E17" s="15">
        <f>IFERROR(__xludf.DUMMYFUNCTION("""COMPUTED_VALUE"""),-0.4254147390360181)</f>
        <v>-0.425414739</v>
      </c>
      <c r="F17" s="15">
        <f>IFERROR(__xludf.DUMMYFUNCTION("""COMPUTED_VALUE"""),3.63976917754594)</f>
        <v>3.639769178</v>
      </c>
      <c r="G17" s="17">
        <f>IFERROR(__xludf.DUMMYFUNCTION("""COMPUTED_VALUE"""),1.2160703671946145)</f>
        <v>1.216070367</v>
      </c>
      <c r="H17" s="4"/>
      <c r="I17" s="5" t="s">
        <v>479</v>
      </c>
      <c r="J17" s="5" t="s">
        <v>137</v>
      </c>
      <c r="K17" s="5">
        <v>666.0</v>
      </c>
      <c r="L17" s="5">
        <v>4.06518</v>
      </c>
      <c r="M17" s="5">
        <v>-0.42541</v>
      </c>
      <c r="N17" s="5">
        <v>3.63977</v>
      </c>
      <c r="O17" s="5">
        <v>1.21607</v>
      </c>
    </row>
    <row r="18">
      <c r="A18" s="18" t="str">
        <f>IFERROR(__xludf.DUMMYFUNCTION("""COMPUTED_VALUE"""),"Devin Oliver")</f>
        <v>Devin Oliver</v>
      </c>
      <c r="B18" s="19" t="str">
        <f>IFERROR(__xludf.DUMMYFUNCTION("""COMPUTED_VALUE"""),"OLI")</f>
        <v>OLI</v>
      </c>
      <c r="C18" s="20">
        <f>IFERROR(__xludf.DUMMYFUNCTION("""COMPUTED_VALUE"""),690.1)</f>
        <v>690.1</v>
      </c>
      <c r="D18" s="21">
        <f>IFERROR(__xludf.DUMMYFUNCTION("""COMPUTED_VALUE"""),0.5650249776930598)</f>
        <v>0.5650249777</v>
      </c>
      <c r="E18" s="21">
        <f>IFERROR(__xludf.DUMMYFUNCTION("""COMPUTED_VALUE"""),3.0144767166977005)</f>
        <v>3.014476717</v>
      </c>
      <c r="F18" s="21">
        <f>IFERROR(__xludf.DUMMYFUNCTION("""COMPUTED_VALUE"""),3.57950169439076)</f>
        <v>3.579501694</v>
      </c>
      <c r="G18" s="23">
        <f>IFERROR(__xludf.DUMMYFUNCTION("""COMPUTED_VALUE"""),1.161212578905702)</f>
        <v>1.161212579</v>
      </c>
      <c r="H18" s="4"/>
      <c r="I18" s="5" t="s">
        <v>952</v>
      </c>
      <c r="J18" s="5" t="s">
        <v>711</v>
      </c>
      <c r="K18" s="24">
        <v>690.0</v>
      </c>
      <c r="L18" s="5">
        <v>0.56502</v>
      </c>
      <c r="M18" s="5">
        <v>3.01448</v>
      </c>
      <c r="N18" s="5">
        <v>3.5795</v>
      </c>
      <c r="O18" s="5">
        <v>1.16121</v>
      </c>
    </row>
    <row r="19">
      <c r="A19" s="12" t="str">
        <f>IFERROR(__xludf.DUMMYFUNCTION("""COMPUTED_VALUE"""),"Nemanja Gordic")</f>
        <v>Nemanja Gordic</v>
      </c>
      <c r="B19" s="13" t="str">
        <f>IFERROR(__xludf.DUMMYFUNCTION("""COMPUTED_VALUE"""),"BUD")</f>
        <v>BUD</v>
      </c>
      <c r="C19" s="14">
        <f>IFERROR(__xludf.DUMMYFUNCTION("""COMPUTED_VALUE"""),814.6)</f>
        <v>814.6</v>
      </c>
      <c r="D19" s="15">
        <f>IFERROR(__xludf.DUMMYFUNCTION("""COMPUTED_VALUE"""),3.2573339428187538)</f>
        <v>3.257333943</v>
      </c>
      <c r="E19" s="15">
        <f>IFERROR(__xludf.DUMMYFUNCTION("""COMPUTED_VALUE"""),0.04419613187392546)</f>
        <v>0.04419613187</v>
      </c>
      <c r="F19" s="15">
        <f>IFERROR(__xludf.DUMMYFUNCTION("""COMPUTED_VALUE"""),3.3015300746926792)</f>
        <v>3.301530075</v>
      </c>
      <c r="G19" s="17">
        <f>IFERROR(__xludf.DUMMYFUNCTION("""COMPUTED_VALUE"""),1.3171994379349468)</f>
        <v>1.317199438</v>
      </c>
      <c r="H19" s="4"/>
      <c r="I19" s="5" t="s">
        <v>955</v>
      </c>
      <c r="J19" s="5" t="s">
        <v>914</v>
      </c>
      <c r="K19" s="5">
        <v>815.0</v>
      </c>
      <c r="L19" s="5">
        <v>3.25733</v>
      </c>
      <c r="M19" s="5">
        <v>0.0442</v>
      </c>
      <c r="N19" s="5">
        <v>3.30153</v>
      </c>
      <c r="O19" s="5">
        <v>1.3172</v>
      </c>
    </row>
    <row r="20">
      <c r="A20" s="18" t="str">
        <f>IFERROR(__xludf.DUMMYFUNCTION("""COMPUTED_VALUE"""),"Borisa Simanic")</f>
        <v>Borisa Simanic</v>
      </c>
      <c r="B20" s="19" t="str">
        <f>IFERROR(__xludf.DUMMYFUNCTION("""COMPUTED_VALUE"""),"FMP")</f>
        <v>FMP</v>
      </c>
      <c r="C20" s="20">
        <f>IFERROR(__xludf.DUMMYFUNCTION("""COMPUTED_VALUE"""),316.5)</f>
        <v>316.5</v>
      </c>
      <c r="D20" s="21">
        <f>IFERROR(__xludf.DUMMYFUNCTION("""COMPUTED_VALUE"""),1.5630693650623102)</f>
        <v>1.563069365</v>
      </c>
      <c r="E20" s="21">
        <f>IFERROR(__xludf.DUMMYFUNCTION("""COMPUTED_VALUE"""),1.6218348659120467)</f>
        <v>1.621834866</v>
      </c>
      <c r="F20" s="21">
        <f>IFERROR(__xludf.DUMMYFUNCTION("""COMPUTED_VALUE"""),3.184904230974357)</f>
        <v>3.184904231</v>
      </c>
      <c r="G20" s="23">
        <f>IFERROR(__xludf.DUMMYFUNCTION("""COMPUTED_VALUE"""),0.5169176216136634)</f>
        <v>0.5169176216</v>
      </c>
      <c r="H20" s="4"/>
      <c r="I20" s="5" t="s">
        <v>958</v>
      </c>
      <c r="J20" s="5" t="s">
        <v>959</v>
      </c>
      <c r="K20" s="5">
        <v>317.0</v>
      </c>
      <c r="L20" s="5">
        <v>1.56307</v>
      </c>
      <c r="M20" s="5">
        <v>1.62183</v>
      </c>
      <c r="N20" s="5">
        <v>3.1849</v>
      </c>
      <c r="O20" s="5">
        <v>0.51692</v>
      </c>
    </row>
    <row r="21">
      <c r="A21" s="12" t="str">
        <f>IFERROR(__xludf.DUMMYFUNCTION("""COMPUTED_VALUE"""),"Novica Velickovic")</f>
        <v>Novica Velickovic</v>
      </c>
      <c r="B21" s="13" t="str">
        <f>IFERROR(__xludf.DUMMYFUNCTION("""COMPUTED_VALUE"""),"PAR")</f>
        <v>PAR</v>
      </c>
      <c r="C21" s="14">
        <f>IFERROR(__xludf.DUMMYFUNCTION("""COMPUTED_VALUE"""),462.2)</f>
        <v>462.2</v>
      </c>
      <c r="D21" s="15">
        <f>IFERROR(__xludf.DUMMYFUNCTION("""COMPUTED_VALUE"""),3.4261757198307414)</f>
        <v>3.42617572</v>
      </c>
      <c r="E21" s="15">
        <f>IFERROR(__xludf.DUMMYFUNCTION("""COMPUTED_VALUE"""),-0.25284790125430057)</f>
        <v>-0.2528479013</v>
      </c>
      <c r="F21" s="15">
        <f>IFERROR(__xludf.DUMMYFUNCTION("""COMPUTED_VALUE"""),3.173327818576441)</f>
        <v>3.173327819</v>
      </c>
      <c r="G21" s="17">
        <f>IFERROR(__xludf.DUMMYFUNCTION("""COMPUTED_VALUE"""),0.7251739523975123)</f>
        <v>0.7251739524</v>
      </c>
      <c r="H21" s="4"/>
      <c r="I21" s="5" t="s">
        <v>961</v>
      </c>
      <c r="J21" s="5" t="s">
        <v>962</v>
      </c>
      <c r="K21" s="5">
        <v>462.0</v>
      </c>
      <c r="L21" s="5">
        <v>3.42618</v>
      </c>
      <c r="M21" s="5">
        <v>-0.25285</v>
      </c>
      <c r="N21" s="5">
        <v>3.17333</v>
      </c>
      <c r="O21" s="5">
        <v>0.72517</v>
      </c>
    </row>
    <row r="22">
      <c r="A22" s="18" t="str">
        <f>IFERROR(__xludf.DUMMYFUNCTION("""COMPUTED_VALUE"""),"Branko Lazic")</f>
        <v>Branko Lazic</v>
      </c>
      <c r="B22" s="19" t="str">
        <f>IFERROR(__xludf.DUMMYFUNCTION("""COMPUTED_VALUE"""),"ZVE")</f>
        <v>ZVE</v>
      </c>
      <c r="C22" s="20">
        <f>IFERROR(__xludf.DUMMYFUNCTION("""COMPUTED_VALUE"""),497.5)</f>
        <v>497.5</v>
      </c>
      <c r="D22" s="21">
        <f>IFERROR(__xludf.DUMMYFUNCTION("""COMPUTED_VALUE"""),0.3999454611835529)</f>
        <v>0.3999454612</v>
      </c>
      <c r="E22" s="21">
        <f>IFERROR(__xludf.DUMMYFUNCTION("""COMPUTED_VALUE"""),2.766068862022741)</f>
        <v>2.766068862</v>
      </c>
      <c r="F22" s="21">
        <f>IFERROR(__xludf.DUMMYFUNCTION("""COMPUTED_VALUE"""),3.166014323206294)</f>
        <v>3.166014323</v>
      </c>
      <c r="G22" s="23">
        <f>IFERROR(__xludf.DUMMYFUNCTION("""COMPUTED_VALUE"""),0.8317182937102211)</f>
        <v>0.8317182937</v>
      </c>
      <c r="H22" s="4"/>
      <c r="I22" s="5" t="s">
        <v>467</v>
      </c>
      <c r="J22" s="5" t="s">
        <v>137</v>
      </c>
      <c r="K22" s="5">
        <v>498.0</v>
      </c>
      <c r="L22" s="5">
        <v>0.39995</v>
      </c>
      <c r="M22" s="5">
        <v>2.76607</v>
      </c>
      <c r="N22" s="5">
        <v>3.16601</v>
      </c>
      <c r="O22" s="5">
        <v>0.83172</v>
      </c>
    </row>
    <row r="23">
      <c r="A23" s="12" t="str">
        <f>IFERROR(__xludf.DUMMYFUNCTION("""COMPUTED_VALUE"""),"Josh Bostic")</f>
        <v>Josh Bostic</v>
      </c>
      <c r="B23" s="13" t="str">
        <f>IFERROR(__xludf.DUMMYFUNCTION("""COMPUTED_VALUE"""),"ZAD")</f>
        <v>ZAD</v>
      </c>
      <c r="C23" s="14">
        <f>IFERROR(__xludf.DUMMYFUNCTION("""COMPUTED_VALUE"""),400.9)</f>
        <v>400.9</v>
      </c>
      <c r="D23" s="15">
        <f>IFERROR(__xludf.DUMMYFUNCTION("""COMPUTED_VALUE"""),4.801693886132985)</f>
        <v>4.801693886</v>
      </c>
      <c r="E23" s="15">
        <f>IFERROR(__xludf.DUMMYFUNCTION("""COMPUTED_VALUE"""),-1.6934296695956799)</f>
        <v>-1.69342967</v>
      </c>
      <c r="F23" s="15">
        <f>IFERROR(__xludf.DUMMYFUNCTION("""COMPUTED_VALUE"""),3.108264216537305)</f>
        <v>3.108264217</v>
      </c>
      <c r="G23" s="17">
        <f>IFERROR(__xludf.DUMMYFUNCTION("""COMPUTED_VALUE"""),0.6206929774312505)</f>
        <v>0.6206929774</v>
      </c>
      <c r="H23" s="4"/>
      <c r="I23" s="5" t="s">
        <v>966</v>
      </c>
      <c r="J23" s="5" t="s">
        <v>967</v>
      </c>
      <c r="K23" s="5">
        <v>401.0</v>
      </c>
      <c r="L23" s="5">
        <v>4.80169</v>
      </c>
      <c r="M23" s="5">
        <v>-1.69343</v>
      </c>
      <c r="N23" s="5">
        <v>3.10826</v>
      </c>
      <c r="O23" s="5">
        <v>0.62069</v>
      </c>
    </row>
    <row r="24">
      <c r="A24" s="18" t="str">
        <f>IFERROR(__xludf.DUMMYFUNCTION("""COMPUTED_VALUE"""),"Dzanan Musa")</f>
        <v>Dzanan Musa</v>
      </c>
      <c r="B24" s="19" t="str">
        <f>IFERROR(__xludf.DUMMYFUNCTION("""COMPUTED_VALUE"""),"CED")</f>
        <v>CED</v>
      </c>
      <c r="C24" s="20">
        <f>IFERROR(__xludf.DUMMYFUNCTION("""COMPUTED_VALUE"""),592.3)</f>
        <v>592.3</v>
      </c>
      <c r="D24" s="21">
        <f>IFERROR(__xludf.DUMMYFUNCTION("""COMPUTED_VALUE"""),2.435265010634095)</f>
        <v>2.435265011</v>
      </c>
      <c r="E24" s="21">
        <f>IFERROR(__xludf.DUMMYFUNCTION("""COMPUTED_VALUE"""),0.606812164916402)</f>
        <v>0.6068121649</v>
      </c>
      <c r="F24" s="21">
        <f>IFERROR(__xludf.DUMMYFUNCTION("""COMPUTED_VALUE"""),3.042077175550497)</f>
        <v>3.042077176</v>
      </c>
      <c r="G24" s="23">
        <f>IFERROR(__xludf.DUMMYFUNCTION("""COMPUTED_VALUE"""),0.9018012430531144)</f>
        <v>0.9018012431</v>
      </c>
      <c r="H24" s="4"/>
      <c r="I24" s="5" t="s">
        <v>970</v>
      </c>
      <c r="J24" s="5" t="s">
        <v>928</v>
      </c>
      <c r="K24" s="5">
        <v>592.0</v>
      </c>
      <c r="L24" s="5">
        <v>2.43527</v>
      </c>
      <c r="M24" s="5">
        <v>0.60681</v>
      </c>
      <c r="N24" s="5">
        <v>3.04208</v>
      </c>
      <c r="O24" s="5">
        <v>0.9018</v>
      </c>
    </row>
    <row r="25">
      <c r="A25" s="12" t="str">
        <f>IFERROR(__xludf.DUMMYFUNCTION("""COMPUTED_VALUE"""),"Andrija Stipanovic")</f>
        <v>Andrija Stipanovic</v>
      </c>
      <c r="B25" s="13" t="str">
        <f>IFERROR(__xludf.DUMMYFUNCTION("""COMPUTED_VALUE"""),"CED")</f>
        <v>CED</v>
      </c>
      <c r="C25" s="14">
        <f>IFERROR(__xludf.DUMMYFUNCTION("""COMPUTED_VALUE"""),598.8)</f>
        <v>598.8</v>
      </c>
      <c r="D25" s="15">
        <f>IFERROR(__xludf.DUMMYFUNCTION("""COMPUTED_VALUE"""),0.4091574053371509)</f>
        <v>0.4091574053</v>
      </c>
      <c r="E25" s="15">
        <f>IFERROR(__xludf.DUMMYFUNCTION("""COMPUTED_VALUE"""),2.5130315363996156)</f>
        <v>2.513031536</v>
      </c>
      <c r="F25" s="15">
        <f>IFERROR(__xludf.DUMMYFUNCTION("""COMPUTED_VALUE"""),2.9221889417367666)</f>
        <v>2.922188942</v>
      </c>
      <c r="G25" s="17">
        <f>IFERROR(__xludf.DUMMYFUNCTION("""COMPUTED_VALUE"""),0.8900198242334072)</f>
        <v>0.8900198242</v>
      </c>
      <c r="H25" s="4"/>
      <c r="I25" s="5" t="s">
        <v>972</v>
      </c>
      <c r="J25" s="5" t="s">
        <v>928</v>
      </c>
      <c r="K25" s="5">
        <v>599.0</v>
      </c>
      <c r="L25" s="5">
        <v>0.40916</v>
      </c>
      <c r="M25" s="5">
        <v>2.51303</v>
      </c>
      <c r="N25" s="5">
        <v>2.92219</v>
      </c>
      <c r="O25" s="5">
        <v>0.89002</v>
      </c>
    </row>
    <row r="26">
      <c r="A26" s="18" t="str">
        <f>IFERROR(__xludf.DUMMYFUNCTION("""COMPUTED_VALUE"""),"Aleksandar Aranitovic")</f>
        <v>Aleksandar Aranitovic</v>
      </c>
      <c r="B26" s="19" t="str">
        <f>IFERROR(__xludf.DUMMYFUNCTION("""COMPUTED_VALUE"""),"PAR")</f>
        <v>PAR</v>
      </c>
      <c r="C26" s="20">
        <f>IFERROR(__xludf.DUMMYFUNCTION("""COMPUTED_VALUE"""),311.5)</f>
        <v>311.5</v>
      </c>
      <c r="D26" s="21">
        <f>IFERROR(__xludf.DUMMYFUNCTION("""COMPUTED_VALUE"""),1.6502528739472238)</f>
        <v>1.650252874</v>
      </c>
      <c r="E26" s="21">
        <f>IFERROR(__xludf.DUMMYFUNCTION("""COMPUTED_VALUE"""),1.165308271876721)</f>
        <v>1.165308272</v>
      </c>
      <c r="F26" s="21">
        <f>IFERROR(__xludf.DUMMYFUNCTION("""COMPUTED_VALUE"""),2.8155611458239447)</f>
        <v>2.815561146</v>
      </c>
      <c r="G26" s="23">
        <f>IFERROR(__xludf.DUMMYFUNCTION("""COMPUTED_VALUE"""),0.45493275661163946)</f>
        <v>0.4549327566</v>
      </c>
      <c r="H26" s="4"/>
      <c r="I26" s="5" t="s">
        <v>975</v>
      </c>
      <c r="J26" s="5" t="s">
        <v>962</v>
      </c>
      <c r="K26" s="24">
        <v>312.0</v>
      </c>
      <c r="L26" s="5">
        <v>1.65025</v>
      </c>
      <c r="M26" s="5">
        <v>1.16531</v>
      </c>
      <c r="N26" s="5">
        <v>2.81556</v>
      </c>
      <c r="O26" s="5">
        <v>0.45493</v>
      </c>
    </row>
    <row r="27">
      <c r="A27" s="12" t="str">
        <f>IFERROR(__xludf.DUMMYFUNCTION("""COMPUTED_VALUE"""),"Filip Kruslin")</f>
        <v>Filip Kruslin</v>
      </c>
      <c r="B27" s="13" t="str">
        <f>IFERROR(__xludf.DUMMYFUNCTION("""COMPUTED_VALUE"""),"CED")</f>
        <v>CED</v>
      </c>
      <c r="C27" s="14">
        <f>IFERROR(__xludf.DUMMYFUNCTION("""COMPUTED_VALUE"""),578.7)</f>
        <v>578.7</v>
      </c>
      <c r="D27" s="15">
        <f>IFERROR(__xludf.DUMMYFUNCTION("""COMPUTED_VALUE"""),1.998083995527946)</f>
        <v>1.998083996</v>
      </c>
      <c r="E27" s="15">
        <f>IFERROR(__xludf.DUMMYFUNCTION("""COMPUTED_VALUE"""),0.7950015004951327)</f>
        <v>0.7950015005</v>
      </c>
      <c r="F27" s="15">
        <f>IFERROR(__xludf.DUMMYFUNCTION("""COMPUTED_VALUE"""),2.7930854960230787)</f>
        <v>2.793085496</v>
      </c>
      <c r="G27" s="17">
        <f>IFERROR(__xludf.DUMMYFUNCTION("""COMPUTED_VALUE"""),0.8375837948241619)</f>
        <v>0.8375837948</v>
      </c>
      <c r="H27" s="4"/>
      <c r="I27" s="5" t="s">
        <v>976</v>
      </c>
      <c r="J27" s="5" t="s">
        <v>928</v>
      </c>
      <c r="K27" s="24">
        <v>579.0</v>
      </c>
      <c r="L27" s="5">
        <v>1.99808</v>
      </c>
      <c r="M27" s="5">
        <v>0.795</v>
      </c>
      <c r="N27" s="5">
        <v>2.79309</v>
      </c>
      <c r="O27" s="5">
        <v>0.83758</v>
      </c>
    </row>
    <row r="28">
      <c r="A28" s="18" t="str">
        <f>IFERROR(__xludf.DUMMYFUNCTION("""COMPUTED_VALUE"""),"Nikola Jevtovic")</f>
        <v>Nikola Jevtovic</v>
      </c>
      <c r="B28" s="19" t="str">
        <f>IFERROR(__xludf.DUMMYFUNCTION("""COMPUTED_VALUE"""),"IGO")</f>
        <v>IGO</v>
      </c>
      <c r="C28" s="20">
        <f>IFERROR(__xludf.DUMMYFUNCTION("""COMPUTED_VALUE"""),378.1)</f>
        <v>378.1</v>
      </c>
      <c r="D28" s="21">
        <f>IFERROR(__xludf.DUMMYFUNCTION("""COMPUTED_VALUE"""),3.1395262322497293)</f>
        <v>3.139526232</v>
      </c>
      <c r="E28" s="21">
        <f>IFERROR(__xludf.DUMMYFUNCTION("""COMPUTED_VALUE"""),-0.3477550387344901)</f>
        <v>-0.3477550387</v>
      </c>
      <c r="F28" s="21">
        <f>IFERROR(__xludf.DUMMYFUNCTION("""COMPUTED_VALUE"""),2.791771193515239)</f>
        <v>2.791771194</v>
      </c>
      <c r="G28" s="23">
        <f>IFERROR(__xludf.DUMMYFUNCTION("""COMPUTED_VALUE"""),0.5494588680603554)</f>
        <v>0.5494588681</v>
      </c>
      <c r="H28" s="4"/>
      <c r="I28" s="5" t="s">
        <v>979</v>
      </c>
      <c r="J28" s="5" t="s">
        <v>980</v>
      </c>
      <c r="K28" s="5">
        <v>378.0</v>
      </c>
      <c r="L28" s="5">
        <v>3.13953</v>
      </c>
      <c r="M28" s="5">
        <v>-0.34776</v>
      </c>
      <c r="N28" s="5">
        <v>2.79177</v>
      </c>
      <c r="O28" s="5">
        <v>0.54946</v>
      </c>
    </row>
    <row r="29">
      <c r="A29" s="12" t="str">
        <f>IFERROR(__xludf.DUMMYFUNCTION("""COMPUTED_VALUE"""),"Dorde Milosevic")</f>
        <v>Dorde Milosevic</v>
      </c>
      <c r="B29" s="13" t="str">
        <f>IFERROR(__xludf.DUMMYFUNCTION("""COMPUTED_VALUE"""),"IGO")</f>
        <v>IGO</v>
      </c>
      <c r="C29" s="14">
        <f>IFERROR(__xludf.DUMMYFUNCTION("""COMPUTED_VALUE"""),458.6)</f>
        <v>458.6</v>
      </c>
      <c r="D29" s="15">
        <f>IFERROR(__xludf.DUMMYFUNCTION("""COMPUTED_VALUE"""),0.7922198836998176)</f>
        <v>0.7922198837</v>
      </c>
      <c r="E29" s="15">
        <f>IFERROR(__xludf.DUMMYFUNCTION("""COMPUTED_VALUE"""),1.9020183548811138)</f>
        <v>1.902018355</v>
      </c>
      <c r="F29" s="15">
        <f>IFERROR(__xludf.DUMMYFUNCTION("""COMPUTED_VALUE"""),2.6942382385809314)</f>
        <v>2.694238239</v>
      </c>
      <c r="G29" s="17">
        <f>IFERROR(__xludf.DUMMYFUNCTION("""COMPUTED_VALUE"""),0.6528773688539946)</f>
        <v>0.6528773689</v>
      </c>
      <c r="H29" s="4"/>
      <c r="I29" s="5" t="s">
        <v>985</v>
      </c>
      <c r="J29" s="5" t="s">
        <v>980</v>
      </c>
      <c r="K29" s="5">
        <v>459.0</v>
      </c>
      <c r="L29" s="5">
        <v>0.79222</v>
      </c>
      <c r="M29" s="5">
        <v>1.90202</v>
      </c>
      <c r="N29" s="5">
        <v>2.69424</v>
      </c>
      <c r="O29" s="5">
        <v>0.65288</v>
      </c>
    </row>
    <row r="30">
      <c r="A30" s="18" t="str">
        <f>IFERROR(__xludf.DUMMYFUNCTION("""COMPUTED_VALUE"""),"Patrick Miller")</f>
        <v>Patrick Miller</v>
      </c>
      <c r="B30" s="19" t="str">
        <f>IFERROR(__xludf.DUMMYFUNCTION("""COMPUTED_VALUE"""),"PAR")</f>
        <v>PAR</v>
      </c>
      <c r="C30" s="20">
        <f>IFERROR(__xludf.DUMMYFUNCTION("""COMPUTED_VALUE"""),398.1)</f>
        <v>398.1</v>
      </c>
      <c r="D30" s="21">
        <f>IFERROR(__xludf.DUMMYFUNCTION("""COMPUTED_VALUE"""),4.970972931607312)</f>
        <v>4.970972932</v>
      </c>
      <c r="E30" s="21">
        <f>IFERROR(__xludf.DUMMYFUNCTION("""COMPUTED_VALUE"""),-2.3188044402962653)</f>
        <v>-2.31880444</v>
      </c>
      <c r="F30" s="21">
        <f>IFERROR(__xludf.DUMMYFUNCTION("""COMPUTED_VALUE"""),2.6521684913110466)</f>
        <v>2.652168491</v>
      </c>
      <c r="G30" s="23">
        <f>IFERROR(__xludf.DUMMYFUNCTION("""COMPUTED_VALUE"""),0.5616811755395114)</f>
        <v>0.5616811755</v>
      </c>
      <c r="H30" s="4"/>
      <c r="I30" s="5" t="s">
        <v>990</v>
      </c>
      <c r="J30" s="5" t="s">
        <v>962</v>
      </c>
      <c r="K30" s="5">
        <v>398.0</v>
      </c>
      <c r="L30" s="5">
        <v>4.97097</v>
      </c>
      <c r="M30" s="5">
        <v>-2.3188</v>
      </c>
      <c r="N30" s="5">
        <v>2.65217</v>
      </c>
      <c r="O30" s="5">
        <v>0.56168</v>
      </c>
    </row>
    <row r="31">
      <c r="A31" s="12" t="str">
        <f>IFERROR(__xludf.DUMMYFUNCTION("""COMPUTED_VALUE"""),"Nigel Williams-Goss")</f>
        <v>Nigel Williams-Goss</v>
      </c>
      <c r="B31" s="13" t="str">
        <f>IFERROR(__xludf.DUMMYFUNCTION("""COMPUTED_VALUE"""),"PAR")</f>
        <v>PAR</v>
      </c>
      <c r="C31" s="14">
        <f>IFERROR(__xludf.DUMMYFUNCTION("""COMPUTED_VALUE"""),653.2)</f>
        <v>653.2</v>
      </c>
      <c r="D31" s="15">
        <f>IFERROR(__xludf.DUMMYFUNCTION("""COMPUTED_VALUE"""),3.5982722166816368)</f>
        <v>3.598272217</v>
      </c>
      <c r="E31" s="15">
        <f>IFERROR(__xludf.DUMMYFUNCTION("""COMPUTED_VALUE"""),-1.0933255639216135)</f>
        <v>-1.093325564</v>
      </c>
      <c r="F31" s="15">
        <f>IFERROR(__xludf.DUMMYFUNCTION("""COMPUTED_VALUE"""),2.5049466527600233)</f>
        <v>2.504946653</v>
      </c>
      <c r="G31" s="17">
        <f>IFERROR(__xludf.DUMMYFUNCTION("""COMPUTED_VALUE"""),0.8924380618769361)</f>
        <v>0.8924380619</v>
      </c>
      <c r="H31" s="4"/>
      <c r="I31" s="5" t="s">
        <v>996</v>
      </c>
      <c r="J31" s="5" t="s">
        <v>962</v>
      </c>
      <c r="K31" s="24">
        <v>653.0</v>
      </c>
      <c r="L31" s="5">
        <v>3.59827</v>
      </c>
      <c r="M31" s="5">
        <v>-1.09333</v>
      </c>
      <c r="N31" s="5">
        <v>2.50495</v>
      </c>
      <c r="O31" s="5">
        <v>0.89244</v>
      </c>
    </row>
    <row r="32">
      <c r="A32" s="18" t="str">
        <f>IFERROR(__xludf.DUMMYFUNCTION("""COMPUTED_VALUE"""),"Goga Bitadze")</f>
        <v>Goga Bitadze</v>
      </c>
      <c r="B32" s="19" t="str">
        <f>IFERROR(__xludf.DUMMYFUNCTION("""COMPUTED_VALUE"""),"MEG")</f>
        <v>MEG</v>
      </c>
      <c r="C32" s="20">
        <f>IFERROR(__xludf.DUMMYFUNCTION("""COMPUTED_VALUE"""),515.4)</f>
        <v>515.4</v>
      </c>
      <c r="D32" s="21">
        <f>IFERROR(__xludf.DUMMYFUNCTION("""COMPUTED_VALUE"""),-2.193100152323878)</f>
        <v>-2.193100152</v>
      </c>
      <c r="E32" s="21">
        <f>IFERROR(__xludf.DUMMYFUNCTION("""COMPUTED_VALUE"""),4.546872453802644)</f>
        <v>4.546872454</v>
      </c>
      <c r="F32" s="21">
        <f>IFERROR(__xludf.DUMMYFUNCTION("""COMPUTED_VALUE"""),2.3537723014787666)</f>
        <v>2.353772301</v>
      </c>
      <c r="G32" s="23">
        <f>IFERROR(__xludf.DUMMYFUNCTION("""COMPUTED_VALUE"""),0.6929615537685234)</f>
        <v>0.6929615538</v>
      </c>
      <c r="H32" s="4"/>
      <c r="I32" s="5" t="s">
        <v>1000</v>
      </c>
      <c r="J32" s="5" t="s">
        <v>934</v>
      </c>
      <c r="K32" s="24">
        <v>515.0</v>
      </c>
      <c r="L32" s="5">
        <v>-2.1931</v>
      </c>
      <c r="M32" s="5">
        <v>4.54687</v>
      </c>
      <c r="N32" s="5">
        <v>2.35377</v>
      </c>
      <c r="O32" s="5">
        <v>0.69296</v>
      </c>
    </row>
    <row r="33">
      <c r="A33" s="12" t="str">
        <f>IFERROR(__xludf.DUMMYFUNCTION("""COMPUTED_VALUE"""),"Nemanja Vranjes")</f>
        <v>Nemanja Vranjes</v>
      </c>
      <c r="B33" s="13" t="str">
        <f>IFERROR(__xludf.DUMMYFUNCTION("""COMPUTED_VALUE"""),"MOR")</f>
        <v>MOR</v>
      </c>
      <c r="C33" s="14">
        <f>IFERROR(__xludf.DUMMYFUNCTION("""COMPUTED_VALUE"""),583.0)</f>
        <v>583</v>
      </c>
      <c r="D33" s="15">
        <f>IFERROR(__xludf.DUMMYFUNCTION("""COMPUTED_VALUE"""),3.901192871248152)</f>
        <v>3.901192871</v>
      </c>
      <c r="E33" s="15">
        <f>IFERROR(__xludf.DUMMYFUNCTION("""COMPUTED_VALUE"""),-1.548430700363423)</f>
        <v>-1.5484307</v>
      </c>
      <c r="F33" s="15">
        <f>IFERROR(__xludf.DUMMYFUNCTION("""COMPUTED_VALUE"""),2.352762170884729)</f>
        <v>2.352762171</v>
      </c>
      <c r="G33" s="17">
        <f>IFERROR(__xludf.DUMMYFUNCTION("""COMPUTED_VALUE"""),0.7740175023430422)</f>
        <v>0.7740175023</v>
      </c>
      <c r="H33" s="4"/>
      <c r="I33" s="5" t="s">
        <v>1005</v>
      </c>
      <c r="J33" s="5" t="s">
        <v>921</v>
      </c>
      <c r="K33" s="5">
        <v>583.0</v>
      </c>
      <c r="L33" s="5">
        <v>3.90119</v>
      </c>
      <c r="M33" s="5">
        <v>-1.54843</v>
      </c>
      <c r="N33" s="5">
        <v>2.35276</v>
      </c>
      <c r="O33" s="5">
        <v>0.77402</v>
      </c>
    </row>
    <row r="34">
      <c r="A34" s="18" t="str">
        <f>IFERROR(__xludf.DUMMYFUNCTION("""COMPUTED_VALUE"""),"Justin Doellman")</f>
        <v>Justin Doellman</v>
      </c>
      <c r="B34" s="19" t="str">
        <f>IFERROR(__xludf.DUMMYFUNCTION("""COMPUTED_VALUE"""),"BUD")</f>
        <v>BUD</v>
      </c>
      <c r="C34" s="20">
        <f>IFERROR(__xludf.DUMMYFUNCTION("""COMPUTED_VALUE"""),230.7)</f>
        <v>230.7</v>
      </c>
      <c r="D34" s="21">
        <f>IFERROR(__xludf.DUMMYFUNCTION("""COMPUTED_VALUE"""),0.9519832904114033)</f>
        <v>0.9519832904</v>
      </c>
      <c r="E34" s="21">
        <f>IFERROR(__xludf.DUMMYFUNCTION("""COMPUTED_VALUE"""),1.1803882279186517)</f>
        <v>1.180388228</v>
      </c>
      <c r="F34" s="21">
        <f>IFERROR(__xludf.DUMMYFUNCTION("""COMPUTED_VALUE"""),2.132371518330055)</f>
        <v>2.132371518</v>
      </c>
      <c r="G34" s="23">
        <f>IFERROR(__xludf.DUMMYFUNCTION("""COMPUTED_VALUE"""),0.290772182108614)</f>
        <v>0.2907721821</v>
      </c>
      <c r="H34" s="4"/>
      <c r="I34" s="5" t="s">
        <v>431</v>
      </c>
      <c r="J34" s="5" t="s">
        <v>914</v>
      </c>
      <c r="K34" s="24">
        <v>231.0</v>
      </c>
      <c r="L34" s="5">
        <v>0.95198</v>
      </c>
      <c r="M34" s="5">
        <v>1.18039</v>
      </c>
      <c r="N34" s="5">
        <v>2.13237</v>
      </c>
      <c r="O34" s="5">
        <v>0.29077</v>
      </c>
    </row>
    <row r="35">
      <c r="A35" s="12" t="str">
        <f>IFERROR(__xludf.DUMMYFUNCTION("""COMPUTED_VALUE"""),"Karlo Zganec")</f>
        <v>Karlo Zganec</v>
      </c>
      <c r="B35" s="13" t="str">
        <f>IFERROR(__xludf.DUMMYFUNCTION("""COMPUTED_VALUE"""),"CED")</f>
        <v>CED</v>
      </c>
      <c r="C35" s="14">
        <f>IFERROR(__xludf.DUMMYFUNCTION("""COMPUTED_VALUE"""),285.4)</f>
        <v>285.4</v>
      </c>
      <c r="D35" s="15">
        <f>IFERROR(__xludf.DUMMYFUNCTION("""COMPUTED_VALUE"""),-0.29272057319641925)</f>
        <v>-0.2927205732</v>
      </c>
      <c r="E35" s="15">
        <f>IFERROR(__xludf.DUMMYFUNCTION("""COMPUTED_VALUE"""),2.367942196437679)</f>
        <v>2.367942196</v>
      </c>
      <c r="F35" s="15">
        <f>IFERROR(__xludf.DUMMYFUNCTION("""COMPUTED_VALUE"""),2.0752216232412595)</f>
        <v>2.075221623</v>
      </c>
      <c r="G35" s="17">
        <f>IFERROR(__xludf.DUMMYFUNCTION("""COMPUTED_VALUE"""),0.35120833073834556)</f>
        <v>0.3512083307</v>
      </c>
      <c r="H35" s="4"/>
      <c r="I35" s="5" t="s">
        <v>1012</v>
      </c>
      <c r="J35" s="5" t="s">
        <v>928</v>
      </c>
      <c r="K35" s="5">
        <v>285.0</v>
      </c>
      <c r="L35" s="5">
        <v>-0.29272</v>
      </c>
      <c r="M35" s="5">
        <v>2.36794</v>
      </c>
      <c r="N35" s="5">
        <v>2.07522</v>
      </c>
      <c r="O35" s="5">
        <v>0.35121</v>
      </c>
    </row>
    <row r="36">
      <c r="A36" s="18" t="str">
        <f>IFERROR(__xludf.DUMMYFUNCTION("""COMPUTED_VALUE"""),"Danilo Nikolic")</f>
        <v>Danilo Nikolic</v>
      </c>
      <c r="B36" s="19" t="str">
        <f>IFERROR(__xludf.DUMMYFUNCTION("""COMPUTED_VALUE"""),"BUD")</f>
        <v>BUD</v>
      </c>
      <c r="C36" s="20">
        <f>IFERROR(__xludf.DUMMYFUNCTION("""COMPUTED_VALUE"""),434.2)</f>
        <v>434.2</v>
      </c>
      <c r="D36" s="21">
        <f>IFERROR(__xludf.DUMMYFUNCTION("""COMPUTED_VALUE"""),0.3412052324584497)</f>
        <v>0.3412052325</v>
      </c>
      <c r="E36" s="21">
        <f>IFERROR(__xludf.DUMMYFUNCTION("""COMPUTED_VALUE"""),1.521318305523478)</f>
        <v>1.521318306</v>
      </c>
      <c r="F36" s="21">
        <f>IFERROR(__xludf.DUMMYFUNCTION("""COMPUTED_VALUE"""),1.8625235379819276)</f>
        <v>1.862523538</v>
      </c>
      <c r="G36" s="23">
        <f>IFERROR(__xludf.DUMMYFUNCTION("""COMPUTED_VALUE"""),0.5115249948418609)</f>
        <v>0.5115249948</v>
      </c>
      <c r="H36" s="4"/>
      <c r="I36" s="5" t="s">
        <v>1016</v>
      </c>
      <c r="J36" s="5" t="s">
        <v>914</v>
      </c>
      <c r="K36" s="5">
        <v>434.0</v>
      </c>
      <c r="L36" s="5">
        <v>0.34121</v>
      </c>
      <c r="M36" s="5">
        <v>1.52132</v>
      </c>
      <c r="N36" s="5">
        <v>1.86252</v>
      </c>
      <c r="O36" s="5">
        <v>0.51152</v>
      </c>
    </row>
    <row r="37">
      <c r="A37" s="12" t="str">
        <f>IFERROR(__xludf.DUMMYFUNCTION("""COMPUTED_VALUE"""),"Damir Markota")</f>
        <v>Damir Markota</v>
      </c>
      <c r="B37" s="13" t="str">
        <f>IFERROR(__xludf.DUMMYFUNCTION("""COMPUTED_VALUE"""),"CED")</f>
        <v>CED</v>
      </c>
      <c r="C37" s="14">
        <f>IFERROR(__xludf.DUMMYFUNCTION("""COMPUTED_VALUE"""),267.4)</f>
        <v>267.4</v>
      </c>
      <c r="D37" s="15">
        <f>IFERROR(__xludf.DUMMYFUNCTION("""COMPUTED_VALUE"""),1.125071639635121)</f>
        <v>1.12507164</v>
      </c>
      <c r="E37" s="15">
        <f>IFERROR(__xludf.DUMMYFUNCTION("""COMPUTED_VALUE"""),0.6267548805722696)</f>
        <v>0.6267548806</v>
      </c>
      <c r="F37" s="15">
        <f>IFERROR(__xludf.DUMMYFUNCTION("""COMPUTED_VALUE"""),1.7518265202073906)</f>
        <v>1.75182652</v>
      </c>
      <c r="G37" s="17">
        <f>IFERROR(__xludf.DUMMYFUNCTION("""COMPUTED_VALUE"""),0.30294497975596235)</f>
        <v>0.3029449798</v>
      </c>
      <c r="H37" s="4"/>
      <c r="I37" s="5" t="s">
        <v>1021</v>
      </c>
      <c r="J37" s="5" t="s">
        <v>928</v>
      </c>
      <c r="K37" s="5">
        <v>267.0</v>
      </c>
      <c r="L37" s="5">
        <v>1.12507</v>
      </c>
      <c r="M37" s="5">
        <v>0.62675</v>
      </c>
      <c r="N37" s="5">
        <v>1.75183</v>
      </c>
      <c r="O37" s="5">
        <v>0.30294</v>
      </c>
    </row>
    <row r="38">
      <c r="A38" s="18" t="str">
        <f>IFERROR(__xludf.DUMMYFUNCTION("""COMPUTED_VALUE"""),"Milko Bjelica")</f>
        <v>Milko Bjelica</v>
      </c>
      <c r="B38" s="19" t="str">
        <f>IFERROR(__xludf.DUMMYFUNCTION("""COMPUTED_VALUE"""),"ZVE")</f>
        <v>ZVE</v>
      </c>
      <c r="C38" s="20">
        <f>IFERROR(__xludf.DUMMYFUNCTION("""COMPUTED_VALUE"""),657.8)</f>
        <v>657.8</v>
      </c>
      <c r="D38" s="21">
        <f>IFERROR(__xludf.DUMMYFUNCTION("""COMPUTED_VALUE"""),0.346072173751214)</f>
        <v>0.3460721738</v>
      </c>
      <c r="E38" s="21">
        <f>IFERROR(__xludf.DUMMYFUNCTION("""COMPUTED_VALUE"""),1.400678755798311)</f>
        <v>1.400678756</v>
      </c>
      <c r="F38" s="21">
        <f>IFERROR(__xludf.DUMMYFUNCTION("""COMPUTED_VALUE"""),1.746750929549525)</f>
        <v>1.74675093</v>
      </c>
      <c r="G38" s="23">
        <f>IFERROR(__xludf.DUMMYFUNCTION("""COMPUTED_VALUE"""),0.7975836741579182)</f>
        <v>0.7975836742</v>
      </c>
      <c r="H38" s="4"/>
      <c r="I38" s="5" t="s">
        <v>501</v>
      </c>
      <c r="J38" s="5" t="s">
        <v>137</v>
      </c>
      <c r="K38" s="5">
        <v>658.0</v>
      </c>
      <c r="L38" s="5">
        <v>0.34607</v>
      </c>
      <c r="M38" s="5">
        <v>1.40068</v>
      </c>
      <c r="N38" s="5">
        <v>1.74675</v>
      </c>
      <c r="O38" s="5">
        <v>0.79758</v>
      </c>
    </row>
    <row r="39">
      <c r="A39" s="12" t="str">
        <f>IFERROR(__xludf.DUMMYFUNCTION("""COMPUTED_VALUE"""),"Brandis Raley-Ross")</f>
        <v>Brandis Raley-Ross</v>
      </c>
      <c r="B39" s="13" t="str">
        <f>IFERROR(__xludf.DUMMYFUNCTION("""COMPUTED_VALUE"""),"MOR")</f>
        <v>MOR</v>
      </c>
      <c r="C39" s="14">
        <f>IFERROR(__xludf.DUMMYFUNCTION("""COMPUTED_VALUE"""),694.3)</f>
        <v>694.3</v>
      </c>
      <c r="D39" s="15">
        <f>IFERROR(__xludf.DUMMYFUNCTION("""COMPUTED_VALUE"""),3.153366791612237)</f>
        <v>3.153366792</v>
      </c>
      <c r="E39" s="15">
        <f>IFERROR(__xludf.DUMMYFUNCTION("""COMPUTED_VALUE"""),-1.414260248225275)</f>
        <v>-1.414260248</v>
      </c>
      <c r="F39" s="15">
        <f>IFERROR(__xludf.DUMMYFUNCTION("""COMPUTED_VALUE"""),1.7391065433869621)</f>
        <v>1.739106543</v>
      </c>
      <c r="G39" s="17">
        <f>IFERROR(__xludf.DUMMYFUNCTION("""COMPUTED_VALUE"""),0.7918306228745429)</f>
        <v>0.7918306229</v>
      </c>
      <c r="H39" s="4"/>
      <c r="I39" s="5" t="s">
        <v>1027</v>
      </c>
      <c r="J39" s="5" t="s">
        <v>921</v>
      </c>
      <c r="K39" s="5">
        <v>694.0</v>
      </c>
      <c r="L39" s="5">
        <v>3.15337</v>
      </c>
      <c r="M39" s="5">
        <v>-1.41426</v>
      </c>
      <c r="N39" s="5">
        <v>1.73911</v>
      </c>
      <c r="O39" s="5">
        <v>0.79183</v>
      </c>
    </row>
    <row r="40">
      <c r="A40" s="18" t="str">
        <f>IFERROR(__xludf.DUMMYFUNCTION("""COMPUTED_VALUE"""),"Marko Cakarevic")</f>
        <v>Marko Cakarevic</v>
      </c>
      <c r="B40" s="19" t="str">
        <f>IFERROR(__xludf.DUMMYFUNCTION("""COMPUTED_VALUE"""),"PAR")</f>
        <v>PAR</v>
      </c>
      <c r="C40" s="20">
        <f>IFERROR(__xludf.DUMMYFUNCTION("""COMPUTED_VALUE"""),203.9)</f>
        <v>203.9</v>
      </c>
      <c r="D40" s="21">
        <f>IFERROR(__xludf.DUMMYFUNCTION("""COMPUTED_VALUE"""),-0.17562903793718646)</f>
        <v>-0.1756290379</v>
      </c>
      <c r="E40" s="21">
        <f>IFERROR(__xludf.DUMMYFUNCTION("""COMPUTED_VALUE"""),1.89770632213011)</f>
        <v>1.897706322</v>
      </c>
      <c r="F40" s="21">
        <f>IFERROR(__xludf.DUMMYFUNCTION("""COMPUTED_VALUE"""),1.7220772841929235)</f>
        <v>1.722077284</v>
      </c>
      <c r="G40" s="23">
        <f>IFERROR(__xludf.DUMMYFUNCTION("""COMPUTED_VALUE"""),0.23016795975753976)</f>
        <v>0.2301679598</v>
      </c>
      <c r="H40" s="4"/>
      <c r="I40" s="5" t="s">
        <v>1030</v>
      </c>
      <c r="J40" s="5" t="s">
        <v>962</v>
      </c>
      <c r="K40" s="5">
        <v>204.0</v>
      </c>
      <c r="L40" s="5">
        <v>-0.17563</v>
      </c>
      <c r="M40" s="5">
        <v>1.89771</v>
      </c>
      <c r="N40" s="5">
        <v>1.72208</v>
      </c>
      <c r="O40" s="5">
        <v>0.23017</v>
      </c>
    </row>
    <row r="41">
      <c r="A41" s="12" t="str">
        <f>IFERROR(__xludf.DUMMYFUNCTION("""COMPUTED_VALUE"""),"Dorde Gagic")</f>
        <v>Dorde Gagic</v>
      </c>
      <c r="B41" s="13" t="str">
        <f>IFERROR(__xludf.DUMMYFUNCTION("""COMPUTED_VALUE"""),"PAR")</f>
        <v>PAR</v>
      </c>
      <c r="C41" s="14">
        <f>IFERROR(__xludf.DUMMYFUNCTION("""COMPUTED_VALUE"""),166.8)</f>
        <v>166.8</v>
      </c>
      <c r="D41" s="15">
        <f>IFERROR(__xludf.DUMMYFUNCTION("""COMPUTED_VALUE"""),0.48115462340003035)</f>
        <v>0.4811546234</v>
      </c>
      <c r="E41" s="15">
        <f>IFERROR(__xludf.DUMMYFUNCTION("""COMPUTED_VALUE"""),1.139856594889761)</f>
        <v>1.139856595</v>
      </c>
      <c r="F41" s="15">
        <f>IFERROR(__xludf.DUMMYFUNCTION("""COMPUTED_VALUE"""),1.6210112182897913)</f>
        <v>1.621011218</v>
      </c>
      <c r="G41" s="17">
        <f>IFERROR(__xludf.DUMMYFUNCTION("""COMPUTED_VALUE"""),0.18317583184776584)</f>
        <v>0.1831758318</v>
      </c>
      <c r="H41" s="4"/>
      <c r="I41" s="5" t="s">
        <v>1035</v>
      </c>
      <c r="J41" s="5" t="s">
        <v>962</v>
      </c>
      <c r="K41" s="5">
        <v>167.0</v>
      </c>
      <c r="L41" s="5">
        <v>0.48115</v>
      </c>
      <c r="M41" s="5">
        <v>1.13986</v>
      </c>
      <c r="N41" s="5">
        <v>1.62101</v>
      </c>
      <c r="O41" s="5">
        <v>0.18318</v>
      </c>
    </row>
    <row r="42">
      <c r="A42" s="18" t="str">
        <f>IFERROR(__xludf.DUMMYFUNCTION("""COMPUTED_VALUE"""),"Gregor Hrovat")</f>
        <v>Gregor Hrovat</v>
      </c>
      <c r="B42" s="19" t="str">
        <f>IFERROR(__xludf.DUMMYFUNCTION("""COMPUTED_VALUE"""),"OLI")</f>
        <v>OLI</v>
      </c>
      <c r="C42" s="20">
        <f>IFERROR(__xludf.DUMMYFUNCTION("""COMPUTED_VALUE"""),673.3)</f>
        <v>673.3</v>
      </c>
      <c r="D42" s="21">
        <f>IFERROR(__xludf.DUMMYFUNCTION("""COMPUTED_VALUE"""),0.15367475112529783)</f>
        <v>0.1536747511</v>
      </c>
      <c r="E42" s="21">
        <f>IFERROR(__xludf.DUMMYFUNCTION("""COMPUTED_VALUE"""),1.4277437030982052)</f>
        <v>1.427743703</v>
      </c>
      <c r="F42" s="21">
        <f>IFERROR(__xludf.DUMMYFUNCTION("""COMPUTED_VALUE"""),1.581418454223503)</f>
        <v>1.581418454</v>
      </c>
      <c r="G42" s="23">
        <f>IFERROR(__xludf.DUMMYFUNCTION("""COMPUTED_VALUE"""),0.7272236130832386)</f>
        <v>0.7272236131</v>
      </c>
      <c r="H42" s="4"/>
      <c r="I42" s="5" t="s">
        <v>1039</v>
      </c>
      <c r="J42" s="5" t="s">
        <v>711</v>
      </c>
      <c r="K42" s="5">
        <v>673.0</v>
      </c>
      <c r="L42" s="5">
        <v>0.15367</v>
      </c>
      <c r="M42" s="5">
        <v>1.42774</v>
      </c>
      <c r="N42" s="5">
        <v>1.58142</v>
      </c>
      <c r="O42" s="5">
        <v>0.72722</v>
      </c>
    </row>
    <row r="43">
      <c r="A43" s="12" t="str">
        <f>IFERROR(__xludf.DUMMYFUNCTION("""COMPUTED_VALUE"""),"Preston Knowles")</f>
        <v>Preston Knowles</v>
      </c>
      <c r="B43" s="13" t="str">
        <f>IFERROR(__xludf.DUMMYFUNCTION("""COMPUTED_VALUE"""),"ZAD")</f>
        <v>ZAD</v>
      </c>
      <c r="C43" s="14">
        <f>IFERROR(__xludf.DUMMYFUNCTION("""COMPUTED_VALUE"""),651.3)</f>
        <v>651.3</v>
      </c>
      <c r="D43" s="15">
        <f>IFERROR(__xludf.DUMMYFUNCTION("""COMPUTED_VALUE"""),1.7557995964643502)</f>
        <v>1.755799596</v>
      </c>
      <c r="E43" s="15">
        <f>IFERROR(__xludf.DUMMYFUNCTION("""COMPUTED_VALUE"""),-0.22993774858265037)</f>
        <v>-0.2299377486</v>
      </c>
      <c r="F43" s="15">
        <f>IFERROR(__xludf.DUMMYFUNCTION("""COMPUTED_VALUE"""),1.5258618478816999)</f>
        <v>1.525861848</v>
      </c>
      <c r="G43" s="17">
        <f>IFERROR(__xludf.DUMMYFUNCTION("""COMPUTED_VALUE"""),0.6960072971459905)</f>
        <v>0.6960072971</v>
      </c>
      <c r="H43" s="4"/>
      <c r="I43" s="5" t="s">
        <v>1042</v>
      </c>
      <c r="J43" s="5" t="s">
        <v>967</v>
      </c>
      <c r="K43" s="5">
        <v>651.0</v>
      </c>
      <c r="L43" s="5">
        <v>1.7558</v>
      </c>
      <c r="M43" s="5">
        <v>-0.22994</v>
      </c>
      <c r="N43" s="5">
        <v>1.52586</v>
      </c>
      <c r="O43" s="5">
        <v>0.69601</v>
      </c>
    </row>
    <row r="44">
      <c r="A44" s="18" t="str">
        <f>IFERROR(__xludf.DUMMYFUNCTION("""COMPUTED_VALUE"""),"Dragan Apic")</f>
        <v>Dragan Apic</v>
      </c>
      <c r="B44" s="19" t="str">
        <f>IFERROR(__xludf.DUMMYFUNCTION("""COMPUTED_VALUE"""),"FMP")</f>
        <v>FMP</v>
      </c>
      <c r="C44" s="20">
        <f>IFERROR(__xludf.DUMMYFUNCTION("""COMPUTED_VALUE"""),102.6)</f>
        <v>102.6</v>
      </c>
      <c r="D44" s="21">
        <f>IFERROR(__xludf.DUMMYFUNCTION("""COMPUTED_VALUE"""),0.653778297719559)</f>
        <v>0.6537782977</v>
      </c>
      <c r="E44" s="21">
        <f>IFERROR(__xludf.DUMMYFUNCTION("""COMPUTED_VALUE"""),0.6676919091745495)</f>
        <v>0.6676919092</v>
      </c>
      <c r="F44" s="21">
        <f>IFERROR(__xludf.DUMMYFUNCTION("""COMPUTED_VALUE"""),1.3214702068941084)</f>
        <v>1.321470207</v>
      </c>
      <c r="G44" s="23">
        <f>IFERROR(__xludf.DUMMYFUNCTION("""COMPUTED_VALUE"""),0.1073456885455425)</f>
        <v>0.1073456885</v>
      </c>
      <c r="H44" s="4"/>
      <c r="I44" s="5" t="s">
        <v>328</v>
      </c>
      <c r="J44" s="5" t="s">
        <v>959</v>
      </c>
      <c r="K44" s="5">
        <v>103.0</v>
      </c>
      <c r="L44" s="5">
        <v>0.65378</v>
      </c>
      <c r="M44" s="5">
        <v>0.66769</v>
      </c>
      <c r="N44" s="5">
        <v>1.32147</v>
      </c>
      <c r="O44" s="5">
        <v>0.10735</v>
      </c>
    </row>
    <row r="45">
      <c r="A45" s="12" t="str">
        <f>IFERROR(__xludf.DUMMYFUNCTION("""COMPUTED_VALUE"""),"Stefan Jankovic")</f>
        <v>Stefan Jankovic</v>
      </c>
      <c r="B45" s="13" t="str">
        <f>IFERROR(__xludf.DUMMYFUNCTION("""COMPUTED_VALUE"""),"ZVE")</f>
        <v>ZVE</v>
      </c>
      <c r="C45" s="14">
        <f>IFERROR(__xludf.DUMMYFUNCTION("""COMPUTED_VALUE"""),360.4)</f>
        <v>360.4</v>
      </c>
      <c r="D45" s="15">
        <f>IFERROR(__xludf.DUMMYFUNCTION("""COMPUTED_VALUE"""),-1.459408906900785)</f>
        <v>-1.459408907</v>
      </c>
      <c r="E45" s="15">
        <f>IFERROR(__xludf.DUMMYFUNCTION("""COMPUTED_VALUE"""),2.780122169464781)</f>
        <v>2.780122169</v>
      </c>
      <c r="F45" s="15">
        <f>IFERROR(__xludf.DUMMYFUNCTION("""COMPUTED_VALUE"""),1.320713262563996)</f>
        <v>1.320713263</v>
      </c>
      <c r="G45" s="17">
        <f>IFERROR(__xludf.DUMMYFUNCTION("""COMPUTED_VALUE"""),0.38729663341936843)</f>
        <v>0.3872966334</v>
      </c>
      <c r="H45" s="4"/>
      <c r="I45" s="5" t="s">
        <v>506</v>
      </c>
      <c r="J45" s="5" t="s">
        <v>137</v>
      </c>
      <c r="K45" s="24">
        <v>360.0</v>
      </c>
      <c r="L45" s="5">
        <v>-1.45941</v>
      </c>
      <c r="M45" s="5">
        <v>2.78012</v>
      </c>
      <c r="N45" s="5">
        <v>1.32071</v>
      </c>
      <c r="O45" s="5">
        <v>0.3873</v>
      </c>
    </row>
    <row r="46">
      <c r="A46" s="18" t="str">
        <f>IFERROR(__xludf.DUMMYFUNCTION("""COMPUTED_VALUE"""),"Derek Needham")</f>
        <v>Derek Needham</v>
      </c>
      <c r="B46" s="19" t="str">
        <f>IFERROR(__xludf.DUMMYFUNCTION("""COMPUTED_VALUE"""),"MOR")</f>
        <v>MOR</v>
      </c>
      <c r="C46" s="20">
        <f>IFERROR(__xludf.DUMMYFUNCTION("""COMPUTED_VALUE"""),731.0)</f>
        <v>731</v>
      </c>
      <c r="D46" s="21">
        <f>IFERROR(__xludf.DUMMYFUNCTION("""COMPUTED_VALUE"""),3.2553454005719766)</f>
        <v>3.255345401</v>
      </c>
      <c r="E46" s="21">
        <f>IFERROR(__xludf.DUMMYFUNCTION("""COMPUTED_VALUE"""),-1.956977804048036)</f>
        <v>-1.956977804</v>
      </c>
      <c r="F46" s="21">
        <f>IFERROR(__xludf.DUMMYFUNCTION("""COMPUTED_VALUE"""),1.2983675965239407)</f>
        <v>1.298367597</v>
      </c>
      <c r="G46" s="23">
        <f>IFERROR(__xludf.DUMMYFUNCTION("""COMPUTED_VALUE"""),0.7354170936001477)</f>
        <v>0.7354170936</v>
      </c>
      <c r="H46" s="4"/>
      <c r="I46" s="5" t="s">
        <v>1050</v>
      </c>
      <c r="J46" s="5" t="s">
        <v>921</v>
      </c>
      <c r="K46" s="5">
        <v>731.0</v>
      </c>
      <c r="L46" s="5">
        <v>3.25535</v>
      </c>
      <c r="M46" s="5">
        <v>-1.95698</v>
      </c>
      <c r="N46" s="5">
        <v>1.29837</v>
      </c>
      <c r="O46" s="5">
        <v>0.73542</v>
      </c>
    </row>
    <row r="47">
      <c r="A47" s="12" t="str">
        <f>IFERROR(__xludf.DUMMYFUNCTION("""COMPUTED_VALUE"""),"Domagoj Vukovic")</f>
        <v>Domagoj Vukovic</v>
      </c>
      <c r="B47" s="13" t="str">
        <f>IFERROR(__xludf.DUMMYFUNCTION("""COMPUTED_VALUE"""),"ZAD")</f>
        <v>ZAD</v>
      </c>
      <c r="C47" s="14">
        <f>IFERROR(__xludf.DUMMYFUNCTION("""COMPUTED_VALUE"""),277.0)</f>
        <v>277</v>
      </c>
      <c r="D47" s="15">
        <f>IFERROR(__xludf.DUMMYFUNCTION("""COMPUTED_VALUE"""),0.045834356445499096)</f>
        <v>0.04583435645</v>
      </c>
      <c r="E47" s="15">
        <f>IFERROR(__xludf.DUMMYFUNCTION("""COMPUTED_VALUE"""),1.1355072984799677)</f>
        <v>1.135507298</v>
      </c>
      <c r="F47" s="15">
        <f>IFERROR(__xludf.DUMMYFUNCTION("""COMPUTED_VALUE"""),1.1813416549254667)</f>
        <v>1.181341655</v>
      </c>
      <c r="G47" s="17">
        <f>IFERROR(__xludf.DUMMYFUNCTION("""COMPUTED_VALUE"""),0.2670899238027481)</f>
        <v>0.2670899238</v>
      </c>
      <c r="H47" s="4"/>
      <c r="I47" s="5" t="s">
        <v>1052</v>
      </c>
      <c r="J47" s="5" t="s">
        <v>967</v>
      </c>
      <c r="K47" s="5">
        <v>277.0</v>
      </c>
      <c r="L47" s="5">
        <v>0.04583</v>
      </c>
      <c r="M47" s="5">
        <v>1.13551</v>
      </c>
      <c r="N47" s="5">
        <v>1.18134</v>
      </c>
      <c r="O47" s="5">
        <v>0.26709</v>
      </c>
    </row>
    <row r="48">
      <c r="A48" s="18" t="str">
        <f>IFERROR(__xludf.DUMMYFUNCTION("""COMPUTED_VALUE"""),"Stefan Lazarevic")</f>
        <v>Stefan Lazarevic</v>
      </c>
      <c r="B48" s="19" t="str">
        <f>IFERROR(__xludf.DUMMYFUNCTION("""COMPUTED_VALUE"""),"FMP")</f>
        <v>FMP</v>
      </c>
      <c r="C48" s="20">
        <f>IFERROR(__xludf.DUMMYFUNCTION("""COMPUTED_VALUE"""),130.45)</f>
        <v>130.45</v>
      </c>
      <c r="D48" s="21">
        <f>IFERROR(__xludf.DUMMYFUNCTION("""COMPUTED_VALUE"""),-0.5472155306905961)</f>
        <v>-0.5472155307</v>
      </c>
      <c r="E48" s="21">
        <f>IFERROR(__xludf.DUMMYFUNCTION("""COMPUTED_VALUE"""),1.67918394619445)</f>
        <v>1.679183946</v>
      </c>
      <c r="F48" s="21">
        <f>IFERROR(__xludf.DUMMYFUNCTION("""COMPUTED_VALUE"""),1.1319684155038539)</f>
        <v>1.131968416</v>
      </c>
      <c r="G48" s="23">
        <f>IFERROR(__xludf.DUMMYFUNCTION("""COMPUTED_VALUE"""),0.1286969756483363)</f>
        <v>0.1286969756</v>
      </c>
      <c r="H48" s="4"/>
      <c r="I48" s="5" t="s">
        <v>282</v>
      </c>
      <c r="J48" s="5" t="s">
        <v>959</v>
      </c>
      <c r="K48" s="5">
        <v>130.0</v>
      </c>
      <c r="L48" s="5">
        <v>-0.54722</v>
      </c>
      <c r="M48" s="5">
        <v>1.67918</v>
      </c>
      <c r="N48" s="5">
        <v>1.13197</v>
      </c>
      <c r="O48" s="5">
        <v>0.1287</v>
      </c>
    </row>
    <row r="49">
      <c r="A49" s="12" t="str">
        <f>IFERROR(__xludf.DUMMYFUNCTION("""COMPUTED_VALUE"""),"Stefan Fundic")</f>
        <v>Stefan Fundic</v>
      </c>
      <c r="B49" s="13" t="str">
        <f>IFERROR(__xludf.DUMMYFUNCTION("""COMPUTED_VALUE"""),"MEG")</f>
        <v>MEG</v>
      </c>
      <c r="C49" s="14">
        <f>IFERROR(__xludf.DUMMYFUNCTION("""COMPUTED_VALUE"""),341.1)</f>
        <v>341.1</v>
      </c>
      <c r="D49" s="15">
        <f>IFERROR(__xludf.DUMMYFUNCTION("""COMPUTED_VALUE"""),-0.09446530471071346)</f>
        <v>-0.09446530471</v>
      </c>
      <c r="E49" s="15">
        <f>IFERROR(__xludf.DUMMYFUNCTION("""COMPUTED_VALUE"""),1.140451130557159)</f>
        <v>1.140451131</v>
      </c>
      <c r="F49" s="15">
        <f>IFERROR(__xludf.DUMMYFUNCTION("""COMPUTED_VALUE"""),1.0459858258464456)</f>
        <v>1.045985826</v>
      </c>
      <c r="G49" s="17">
        <f>IFERROR(__xludf.DUMMYFUNCTION("""COMPUTED_VALUE"""),0.32085485216887966)</f>
        <v>0.3208548522</v>
      </c>
      <c r="H49" s="4"/>
      <c r="I49" s="5" t="s">
        <v>1058</v>
      </c>
      <c r="J49" s="5" t="s">
        <v>934</v>
      </c>
      <c r="K49" s="5">
        <v>341.0</v>
      </c>
      <c r="L49" s="5">
        <v>-0.09447</v>
      </c>
      <c r="M49" s="5">
        <v>1.14045</v>
      </c>
      <c r="N49" s="5">
        <v>1.04599</v>
      </c>
      <c r="O49" s="5">
        <v>0.32085</v>
      </c>
    </row>
    <row r="50">
      <c r="A50" s="18" t="str">
        <f>IFERROR(__xludf.DUMMYFUNCTION("""COMPUTED_VALUE"""),"Nikola Rebic")</f>
        <v>Nikola Rebic</v>
      </c>
      <c r="B50" s="19" t="str">
        <f>IFERROR(__xludf.DUMMYFUNCTION("""COMPUTED_VALUE"""),"MEG")</f>
        <v>MEG</v>
      </c>
      <c r="C50" s="20">
        <f>IFERROR(__xludf.DUMMYFUNCTION("""COMPUTED_VALUE"""),591.2)</f>
        <v>591.2</v>
      </c>
      <c r="D50" s="21">
        <f>IFERROR(__xludf.DUMMYFUNCTION("""COMPUTED_VALUE"""),1.594602486447327)</f>
        <v>1.594602486</v>
      </c>
      <c r="E50" s="21">
        <f>IFERROR(__xludf.DUMMYFUNCTION("""COMPUTED_VALUE"""),-0.5631772837816429)</f>
        <v>-0.5631772838</v>
      </c>
      <c r="F50" s="21">
        <f>IFERROR(__xludf.DUMMYFUNCTION("""COMPUTED_VALUE"""),1.031425202665684)</f>
        <v>1.031425203</v>
      </c>
      <c r="G50" s="23">
        <f>IFERROR(__xludf.DUMMYFUNCTION("""COMPUTED_VALUE"""),0.5534524269237513)</f>
        <v>0.5534524269</v>
      </c>
      <c r="H50" s="4"/>
      <c r="I50" s="5" t="s">
        <v>555</v>
      </c>
      <c r="J50" s="5" t="s">
        <v>934</v>
      </c>
      <c r="K50" s="5">
        <v>591.0</v>
      </c>
      <c r="L50" s="5">
        <v>1.5946</v>
      </c>
      <c r="M50" s="5">
        <v>-0.56318</v>
      </c>
      <c r="N50" s="5">
        <v>1.03143</v>
      </c>
      <c r="O50" s="5">
        <v>0.55345</v>
      </c>
    </row>
    <row r="51">
      <c r="A51" s="12" t="str">
        <f>IFERROR(__xludf.DUMMYFUNCTION("""COMPUTED_VALUE"""),"Ive Ivanov")</f>
        <v>Ive Ivanov</v>
      </c>
      <c r="B51" s="13" t="str">
        <f>IFERROR(__xludf.DUMMYFUNCTION("""COMPUTED_VALUE"""),"ZAD")</f>
        <v>ZAD</v>
      </c>
      <c r="C51" s="14">
        <f>IFERROR(__xludf.DUMMYFUNCTION("""COMPUTED_VALUE"""),604.6)</f>
        <v>604.6</v>
      </c>
      <c r="D51" s="15">
        <f>IFERROR(__xludf.DUMMYFUNCTION("""COMPUTED_VALUE"""),1.1800697965022153)</f>
        <v>1.180069797</v>
      </c>
      <c r="E51" s="15">
        <f>IFERROR(__xludf.DUMMYFUNCTION("""COMPUTED_VALUE"""),-0.14885809574932996)</f>
        <v>-0.1488580957</v>
      </c>
      <c r="F51" s="15">
        <f>IFERROR(__xludf.DUMMYFUNCTION("""COMPUTED_VALUE"""),1.0312117007528854)</f>
        <v>1.031211701</v>
      </c>
      <c r="G51" s="17">
        <f>IFERROR(__xludf.DUMMYFUNCTION("""COMPUTED_VALUE"""),0.5554587784220498)</f>
        <v>0.5554587784</v>
      </c>
      <c r="H51" s="4"/>
      <c r="I51" s="5" t="s">
        <v>1063</v>
      </c>
      <c r="J51" s="5" t="s">
        <v>967</v>
      </c>
      <c r="K51" s="5">
        <v>605.0</v>
      </c>
      <c r="L51" s="5">
        <v>1.18007</v>
      </c>
      <c r="M51" s="5">
        <v>-0.14886</v>
      </c>
      <c r="N51" s="5">
        <v>1.03121</v>
      </c>
      <c r="O51" s="5">
        <v>0.55546</v>
      </c>
    </row>
    <row r="52">
      <c r="A52" s="18" t="str">
        <f>IFERROR(__xludf.DUMMYFUNCTION("""COMPUTED_VALUE"""),"Yusuf Sanon")</f>
        <v>Yusuf Sanon</v>
      </c>
      <c r="B52" s="19" t="str">
        <f>IFERROR(__xludf.DUMMYFUNCTION("""COMPUTED_VALUE"""),"OLI")</f>
        <v>OLI</v>
      </c>
      <c r="C52" s="20">
        <f>IFERROR(__xludf.DUMMYFUNCTION("""COMPUTED_VALUE"""),56.5)</f>
        <v>56.5</v>
      </c>
      <c r="D52" s="21">
        <f>IFERROR(__xludf.DUMMYFUNCTION("""COMPUTED_VALUE"""),0.4001148371090076)</f>
        <v>0.4001148371</v>
      </c>
      <c r="E52" s="21">
        <f>IFERROR(__xludf.DUMMYFUNCTION("""COMPUTED_VALUE"""),0.6215457215453304)</f>
        <v>0.6215457215</v>
      </c>
      <c r="F52" s="21">
        <f>IFERROR(__xludf.DUMMYFUNCTION("""COMPUTED_VALUE"""),1.021660558654338)</f>
        <v>1.021660559</v>
      </c>
      <c r="G52" s="23">
        <f>IFERROR(__xludf.DUMMYFUNCTION("""COMPUTED_VALUE"""),0.05148709800467482)</f>
        <v>0.051487098</v>
      </c>
      <c r="H52" s="4"/>
      <c r="I52" s="5" t="s">
        <v>1066</v>
      </c>
      <c r="J52" s="5" t="s">
        <v>711</v>
      </c>
      <c r="K52" s="5">
        <v>57.0</v>
      </c>
      <c r="L52" s="5">
        <v>0.40011</v>
      </c>
      <c r="M52" s="5">
        <v>0.62155</v>
      </c>
      <c r="N52" s="5">
        <v>1.02166</v>
      </c>
      <c r="O52" s="5">
        <v>0.05149</v>
      </c>
    </row>
    <row r="53">
      <c r="A53" s="12" t="str">
        <f>IFERROR(__xludf.DUMMYFUNCTION("""COMPUTED_VALUE"""),"Vlatko Cancar")</f>
        <v>Vlatko Cancar</v>
      </c>
      <c r="B53" s="13" t="str">
        <f>IFERROR(__xludf.DUMMYFUNCTION("""COMPUTED_VALUE"""),"MEG")</f>
        <v>MEG</v>
      </c>
      <c r="C53" s="14">
        <f>IFERROR(__xludf.DUMMYFUNCTION("""COMPUTED_VALUE"""),597.7)</f>
        <v>597.7</v>
      </c>
      <c r="D53" s="15">
        <f>IFERROR(__xludf.DUMMYFUNCTION("""COMPUTED_VALUE"""),-0.3996131197296944)</f>
        <v>-0.3996131197</v>
      </c>
      <c r="E53" s="15">
        <f>IFERROR(__xludf.DUMMYFUNCTION("""COMPUTED_VALUE"""),1.3256211287544821)</f>
        <v>1.325621129</v>
      </c>
      <c r="F53" s="15">
        <f>IFERROR(__xludf.DUMMYFUNCTION("""COMPUTED_VALUE"""),0.9260080090247876)</f>
        <v>0.926008009</v>
      </c>
      <c r="G53" s="17">
        <f>IFERROR(__xludf.DUMMYFUNCTION("""COMPUTED_VALUE"""),0.5400796086054871)</f>
        <v>0.5400796086</v>
      </c>
      <c r="H53" s="4"/>
      <c r="I53" s="5" t="s">
        <v>556</v>
      </c>
      <c r="J53" s="5" t="s">
        <v>934</v>
      </c>
      <c r="K53" s="5">
        <v>598.0</v>
      </c>
      <c r="L53" s="5">
        <v>-0.39961</v>
      </c>
      <c r="M53" s="5">
        <v>1.32562</v>
      </c>
      <c r="N53" s="5">
        <v>0.92601</v>
      </c>
      <c r="O53" s="5">
        <v>0.54008</v>
      </c>
    </row>
    <row r="54">
      <c r="A54" s="18" t="str">
        <f>IFERROR(__xludf.DUMMYFUNCTION("""COMPUTED_VALUE"""),"Dominic Artis")</f>
        <v>Dominic Artis</v>
      </c>
      <c r="B54" s="19" t="str">
        <f>IFERROR(__xludf.DUMMYFUNCTION("""COMPUTED_VALUE"""),"IGO")</f>
        <v>IGO</v>
      </c>
      <c r="C54" s="20">
        <f>IFERROR(__xludf.DUMMYFUNCTION("""COMPUTED_VALUE"""),170.0)</f>
        <v>170</v>
      </c>
      <c r="D54" s="21">
        <f>IFERROR(__xludf.DUMMYFUNCTION("""COMPUTED_VALUE"""),0.726726174492578)</f>
        <v>0.7267261745</v>
      </c>
      <c r="E54" s="21">
        <f>IFERROR(__xludf.DUMMYFUNCTION("""COMPUTED_VALUE"""),0.1935355897589207)</f>
        <v>0.1935355898</v>
      </c>
      <c r="F54" s="21">
        <f>IFERROR(__xludf.DUMMYFUNCTION("""COMPUTED_VALUE"""),0.9202617642514987)</f>
        <v>0.9202617643</v>
      </c>
      <c r="G54" s="23">
        <f>IFERROR(__xludf.DUMMYFUNCTION("""COMPUTED_VALUE"""),0.1505577586966111)</f>
        <v>0.1505577587</v>
      </c>
      <c r="H54" s="4"/>
      <c r="I54" s="5" t="s">
        <v>1072</v>
      </c>
      <c r="J54" s="5" t="s">
        <v>980</v>
      </c>
      <c r="K54" s="5">
        <v>170.0</v>
      </c>
      <c r="L54" s="5">
        <v>0.72673</v>
      </c>
      <c r="M54" s="5">
        <v>0.19354</v>
      </c>
      <c r="N54" s="5">
        <v>0.92026</v>
      </c>
      <c r="O54" s="5">
        <v>0.15056</v>
      </c>
    </row>
    <row r="55">
      <c r="A55" s="12" t="str">
        <f>IFERROR(__xludf.DUMMYFUNCTION("""COMPUTED_VALUE"""),"Nemanja Dangubic")</f>
        <v>Nemanja Dangubic</v>
      </c>
      <c r="B55" s="13" t="str">
        <f>IFERROR(__xludf.DUMMYFUNCTION("""COMPUTED_VALUE"""),"ZVE")</f>
        <v>ZVE</v>
      </c>
      <c r="C55" s="14">
        <f>IFERROR(__xludf.DUMMYFUNCTION("""COMPUTED_VALUE"""),337.7)</f>
        <v>337.7</v>
      </c>
      <c r="D55" s="15">
        <f>IFERROR(__xludf.DUMMYFUNCTION("""COMPUTED_VALUE"""),0.7352943008488249)</f>
        <v>0.7352943008</v>
      </c>
      <c r="E55" s="15">
        <f>IFERROR(__xludf.DUMMYFUNCTION("""COMPUTED_VALUE"""),0.17942510854487037)</f>
        <v>0.1794251085</v>
      </c>
      <c r="F55" s="15">
        <f>IFERROR(__xludf.DUMMYFUNCTION("""COMPUTED_VALUE"""),0.9147194093936952)</f>
        <v>0.9147194094</v>
      </c>
      <c r="G55" s="17">
        <f>IFERROR(__xludf.DUMMYFUNCTION("""COMPUTED_VALUE"""),0.3185336928353968)</f>
        <v>0.3185336928</v>
      </c>
      <c r="H55" s="4"/>
      <c r="I55" s="5" t="s">
        <v>361</v>
      </c>
      <c r="J55" s="5" t="s">
        <v>137</v>
      </c>
      <c r="K55" s="5">
        <v>338.0</v>
      </c>
      <c r="L55" s="5">
        <v>0.73529</v>
      </c>
      <c r="M55" s="5">
        <v>0.17943</v>
      </c>
      <c r="N55" s="5">
        <v>0.91472</v>
      </c>
      <c r="O55" s="5">
        <v>0.31853</v>
      </c>
    </row>
    <row r="56">
      <c r="A56" s="18" t="str">
        <f>IFERROR(__xludf.DUMMYFUNCTION("""COMPUTED_VALUE"""),"Milic Starovlah")</f>
        <v>Milic Starovlah</v>
      </c>
      <c r="B56" s="19" t="str">
        <f>IFERROR(__xludf.DUMMYFUNCTION("""COMPUTED_VALUE"""),"BUD")</f>
        <v>BUD</v>
      </c>
      <c r="C56" s="20">
        <f>IFERROR(__xludf.DUMMYFUNCTION("""COMPUTED_VALUE"""),131.9)</f>
        <v>131.9</v>
      </c>
      <c r="D56" s="21">
        <f>IFERROR(__xludf.DUMMYFUNCTION("""COMPUTED_VALUE"""),0.9715513199417178)</f>
        <v>0.9715513199</v>
      </c>
      <c r="E56" s="21">
        <f>IFERROR(__xludf.DUMMYFUNCTION("""COMPUTED_VALUE"""),-0.0574571483592895)</f>
        <v>-0.05745714836</v>
      </c>
      <c r="F56" s="21">
        <f>IFERROR(__xludf.DUMMYFUNCTION("""COMPUTED_VALUE"""),0.9140941715824283)</f>
        <v>0.9140941716</v>
      </c>
      <c r="G56" s="23">
        <f>IFERROR(__xludf.DUMMYFUNCTION("""COMPUTED_VALUE"""),0.11723418790323609)</f>
        <v>0.1172341879</v>
      </c>
      <c r="H56" s="4"/>
      <c r="I56" s="5" t="s">
        <v>1079</v>
      </c>
      <c r="J56" s="5" t="s">
        <v>914</v>
      </c>
      <c r="K56" s="5">
        <v>132.0</v>
      </c>
      <c r="L56" s="5">
        <v>0.97155</v>
      </c>
      <c r="M56" s="5">
        <v>-0.05746</v>
      </c>
      <c r="N56" s="5">
        <v>0.91409</v>
      </c>
      <c r="O56" s="5">
        <v>0.11723</v>
      </c>
    </row>
    <row r="57">
      <c r="A57" s="12" t="str">
        <f>IFERROR(__xludf.DUMMYFUNCTION("""COMPUTED_VALUE"""),"Filip Covic")</f>
        <v>Filip Covic</v>
      </c>
      <c r="B57" s="13" t="str">
        <f>IFERROR(__xludf.DUMMYFUNCTION("""COMPUTED_VALUE"""),"FMP")</f>
        <v>FMP</v>
      </c>
      <c r="C57" s="14">
        <f>IFERROR(__xludf.DUMMYFUNCTION("""COMPUTED_VALUE"""),616.3)</f>
        <v>616.3</v>
      </c>
      <c r="D57" s="15">
        <f>IFERROR(__xludf.DUMMYFUNCTION("""COMPUTED_VALUE"""),2.6469190332075634)</f>
        <v>2.646919033</v>
      </c>
      <c r="E57" s="15">
        <f>IFERROR(__xludf.DUMMYFUNCTION("""COMPUTED_VALUE"""),-1.8023442330540576)</f>
        <v>-1.802344233</v>
      </c>
      <c r="F57" s="15">
        <f>IFERROR(__xludf.DUMMYFUNCTION("""COMPUTED_VALUE"""),0.8445748001535057)</f>
        <v>0.8445748002</v>
      </c>
      <c r="G57" s="17">
        <f>IFERROR(__xludf.DUMMYFUNCTION("""COMPUTED_VALUE"""),0.5522254402354309)</f>
        <v>0.5522254402</v>
      </c>
      <c r="H57" s="4"/>
      <c r="I57" s="5" t="s">
        <v>1082</v>
      </c>
      <c r="J57" s="5" t="s">
        <v>959</v>
      </c>
      <c r="K57" s="24">
        <v>616.0</v>
      </c>
      <c r="L57" s="5">
        <v>2.64692</v>
      </c>
      <c r="M57" s="5">
        <v>-1.80234</v>
      </c>
      <c r="N57" s="5">
        <v>0.84457</v>
      </c>
      <c r="O57" s="5">
        <v>0.55223</v>
      </c>
    </row>
    <row r="58">
      <c r="A58" s="18" t="str">
        <f>IFERROR(__xludf.DUMMYFUNCTION("""COMPUTED_VALUE"""),"Robert Rikic")</f>
        <v>Robert Rikic</v>
      </c>
      <c r="B58" s="19" t="str">
        <f>IFERROR(__xludf.DUMMYFUNCTION("""COMPUTED_VALUE"""),"IGO")</f>
        <v>IGO</v>
      </c>
      <c r="C58" s="20">
        <f>IFERROR(__xludf.DUMMYFUNCTION("""COMPUTED_VALUE"""),373.4)</f>
        <v>373.4</v>
      </c>
      <c r="D58" s="21">
        <f>IFERROR(__xludf.DUMMYFUNCTION("""COMPUTED_VALUE"""),2.642664974588998)</f>
        <v>2.642664975</v>
      </c>
      <c r="E58" s="21">
        <f>IFERROR(__xludf.DUMMYFUNCTION("""COMPUTED_VALUE"""),-1.8075208435664356)</f>
        <v>-1.807520844</v>
      </c>
      <c r="F58" s="21">
        <f>IFERROR(__xludf.DUMMYFUNCTION("""COMPUTED_VALUE"""),0.8351441310225621)</f>
        <v>0.835144131</v>
      </c>
      <c r="G58" s="23">
        <f>IFERROR(__xludf.DUMMYFUNCTION("""COMPUTED_VALUE"""),0.3210568150961695)</f>
        <v>0.3210568151</v>
      </c>
      <c r="H58" s="4"/>
      <c r="I58" s="5" t="s">
        <v>1085</v>
      </c>
      <c r="J58" s="5" t="s">
        <v>980</v>
      </c>
      <c r="K58" s="5">
        <v>373.0</v>
      </c>
      <c r="L58" s="5">
        <v>2.64266</v>
      </c>
      <c r="M58" s="5">
        <v>-1.80752</v>
      </c>
      <c r="N58" s="5">
        <v>0.83514</v>
      </c>
      <c r="O58" s="5">
        <v>0.32106</v>
      </c>
    </row>
    <row r="59">
      <c r="A59" s="12" t="str">
        <f>IFERROR(__xludf.DUMMYFUNCTION("""COMPUTED_VALUE"""),"Luka Bozic")</f>
        <v>Luka Bozic</v>
      </c>
      <c r="B59" s="13" t="str">
        <f>IFERROR(__xludf.DUMMYFUNCTION("""COMPUTED_VALUE"""),"ZAD")</f>
        <v>ZAD</v>
      </c>
      <c r="C59" s="14">
        <f>IFERROR(__xludf.DUMMYFUNCTION("""COMPUTED_VALUE"""),702.8)</f>
        <v>702.8</v>
      </c>
      <c r="D59" s="15">
        <f>IFERROR(__xludf.DUMMYFUNCTION("""COMPUTED_VALUE"""),0.35958420768674676)</f>
        <v>0.3595842077</v>
      </c>
      <c r="E59" s="15">
        <f>IFERROR(__xludf.DUMMYFUNCTION("""COMPUTED_VALUE"""),0.3927050339835741)</f>
        <v>0.392705034</v>
      </c>
      <c r="F59" s="15">
        <f>IFERROR(__xludf.DUMMYFUNCTION("""COMPUTED_VALUE"""),0.7522892416703209)</f>
        <v>0.7522892417</v>
      </c>
      <c r="G59" s="17">
        <f>IFERROR(__xludf.DUMMYFUNCTION("""COMPUTED_VALUE"""),0.5862640293362095)</f>
        <v>0.5862640293</v>
      </c>
      <c r="H59" s="4"/>
      <c r="I59" s="5" t="s">
        <v>1088</v>
      </c>
      <c r="J59" s="5" t="s">
        <v>967</v>
      </c>
      <c r="K59" s="5">
        <v>703.0</v>
      </c>
      <c r="L59" s="5">
        <v>0.35958</v>
      </c>
      <c r="M59" s="5">
        <v>0.39271</v>
      </c>
      <c r="N59" s="5">
        <v>0.75229</v>
      </c>
      <c r="O59" s="5">
        <v>0.58626</v>
      </c>
    </row>
    <row r="60">
      <c r="A60" s="18" t="str">
        <f>IFERROR(__xludf.DUMMYFUNCTION("""COMPUTED_VALUE"""),"Mirza Begic")</f>
        <v>Mirza Begic</v>
      </c>
      <c r="B60" s="19" t="str">
        <f>IFERROR(__xludf.DUMMYFUNCTION("""COMPUTED_VALUE"""),"OLI")</f>
        <v>OLI</v>
      </c>
      <c r="C60" s="20">
        <f>IFERROR(__xludf.DUMMYFUNCTION("""COMPUTED_VALUE"""),50.1)</f>
        <v>50.1</v>
      </c>
      <c r="D60" s="21">
        <f>IFERROR(__xludf.DUMMYFUNCTION("""COMPUTED_VALUE"""),-0.6250082376321031)</f>
        <v>-0.6250082376</v>
      </c>
      <c r="E60" s="21">
        <f>IFERROR(__xludf.DUMMYFUNCTION("""COMPUTED_VALUE"""),1.341591295577123)</f>
        <v>1.341591296</v>
      </c>
      <c r="F60" s="21">
        <f>IFERROR(__xludf.DUMMYFUNCTION("""COMPUTED_VALUE"""),0.7165830579450198)</f>
        <v>0.7165830579</v>
      </c>
      <c r="G60" s="23">
        <f>IFERROR(__xludf.DUMMYFUNCTION("""COMPUTED_VALUE"""),0.041045448378164776)</f>
        <v>0.04104544838</v>
      </c>
      <c r="H60" s="4"/>
      <c r="I60" s="5" t="s">
        <v>1092</v>
      </c>
      <c r="J60" s="5" t="s">
        <v>711</v>
      </c>
      <c r="K60" s="5">
        <v>50.0</v>
      </c>
      <c r="L60" s="5">
        <v>-0.62501</v>
      </c>
      <c r="M60" s="5">
        <v>1.34159</v>
      </c>
      <c r="N60" s="5">
        <v>0.71658</v>
      </c>
      <c r="O60" s="5">
        <v>0.04105</v>
      </c>
    </row>
    <row r="61">
      <c r="A61" s="12" t="str">
        <f>IFERROR(__xludf.DUMMYFUNCTION("""COMPUTED_VALUE"""),"Mihajlo Andric")</f>
        <v>Mihajlo Andric</v>
      </c>
      <c r="B61" s="13" t="str">
        <f>IFERROR(__xludf.DUMMYFUNCTION("""COMPUTED_VALUE"""),"PAR")</f>
        <v>PAR</v>
      </c>
      <c r="C61" s="14">
        <f>IFERROR(__xludf.DUMMYFUNCTION("""COMPUTED_VALUE"""),415.0)</f>
        <v>415</v>
      </c>
      <c r="D61" s="15">
        <f>IFERROR(__xludf.DUMMYFUNCTION("""COMPUTED_VALUE"""),2.5584848263255138)</f>
        <v>2.558484826</v>
      </c>
      <c r="E61" s="15">
        <f>IFERROR(__xludf.DUMMYFUNCTION("""COMPUTED_VALUE"""),-1.8502489537816043)</f>
        <v>-1.850248954</v>
      </c>
      <c r="F61" s="15">
        <f>IFERROR(__xludf.DUMMYFUNCTION("""COMPUTED_VALUE"""),0.7082358725439095)</f>
        <v>0.7082358725</v>
      </c>
      <c r="G61" s="17">
        <f>IFERROR(__xludf.DUMMYFUNCTION("""COMPUTED_VALUE"""),0.3408606272845988)</f>
        <v>0.3408606273</v>
      </c>
      <c r="H61" s="4"/>
      <c r="I61" s="5" t="s">
        <v>1095</v>
      </c>
      <c r="J61" s="5" t="s">
        <v>962</v>
      </c>
      <c r="K61" s="5">
        <v>415.0</v>
      </c>
      <c r="L61" s="5">
        <v>2.55848</v>
      </c>
      <c r="M61" s="5">
        <v>-1.85025</v>
      </c>
      <c r="N61" s="5">
        <v>0.70824</v>
      </c>
      <c r="O61" s="5">
        <v>0.34086</v>
      </c>
    </row>
    <row r="62">
      <c r="A62" s="18" t="str">
        <f>IFERROR(__xludf.DUMMYFUNCTION("""COMPUTED_VALUE"""),"Bandja Sy")</f>
        <v>Bandja Sy</v>
      </c>
      <c r="B62" s="19" t="str">
        <f>IFERROR(__xludf.DUMMYFUNCTION("""COMPUTED_VALUE"""),"PAR")</f>
        <v>PAR</v>
      </c>
      <c r="C62" s="20">
        <f>IFERROR(__xludf.DUMMYFUNCTION("""COMPUTED_VALUE"""),154.8)</f>
        <v>154.8</v>
      </c>
      <c r="D62" s="21">
        <f>IFERROR(__xludf.DUMMYFUNCTION("""COMPUTED_VALUE"""),1.1078341777662706)</f>
        <v>1.107834178</v>
      </c>
      <c r="E62" s="21">
        <f>IFERROR(__xludf.DUMMYFUNCTION("""COMPUTED_VALUE"""),-0.49055300575548233)</f>
        <v>-0.4905530058</v>
      </c>
      <c r="F62" s="21">
        <f>IFERROR(__xludf.DUMMYFUNCTION("""COMPUTED_VALUE"""),0.6172811720107882)</f>
        <v>0.617281172</v>
      </c>
      <c r="G62" s="23">
        <f>IFERROR(__xludf.DUMMYFUNCTION("""COMPUTED_VALUE"""),0.12287501763704818)</f>
        <v>0.1228750176</v>
      </c>
      <c r="H62" s="4"/>
      <c r="I62" s="5" t="s">
        <v>853</v>
      </c>
      <c r="J62" s="5" t="s">
        <v>962</v>
      </c>
      <c r="K62" s="5">
        <v>155.0</v>
      </c>
      <c r="L62" s="5">
        <v>1.10783</v>
      </c>
      <c r="M62" s="5">
        <v>-0.49055</v>
      </c>
      <c r="N62" s="5">
        <v>0.61728</v>
      </c>
      <c r="O62" s="5">
        <v>0.12288</v>
      </c>
    </row>
    <row r="63">
      <c r="A63" s="12" t="str">
        <f>IFERROR(__xludf.DUMMYFUNCTION("""COMPUTED_VALUE"""),"Nikola Tanaskovic")</f>
        <v>Nikola Tanaskovic</v>
      </c>
      <c r="B63" s="13" t="str">
        <f>IFERROR(__xludf.DUMMYFUNCTION("""COMPUTED_VALUE"""),"PAR")</f>
        <v>PAR</v>
      </c>
      <c r="C63" s="14">
        <f>IFERROR(__xludf.DUMMYFUNCTION("""COMPUTED_VALUE"""),75.1)</f>
        <v>75.1</v>
      </c>
      <c r="D63" s="15">
        <f>IFERROR(__xludf.DUMMYFUNCTION("""COMPUTED_VALUE"""),-0.028374541624390865)</f>
        <v>-0.02837454162</v>
      </c>
      <c r="E63" s="15">
        <f>IFERROR(__xludf.DUMMYFUNCTION("""COMPUTED_VALUE"""),0.6257742812452994)</f>
        <v>0.6257742812</v>
      </c>
      <c r="F63" s="15">
        <f>IFERROR(__xludf.DUMMYFUNCTION("""COMPUTED_VALUE"""),0.5973997396209085)</f>
        <v>0.5973997396</v>
      </c>
      <c r="G63" s="17">
        <f>IFERROR(__xludf.DUMMYFUNCTION("""COMPUTED_VALUE"""),0.059159021966792416)</f>
        <v>0.05915902197</v>
      </c>
      <c r="H63" s="4"/>
      <c r="I63" s="5" t="s">
        <v>1099</v>
      </c>
      <c r="J63" s="5" t="s">
        <v>962</v>
      </c>
      <c r="K63" s="5">
        <v>75.0</v>
      </c>
      <c r="L63" s="5">
        <v>-0.02837</v>
      </c>
      <c r="M63" s="5">
        <v>0.62577</v>
      </c>
      <c r="N63" s="5">
        <v>0.5974</v>
      </c>
      <c r="O63" s="5">
        <v>0.05916</v>
      </c>
    </row>
    <row r="64">
      <c r="A64" s="18" t="str">
        <f>IFERROR(__xludf.DUMMYFUNCTION("""COMPUTED_VALUE"""),"Marko Pecarski")</f>
        <v>Marko Pecarski</v>
      </c>
      <c r="B64" s="19" t="str">
        <f>IFERROR(__xludf.DUMMYFUNCTION("""COMPUTED_VALUE"""),"PAR")</f>
        <v>PAR</v>
      </c>
      <c r="C64" s="20">
        <f>IFERROR(__xludf.DUMMYFUNCTION("""COMPUTED_VALUE"""),106.9)</f>
        <v>106.9</v>
      </c>
      <c r="D64" s="21">
        <f>IFERROR(__xludf.DUMMYFUNCTION("""COMPUTED_VALUE"""),1.0736100811317044)</f>
        <v>1.073610081</v>
      </c>
      <c r="E64" s="21">
        <f>IFERROR(__xludf.DUMMYFUNCTION("""COMPUTED_VALUE"""),-0.5474882164712978)</f>
        <v>-0.5474882165</v>
      </c>
      <c r="F64" s="21">
        <f>IFERROR(__xludf.DUMMYFUNCTION("""COMPUTED_VALUE"""),0.5261218646604067)</f>
        <v>0.5261218647</v>
      </c>
      <c r="G64" s="23">
        <f>IFERROR(__xludf.DUMMYFUNCTION("""COMPUTED_VALUE"""),0.08189818155750203)</f>
        <v>0.08189818156</v>
      </c>
      <c r="H64" s="4"/>
      <c r="I64" s="5" t="s">
        <v>1101</v>
      </c>
      <c r="J64" s="5" t="s">
        <v>962</v>
      </c>
      <c r="K64" s="5">
        <v>107.0</v>
      </c>
      <c r="L64" s="5">
        <v>1.07361</v>
      </c>
      <c r="M64" s="5">
        <v>-0.54749</v>
      </c>
      <c r="N64" s="5">
        <v>0.52612</v>
      </c>
      <c r="O64" s="5">
        <v>0.0819</v>
      </c>
    </row>
    <row r="65">
      <c r="A65" s="12" t="str">
        <f>IFERROR(__xludf.DUMMYFUNCTION("""COMPUTED_VALUE"""),"Michael Ojo")</f>
        <v>Michael Ojo</v>
      </c>
      <c r="B65" s="13" t="str">
        <f>IFERROR(__xludf.DUMMYFUNCTION("""COMPUTED_VALUE"""),"FMP")</f>
        <v>FMP</v>
      </c>
      <c r="C65" s="14">
        <f>IFERROR(__xludf.DUMMYFUNCTION("""COMPUTED_VALUE"""),452.6)</f>
        <v>452.6</v>
      </c>
      <c r="D65" s="15">
        <f>IFERROR(__xludf.DUMMYFUNCTION("""COMPUTED_VALUE"""),-0.8700939431262638)</f>
        <v>-0.8700939431</v>
      </c>
      <c r="E65" s="15">
        <f>IFERROR(__xludf.DUMMYFUNCTION("""COMPUTED_VALUE"""),1.3857372205074396)</f>
        <v>1.385737221</v>
      </c>
      <c r="F65" s="15">
        <f>IFERROR(__xludf.DUMMYFUNCTION("""COMPUTED_VALUE"""),0.515643277381176)</f>
        <v>0.5156432774</v>
      </c>
      <c r="G65" s="17">
        <f>IFERROR(__xludf.DUMMYFUNCTION("""COMPUTED_VALUE"""),0.35864971582285826)</f>
        <v>0.3586497158</v>
      </c>
      <c r="H65" s="4"/>
      <c r="I65" s="5" t="s">
        <v>1103</v>
      </c>
      <c r="J65" s="5" t="s">
        <v>959</v>
      </c>
      <c r="K65" s="5">
        <v>453.0</v>
      </c>
      <c r="L65" s="5">
        <v>-0.87009</v>
      </c>
      <c r="M65" s="5">
        <v>1.38574</v>
      </c>
      <c r="N65" s="5">
        <v>0.51564</v>
      </c>
      <c r="O65" s="5">
        <v>0.35865</v>
      </c>
    </row>
    <row r="66">
      <c r="A66" s="18" t="str">
        <f>IFERROR(__xludf.DUMMYFUNCTION("""COMPUTED_VALUE"""),"Nemanja Nenadic")</f>
        <v>Nemanja Nenadic</v>
      </c>
      <c r="B66" s="19" t="str">
        <f>IFERROR(__xludf.DUMMYFUNCTION("""COMPUTED_VALUE"""),"FMP")</f>
        <v>FMP</v>
      </c>
      <c r="C66" s="20">
        <f>IFERROR(__xludf.DUMMYFUNCTION("""COMPUTED_VALUE"""),418.4)</f>
        <v>418.4</v>
      </c>
      <c r="D66" s="21">
        <f>IFERROR(__xludf.DUMMYFUNCTION("""COMPUTED_VALUE"""),0.19085845866523787)</f>
        <v>0.1908584587</v>
      </c>
      <c r="E66" s="21">
        <f>IFERROR(__xludf.DUMMYFUNCTION("""COMPUTED_VALUE"""),0.19310255018697775)</f>
        <v>0.1931025502</v>
      </c>
      <c r="F66" s="21">
        <f>IFERROR(__xludf.DUMMYFUNCTION("""COMPUTED_VALUE"""),0.3839610088522156)</f>
        <v>0.3839610089</v>
      </c>
      <c r="G66" s="23">
        <f>IFERROR(__xludf.DUMMYFUNCTION("""COMPUTED_VALUE"""),0.31419387018448364)</f>
        <v>0.3141938702</v>
      </c>
      <c r="H66" s="4"/>
      <c r="I66" s="5" t="s">
        <v>1105</v>
      </c>
      <c r="J66" s="5" t="s">
        <v>959</v>
      </c>
      <c r="K66" s="5">
        <v>418.0</v>
      </c>
      <c r="L66" s="5">
        <v>0.19086</v>
      </c>
      <c r="M66" s="5">
        <v>0.1931</v>
      </c>
      <c r="N66" s="5">
        <v>0.38396</v>
      </c>
      <c r="O66" s="5">
        <v>0.31419</v>
      </c>
    </row>
    <row r="67">
      <c r="A67" s="12" t="str">
        <f>IFERROR(__xludf.DUMMYFUNCTION("""COMPUTED_VALUE"""),"Dorell Wright")</f>
        <v>Dorell Wright</v>
      </c>
      <c r="B67" s="13" t="str">
        <f>IFERROR(__xludf.DUMMYFUNCTION("""COMPUTED_VALUE"""),"IGO")</f>
        <v>IGO</v>
      </c>
      <c r="C67" s="14">
        <f>IFERROR(__xludf.DUMMYFUNCTION("""COMPUTED_VALUE"""),116.2)</f>
        <v>116.2</v>
      </c>
      <c r="D67" s="15">
        <f>IFERROR(__xludf.DUMMYFUNCTION("""COMPUTED_VALUE"""),1.9431988594995593)</f>
        <v>1.943198859</v>
      </c>
      <c r="E67" s="15">
        <f>IFERROR(__xludf.DUMMYFUNCTION("""COMPUTED_VALUE"""),-1.5799940202643947)</f>
        <v>-1.57999402</v>
      </c>
      <c r="F67" s="15">
        <f>IFERROR(__xludf.DUMMYFUNCTION("""COMPUTED_VALUE"""),0.3632048392351646)</f>
        <v>0.3632048392</v>
      </c>
      <c r="G67" s="17">
        <f>IFERROR(__xludf.DUMMYFUNCTION("""COMPUTED_VALUE"""),0.08327984970691199)</f>
        <v>0.08327984971</v>
      </c>
      <c r="H67" s="4"/>
      <c r="I67" s="5" t="s">
        <v>71</v>
      </c>
      <c r="J67" s="5" t="s">
        <v>980</v>
      </c>
      <c r="K67" s="5">
        <v>116.0</v>
      </c>
      <c r="L67" s="5">
        <v>1.9432</v>
      </c>
      <c r="M67" s="5">
        <v>-1.57999</v>
      </c>
      <c r="N67" s="5">
        <v>0.3632</v>
      </c>
      <c r="O67" s="5">
        <v>0.08328</v>
      </c>
    </row>
    <row r="68">
      <c r="A68" s="18" t="str">
        <f>IFERROR(__xludf.DUMMYFUNCTION("""COMPUTED_VALUE"""),"Chris Johnson")</f>
        <v>Chris Johnson</v>
      </c>
      <c r="B68" s="19" t="str">
        <f>IFERROR(__xludf.DUMMYFUNCTION("""COMPUTED_VALUE"""),"CED")</f>
        <v>CED</v>
      </c>
      <c r="C68" s="20">
        <f>IFERROR(__xludf.DUMMYFUNCTION("""COMPUTED_VALUE"""),174.7)</f>
        <v>174.7</v>
      </c>
      <c r="D68" s="21">
        <f>IFERROR(__xludf.DUMMYFUNCTION("""COMPUTED_VALUE"""),-0.9872212498442113)</f>
        <v>-0.9872212498</v>
      </c>
      <c r="E68" s="21">
        <f>IFERROR(__xludf.DUMMYFUNCTION("""COMPUTED_VALUE"""),1.306632000263921)</f>
        <v>1.306632</v>
      </c>
      <c r="F68" s="21">
        <f>IFERROR(__xludf.DUMMYFUNCTION("""COMPUTED_VALUE"""),0.3194107504197097)</f>
        <v>0.3194107504</v>
      </c>
      <c r="G68" s="23">
        <f>IFERROR(__xludf.DUMMYFUNCTION("""COMPUTED_VALUE"""),0.1223573827867417)</f>
        <v>0.1223573828</v>
      </c>
      <c r="H68" s="4"/>
      <c r="I68" s="5" t="s">
        <v>1108</v>
      </c>
      <c r="J68" s="5" t="s">
        <v>928</v>
      </c>
      <c r="K68" s="5">
        <v>175.0</v>
      </c>
      <c r="L68" s="5">
        <v>-0.98722</v>
      </c>
      <c r="M68" s="5">
        <v>1.30663</v>
      </c>
      <c r="N68" s="5">
        <v>0.31941</v>
      </c>
      <c r="O68" s="5">
        <v>0.12236</v>
      </c>
    </row>
    <row r="69">
      <c r="A69" s="12" t="str">
        <f>IFERROR(__xludf.DUMMYFUNCTION("""COMPUTED_VALUE"""),"Aleksandar Lazic")</f>
        <v>Aleksandar Lazic</v>
      </c>
      <c r="B69" s="13" t="str">
        <f>IFERROR(__xludf.DUMMYFUNCTION("""COMPUTED_VALUE"""),"MEG")</f>
        <v>MEG</v>
      </c>
      <c r="C69" s="14">
        <f>IFERROR(__xludf.DUMMYFUNCTION("""COMPUTED_VALUE"""),531.5)</f>
        <v>531.5</v>
      </c>
      <c r="D69" s="15">
        <f>IFERROR(__xludf.DUMMYFUNCTION("""COMPUTED_VALUE"""),-0.7443670453285841)</f>
        <v>-0.7443670453</v>
      </c>
      <c r="E69" s="15">
        <f>IFERROR(__xludf.DUMMYFUNCTION("""COMPUTED_VALUE"""),1.058206360362001)</f>
        <v>1.05820636</v>
      </c>
      <c r="F69" s="15">
        <f>IFERROR(__xludf.DUMMYFUNCTION("""COMPUTED_VALUE"""),0.31383931503341705)</f>
        <v>0.313839315</v>
      </c>
      <c r="G69" s="17">
        <f>IFERROR(__xludf.DUMMYFUNCTION("""COMPUTED_VALUE"""),0.3797829632510427)</f>
        <v>0.3797829633</v>
      </c>
      <c r="H69" s="4"/>
      <c r="I69" s="5" t="s">
        <v>1109</v>
      </c>
      <c r="J69" s="5" t="s">
        <v>934</v>
      </c>
      <c r="K69" s="5">
        <v>532.0</v>
      </c>
      <c r="L69" s="5">
        <v>-0.74437</v>
      </c>
      <c r="M69" s="5">
        <v>1.05821</v>
      </c>
      <c r="N69" s="5">
        <v>0.31384</v>
      </c>
      <c r="O69" s="5">
        <v>0.37978</v>
      </c>
    </row>
    <row r="70">
      <c r="A70" s="18" t="str">
        <f>IFERROR(__xludf.DUMMYFUNCTION("""COMPUTED_VALUE"""),"Roko Ukic")</f>
        <v>Roko Ukic</v>
      </c>
      <c r="B70" s="19" t="str">
        <f>IFERROR(__xludf.DUMMYFUNCTION("""COMPUTED_VALUE"""),"CED")</f>
        <v>CED</v>
      </c>
      <c r="C70" s="20">
        <f>IFERROR(__xludf.DUMMYFUNCTION("""COMPUTED_VALUE"""),574.8)</f>
        <v>574.8</v>
      </c>
      <c r="D70" s="21">
        <f>IFERROR(__xludf.DUMMYFUNCTION("""COMPUTED_VALUE"""),0.3847709556849476)</f>
        <v>0.3847709557</v>
      </c>
      <c r="E70" s="21">
        <f>IFERROR(__xludf.DUMMYFUNCTION("""COMPUTED_VALUE"""),-0.09275464199593969)</f>
        <v>-0.092754642</v>
      </c>
      <c r="F70" s="21">
        <f>IFERROR(__xludf.DUMMYFUNCTION("""COMPUTED_VALUE"""),0.29201631368900793)</f>
        <v>0.2920163137</v>
      </c>
      <c r="G70" s="23">
        <f>IFERROR(__xludf.DUMMYFUNCTION("""COMPUTED_VALUE"""),0.39782683259851914)</f>
        <v>0.3978268326</v>
      </c>
      <c r="H70" s="4"/>
      <c r="I70" s="5" t="s">
        <v>1112</v>
      </c>
      <c r="J70" s="5" t="s">
        <v>928</v>
      </c>
      <c r="K70" s="5">
        <v>575.0</v>
      </c>
      <c r="L70" s="5">
        <v>0.38477</v>
      </c>
      <c r="M70" s="5">
        <v>-0.09275</v>
      </c>
      <c r="N70" s="5">
        <v>0.29202</v>
      </c>
      <c r="O70" s="5">
        <v>0.39783</v>
      </c>
    </row>
    <row r="71">
      <c r="A71" s="12" t="str">
        <f>IFERROR(__xludf.DUMMYFUNCTION("""COMPUTED_VALUE"""),"Dominic Gilbert")</f>
        <v>Dominic Gilbert</v>
      </c>
      <c r="B71" s="13" t="str">
        <f>IFERROR(__xludf.DUMMYFUNCTION("""COMPUTED_VALUE"""),"CIB")</f>
        <v>CIB</v>
      </c>
      <c r="C71" s="14">
        <f>IFERROR(__xludf.DUMMYFUNCTION("""COMPUTED_VALUE"""),29.6)</f>
        <v>29.6</v>
      </c>
      <c r="D71" s="15">
        <f>IFERROR(__xludf.DUMMYFUNCTION("""COMPUTED_VALUE"""),0.47170813873314615)</f>
        <v>0.4717081387</v>
      </c>
      <c r="E71" s="15">
        <f>IFERROR(__xludf.DUMMYFUNCTION("""COMPUTED_VALUE"""),-0.23670455408949725)</f>
        <v>-0.2367045541</v>
      </c>
      <c r="F71" s="15">
        <f>IFERROR(__xludf.DUMMYFUNCTION("""COMPUTED_VALUE"""),0.2350035846436489)</f>
        <v>0.2350035846</v>
      </c>
      <c r="G71" s="17">
        <f>IFERROR(__xludf.DUMMYFUNCTION("""COMPUTED_VALUE"""),0.02011468630895706)</f>
        <v>0.02011468631</v>
      </c>
      <c r="H71" s="4"/>
      <c r="I71" s="5" t="s">
        <v>1114</v>
      </c>
      <c r="J71" s="5" t="s">
        <v>1115</v>
      </c>
      <c r="K71" s="5">
        <v>30.0</v>
      </c>
      <c r="L71" s="5">
        <v>0.47171</v>
      </c>
      <c r="M71" s="5">
        <v>-0.2367</v>
      </c>
      <c r="N71" s="5">
        <v>0.235</v>
      </c>
      <c r="O71" s="5">
        <v>0.02011</v>
      </c>
    </row>
    <row r="72">
      <c r="A72" s="18" t="str">
        <f>IFERROR(__xludf.DUMMYFUNCTION("""COMPUTED_VALUE"""),"Ziga Jurcek")</f>
        <v>Ziga Jurcek</v>
      </c>
      <c r="B72" s="19" t="str">
        <f>IFERROR(__xludf.DUMMYFUNCTION("""COMPUTED_VALUE"""),"OLI")</f>
        <v>OLI</v>
      </c>
      <c r="C72" s="20">
        <f>IFERROR(__xludf.DUMMYFUNCTION("""COMPUTED_VALUE"""),6.0)</f>
        <v>6</v>
      </c>
      <c r="D72" s="21">
        <f>IFERROR(__xludf.DUMMYFUNCTION("""COMPUTED_VALUE"""),0.40367825384710404)</f>
        <v>0.4036782538</v>
      </c>
      <c r="E72" s="21">
        <f>IFERROR(__xludf.DUMMYFUNCTION("""COMPUTED_VALUE"""),-0.17223885616065723)</f>
        <v>-0.1722388562</v>
      </c>
      <c r="F72" s="21">
        <f>IFERROR(__xludf.DUMMYFUNCTION("""COMPUTED_VALUE"""),0.2314393976864468)</f>
        <v>0.2314393977</v>
      </c>
      <c r="G72" s="23">
        <f>IFERROR(__xludf.DUMMYFUNCTION("""COMPUTED_VALUE"""),0.004037761265218351)</f>
        <v>0.004037761265</v>
      </c>
      <c r="H72" s="4"/>
      <c r="I72" s="5" t="s">
        <v>1117</v>
      </c>
      <c r="J72" s="5" t="s">
        <v>711</v>
      </c>
      <c r="K72" s="5">
        <v>6.0</v>
      </c>
      <c r="L72" s="5">
        <v>0.40368</v>
      </c>
      <c r="M72" s="5">
        <v>-0.17224</v>
      </c>
      <c r="N72" s="5">
        <v>0.23144</v>
      </c>
      <c r="O72" s="5">
        <v>0.00404</v>
      </c>
    </row>
    <row r="73">
      <c r="A73" s="12" t="str">
        <f>IFERROR(__xludf.DUMMYFUNCTION("""COMPUTED_VALUE"""),"Stefan Djordjevic")</f>
        <v>Stefan Djordjevic</v>
      </c>
      <c r="B73" s="13" t="str">
        <f>IFERROR(__xludf.DUMMYFUNCTION("""COMPUTED_VALUE"""),"FMP")</f>
        <v>FMP</v>
      </c>
      <c r="C73" s="14">
        <f>IFERROR(__xludf.DUMMYFUNCTION("""COMPUTED_VALUE"""),3.3)</f>
        <v>3.3</v>
      </c>
      <c r="D73" s="15">
        <f>IFERROR(__xludf.DUMMYFUNCTION("""COMPUTED_VALUE"""),-0.09360069840102035)</f>
        <v>-0.0936006984</v>
      </c>
      <c r="E73" s="15">
        <f>IFERROR(__xludf.DUMMYFUNCTION("""COMPUTED_VALUE"""),0.26422589657241563)</f>
        <v>0.2642258966</v>
      </c>
      <c r="F73" s="15">
        <f>IFERROR(__xludf.DUMMYFUNCTION("""COMPUTED_VALUE"""),0.1706251981713953)</f>
        <v>0.1706251982</v>
      </c>
      <c r="G73" s="17">
        <f>IFERROR(__xludf.DUMMYFUNCTION("""COMPUTED_VALUE"""),0.0022563458273769242)</f>
        <v>0.002256345827</v>
      </c>
      <c r="H73" s="4"/>
      <c r="I73" s="5" t="s">
        <v>1119</v>
      </c>
      <c r="J73" s="5" t="s">
        <v>959</v>
      </c>
      <c r="K73" s="5">
        <v>3.0</v>
      </c>
      <c r="L73" s="5">
        <v>-0.0936</v>
      </c>
      <c r="M73" s="5">
        <v>0.26423</v>
      </c>
      <c r="N73" s="5">
        <v>0.17063</v>
      </c>
      <c r="O73" s="5">
        <v>0.00226</v>
      </c>
    </row>
    <row r="74">
      <c r="A74" s="18" t="str">
        <f>IFERROR(__xludf.DUMMYFUNCTION("""COMPUTED_VALUE"""),"Katin Reinhardt")</f>
        <v>Katin Reinhardt</v>
      </c>
      <c r="B74" s="19" t="str">
        <f>IFERROR(__xludf.DUMMYFUNCTION("""COMPUTED_VALUE"""),"IGO")</f>
        <v>IGO</v>
      </c>
      <c r="C74" s="20">
        <f>IFERROR(__xludf.DUMMYFUNCTION("""COMPUTED_VALUE"""),97.5)</f>
        <v>97.5</v>
      </c>
      <c r="D74" s="21">
        <f>IFERROR(__xludf.DUMMYFUNCTION("""COMPUTED_VALUE"""),0.505852269826417)</f>
        <v>0.5058522698</v>
      </c>
      <c r="E74" s="21">
        <f>IFERROR(__xludf.DUMMYFUNCTION("""COMPUTED_VALUE"""),-0.38375800198280924)</f>
        <v>-0.383758002</v>
      </c>
      <c r="F74" s="21">
        <f>IFERROR(__xludf.DUMMYFUNCTION("""COMPUTED_VALUE"""),0.1220942678436077)</f>
        <v>0.1220942678</v>
      </c>
      <c r="G74" s="23">
        <f>IFERROR(__xludf.DUMMYFUNCTION("""COMPUTED_VALUE"""),0.06274826548389457)</f>
        <v>0.06274826548</v>
      </c>
      <c r="H74" s="4"/>
      <c r="I74" s="5" t="s">
        <v>859</v>
      </c>
      <c r="J74" s="5" t="s">
        <v>980</v>
      </c>
      <c r="K74" s="5">
        <v>98.0</v>
      </c>
      <c r="L74" s="5">
        <v>0.50585</v>
      </c>
      <c r="M74" s="5">
        <v>-0.38376</v>
      </c>
      <c r="N74" s="5">
        <v>0.12209</v>
      </c>
      <c r="O74" s="5">
        <v>0.06275</v>
      </c>
    </row>
    <row r="75">
      <c r="A75" s="12" t="str">
        <f>IFERROR(__xludf.DUMMYFUNCTION("""COMPUTED_VALUE"""),"Petar Popovic")</f>
        <v>Petar Popovic</v>
      </c>
      <c r="B75" s="13" t="str">
        <f>IFERROR(__xludf.DUMMYFUNCTION("""COMPUTED_VALUE"""),"BUD")</f>
        <v>BUD</v>
      </c>
      <c r="C75" s="14">
        <f>IFERROR(__xludf.DUMMYFUNCTION("""COMPUTED_VALUE"""),378.9)</f>
        <v>378.9</v>
      </c>
      <c r="D75" s="15">
        <f>IFERROR(__xludf.DUMMYFUNCTION("""COMPUTED_VALUE"""),0.013002069328494681)</f>
        <v>0.01300206933</v>
      </c>
      <c r="E75" s="15">
        <f>IFERROR(__xludf.DUMMYFUNCTION("""COMPUTED_VALUE"""),0.05171704975793601)</f>
        <v>0.05171704976</v>
      </c>
      <c r="F75" s="15">
        <f>IFERROR(__xludf.DUMMYFUNCTION("""COMPUTED_VALUE"""),0.06471911908643069)</f>
        <v>0.06471911909</v>
      </c>
      <c r="G75" s="17">
        <f>IFERROR(__xludf.DUMMYFUNCTION("""COMPUTED_VALUE"""),0.23861156332596845)</f>
        <v>0.2386115633</v>
      </c>
      <c r="H75" s="4"/>
      <c r="I75" s="5" t="s">
        <v>1122</v>
      </c>
      <c r="J75" s="5" t="s">
        <v>914</v>
      </c>
      <c r="K75" s="5">
        <v>379.0</v>
      </c>
      <c r="L75" s="5">
        <v>0.013</v>
      </c>
      <c r="M75" s="5">
        <v>0.05172</v>
      </c>
      <c r="N75" s="5">
        <v>0.06472</v>
      </c>
      <c r="O75" s="5">
        <v>0.23861</v>
      </c>
    </row>
    <row r="76">
      <c r="A76" s="18" t="str">
        <f>IFERROR(__xludf.DUMMYFUNCTION("""COMPUTED_VALUE"""),"Marko Radovanovic")</f>
        <v>Marko Radovanovic</v>
      </c>
      <c r="B76" s="19" t="str">
        <f>IFERROR(__xludf.DUMMYFUNCTION("""COMPUTED_VALUE"""),"FMP")</f>
        <v>FMP</v>
      </c>
      <c r="C76" s="20">
        <f>IFERROR(__xludf.DUMMYFUNCTION("""COMPUTED_VALUE"""),143.7)</f>
        <v>143.7</v>
      </c>
      <c r="D76" s="21">
        <f>IFERROR(__xludf.DUMMYFUNCTION("""COMPUTED_VALUE"""),-1.8075255067602187)</f>
        <v>-1.807525507</v>
      </c>
      <c r="E76" s="21">
        <f>IFERROR(__xludf.DUMMYFUNCTION("""COMPUTED_VALUE"""),1.845153057843368)</f>
        <v>1.845153058</v>
      </c>
      <c r="F76" s="21">
        <f>IFERROR(__xludf.DUMMYFUNCTION("""COMPUTED_VALUE"""),0.03762755108314922)</f>
        <v>0.03762755108</v>
      </c>
      <c r="G76" s="23">
        <f>IFERROR(__xludf.DUMMYFUNCTION("""COMPUTED_VALUE"""),0.09223345054089724)</f>
        <v>0.09223345054</v>
      </c>
      <c r="H76" s="4"/>
      <c r="I76" s="5" t="s">
        <v>1124</v>
      </c>
      <c r="J76" s="5" t="s">
        <v>959</v>
      </c>
      <c r="K76" s="5">
        <v>144.0</v>
      </c>
      <c r="L76" s="5">
        <v>-1.80753</v>
      </c>
      <c r="M76" s="5">
        <v>1.84515</v>
      </c>
      <c r="N76" s="5">
        <v>0.03763</v>
      </c>
      <c r="O76" s="5">
        <v>0.09223</v>
      </c>
    </row>
    <row r="77">
      <c r="A77" s="12" t="str">
        <f>IFERROR(__xludf.DUMMYFUNCTION("""COMPUTED_VALUE"""),"Marko Jeremic")</f>
        <v>Marko Jeremic</v>
      </c>
      <c r="B77" s="13" t="str">
        <f>IFERROR(__xludf.DUMMYFUNCTION("""COMPUTED_VALUE"""),"FMP")</f>
        <v>FMP</v>
      </c>
      <c r="C77" s="14">
        <f>IFERROR(__xludf.DUMMYFUNCTION("""COMPUTED_VALUE"""),319.7)</f>
        <v>319.7</v>
      </c>
      <c r="D77" s="15">
        <f>IFERROR(__xludf.DUMMYFUNCTION("""COMPUTED_VALUE"""),0.27891032063457877)</f>
        <v>0.2789103206</v>
      </c>
      <c r="E77" s="15">
        <f>IFERROR(__xludf.DUMMYFUNCTION("""COMPUTED_VALUE"""),-0.24827667214913252)</f>
        <v>-0.2482766721</v>
      </c>
      <c r="F77" s="15">
        <f>IFERROR(__xludf.DUMMYFUNCTION("""COMPUTED_VALUE"""),0.030633648485446252)</f>
        <v>0.03063364849</v>
      </c>
      <c r="G77" s="17">
        <f>IFERROR(__xludf.DUMMYFUNCTION("""COMPUTED_VALUE"""),0.20449424891114784)</f>
        <v>0.2044942489</v>
      </c>
      <c r="H77" s="4"/>
      <c r="I77" s="5" t="s">
        <v>1125</v>
      </c>
      <c r="J77" s="5" t="s">
        <v>959</v>
      </c>
      <c r="K77" s="5">
        <v>320.0</v>
      </c>
      <c r="L77" s="5">
        <v>0.27891</v>
      </c>
      <c r="M77" s="5">
        <v>-0.24828</v>
      </c>
      <c r="N77" s="5">
        <v>0.03063</v>
      </c>
      <c r="O77" s="5">
        <v>0.20449</v>
      </c>
    </row>
    <row r="78">
      <c r="A78" s="18" t="str">
        <f>IFERROR(__xludf.DUMMYFUNCTION("""COMPUTED_VALUE"""),"Marko Keselj")</f>
        <v>Marko Keselj</v>
      </c>
      <c r="B78" s="19" t="str">
        <f>IFERROR(__xludf.DUMMYFUNCTION("""COMPUTED_VALUE"""),"ZVE")</f>
        <v>ZVE</v>
      </c>
      <c r="C78" s="20">
        <f>IFERROR(__xludf.DUMMYFUNCTION("""COMPUTED_VALUE"""),56.5)</f>
        <v>56.5</v>
      </c>
      <c r="D78" s="21">
        <f>IFERROR(__xludf.DUMMYFUNCTION("""COMPUTED_VALUE"""),0.16226927270446456)</f>
        <v>0.1622692727</v>
      </c>
      <c r="E78" s="21">
        <f>IFERROR(__xludf.DUMMYFUNCTION("""COMPUTED_VALUE"""),-0.14643579385529876)</f>
        <v>-0.1464357939</v>
      </c>
      <c r="F78" s="21">
        <f>IFERROR(__xludf.DUMMYFUNCTION("""COMPUTED_VALUE"""),0.015833478849165798)</f>
        <v>0.01583347885</v>
      </c>
      <c r="G78" s="23">
        <f>IFERROR(__xludf.DUMMYFUNCTION("""COMPUTED_VALUE"""),0.03685790653189985)</f>
        <v>0.03685790653</v>
      </c>
      <c r="H78" s="4"/>
      <c r="I78" s="5" t="s">
        <v>417</v>
      </c>
      <c r="J78" s="5" t="s">
        <v>137</v>
      </c>
      <c r="K78" s="24">
        <v>57.0</v>
      </c>
      <c r="L78" s="5">
        <v>0.16227</v>
      </c>
      <c r="M78" s="5">
        <v>-0.14644</v>
      </c>
      <c r="N78" s="5">
        <v>0.01583</v>
      </c>
      <c r="O78" s="5">
        <v>0.03686</v>
      </c>
    </row>
    <row r="79">
      <c r="A79" s="12" t="str">
        <f>IFERROR(__xludf.DUMMYFUNCTION("""COMPUTED_VALUE"""),"Luka Tomas")</f>
        <v>Luka Tomas</v>
      </c>
      <c r="B79" s="13" t="str">
        <f>IFERROR(__xludf.DUMMYFUNCTION("""COMPUTED_VALUE"""),"ZAD")</f>
        <v>ZAD</v>
      </c>
      <c r="C79" s="14">
        <f>IFERROR(__xludf.DUMMYFUNCTION("""COMPUTED_VALUE"""),0.2)</f>
        <v>0.2</v>
      </c>
      <c r="D79" s="15">
        <f>IFERROR(__xludf.DUMMYFUNCTION("""COMPUTED_VALUE"""),-0.004220956417200184)</f>
        <v>-0.004220956417</v>
      </c>
      <c r="E79" s="15">
        <f>IFERROR(__xludf.DUMMYFUNCTION("""COMPUTED_VALUE"""),-1.7014352350002218E-4)</f>
        <v>-0.0001701435235</v>
      </c>
      <c r="F79" s="15">
        <f>IFERROR(__xludf.DUMMYFUNCTION("""COMPUTED_VALUE"""),-0.004391099940700206)</f>
        <v>-0.004391099941</v>
      </c>
      <c r="G79" s="17">
        <f>IFERROR(__xludf.DUMMYFUNCTION("""COMPUTED_VALUE"""),1.2096865473781481E-4)</f>
        <v>0.0001209686547</v>
      </c>
      <c r="H79" s="4"/>
      <c r="I79" s="5" t="s">
        <v>1129</v>
      </c>
      <c r="J79" s="5" t="s">
        <v>967</v>
      </c>
      <c r="K79" s="5">
        <v>0.0</v>
      </c>
      <c r="L79" s="5">
        <v>-0.00422</v>
      </c>
      <c r="M79" s="5">
        <v>-1.7E-4</v>
      </c>
      <c r="N79" s="5">
        <v>-0.00439</v>
      </c>
      <c r="O79" s="5">
        <v>1.2E-4</v>
      </c>
    </row>
    <row r="80">
      <c r="A80" s="18" t="str">
        <f>IFERROR(__xludf.DUMMYFUNCTION("""COMPUTED_VALUE"""),"Nemanja Nikolic")</f>
        <v>Nemanja Nikolic</v>
      </c>
      <c r="B80" s="19" t="str">
        <f>IFERROR(__xludf.DUMMYFUNCTION("""COMPUTED_VALUE"""),"IGO")</f>
        <v>IGO</v>
      </c>
      <c r="C80" s="20">
        <f>IFERROR(__xludf.DUMMYFUNCTION("""COMPUTED_VALUE"""),1.1)</f>
        <v>1.1</v>
      </c>
      <c r="D80" s="21">
        <f>IFERROR(__xludf.DUMMYFUNCTION("""COMPUTED_VALUE"""),-0.023045354268645332)</f>
        <v>-0.02304535427</v>
      </c>
      <c r="E80" s="21">
        <f>IFERROR(__xludf.DUMMYFUNCTION("""COMPUTED_VALUE"""),-5.372786417284434E-4)</f>
        <v>-0.0005372786417</v>
      </c>
      <c r="F80" s="21">
        <f>IFERROR(__xludf.DUMMYFUNCTION("""COMPUTED_VALUE"""),-0.023582632910373776)</f>
        <v>-0.02358263291</v>
      </c>
      <c r="G80" s="23">
        <f>IFERROR(__xludf.DUMMYFUNCTION("""COMPUTED_VALUE"""),6.593314378400984E-4)</f>
        <v>0.0006593314378</v>
      </c>
      <c r="H80" s="4"/>
      <c r="I80" s="5" t="s">
        <v>1131</v>
      </c>
      <c r="J80" s="5" t="s">
        <v>980</v>
      </c>
      <c r="K80" s="5">
        <v>1.0</v>
      </c>
      <c r="L80" s="5">
        <v>-0.02305</v>
      </c>
      <c r="M80" s="5">
        <v>-5.4E-4</v>
      </c>
      <c r="N80" s="5">
        <v>-0.02358</v>
      </c>
      <c r="O80" s="5">
        <v>6.6E-4</v>
      </c>
    </row>
    <row r="81">
      <c r="A81" s="12" t="str">
        <f>IFERROR(__xludf.DUMMYFUNCTION("""COMPUTED_VALUE"""),"Toni Jelenkovic")</f>
        <v>Toni Jelenkovic</v>
      </c>
      <c r="B81" s="13" t="str">
        <f>IFERROR(__xludf.DUMMYFUNCTION("""COMPUTED_VALUE"""),"ZAD")</f>
        <v>ZAD</v>
      </c>
      <c r="C81" s="14">
        <f>IFERROR(__xludf.DUMMYFUNCTION("""COMPUTED_VALUE"""),3.6)</f>
        <v>3.6</v>
      </c>
      <c r="D81" s="15">
        <f>IFERROR(__xludf.DUMMYFUNCTION("""COMPUTED_VALUE"""),0.030246536639648748)</f>
        <v>0.03024653664</v>
      </c>
      <c r="E81" s="15">
        <f>IFERROR(__xludf.DUMMYFUNCTION("""COMPUTED_VALUE"""),-0.05715416793983321)</f>
        <v>-0.05715416794</v>
      </c>
      <c r="F81" s="15">
        <f>IFERROR(__xludf.DUMMYFUNCTION("""COMPUTED_VALUE"""),-0.026907631300184462)</f>
        <v>-0.0269076313</v>
      </c>
      <c r="G81" s="17">
        <f>IFERROR(__xludf.DUMMYFUNCTION("""COMPUTED_VALUE"""),0.002152867694237838)</f>
        <v>0.002152867694</v>
      </c>
      <c r="H81" s="4"/>
      <c r="I81" s="5" t="s">
        <v>1133</v>
      </c>
      <c r="J81" s="5" t="s">
        <v>967</v>
      </c>
      <c r="K81" s="5">
        <v>4.0</v>
      </c>
      <c r="L81" s="5">
        <v>0.03025</v>
      </c>
      <c r="M81" s="5">
        <v>-0.05715</v>
      </c>
      <c r="N81" s="5">
        <v>-0.02691</v>
      </c>
      <c r="O81" s="5">
        <v>0.00215</v>
      </c>
    </row>
    <row r="82">
      <c r="A82" s="18" t="str">
        <f>IFERROR(__xludf.DUMMYFUNCTION("""COMPUTED_VALUE"""),"Ranko Mamuzikj")</f>
        <v>Ranko Mamuzikj</v>
      </c>
      <c r="B82" s="19" t="str">
        <f>IFERROR(__xludf.DUMMYFUNCTION("""COMPUTED_VALUE"""),"MZT")</f>
        <v>MZT</v>
      </c>
      <c r="C82" s="20">
        <f>IFERROR(__xludf.DUMMYFUNCTION("""COMPUTED_VALUE"""),1.1)</f>
        <v>1.1</v>
      </c>
      <c r="D82" s="21">
        <f>IFERROR(__xludf.DUMMYFUNCTION("""COMPUTED_VALUE"""),-0.02573988376563642)</f>
        <v>-0.02573988377</v>
      </c>
      <c r="E82" s="21">
        <f>IFERROR(__xludf.DUMMYFUNCTION("""COMPUTED_VALUE"""),-0.007266275210410858)</f>
        <v>-0.00726627521</v>
      </c>
      <c r="F82" s="21">
        <f>IFERROR(__xludf.DUMMYFUNCTION("""COMPUTED_VALUE"""),-0.03300615897604728)</f>
        <v>-0.03300615898</v>
      </c>
      <c r="G82" s="23">
        <f>IFERROR(__xludf.DUMMYFUNCTION("""COMPUTED_VALUE"""),6.657908709711572E-4)</f>
        <v>0.000665790871</v>
      </c>
      <c r="H82" s="4"/>
      <c r="I82" s="5" t="s">
        <v>1135</v>
      </c>
      <c r="J82" s="5" t="s">
        <v>1136</v>
      </c>
      <c r="K82" s="5">
        <v>1.0</v>
      </c>
      <c r="L82" s="5">
        <v>-0.02574</v>
      </c>
      <c r="M82" s="5">
        <v>-0.00727</v>
      </c>
      <c r="N82" s="5">
        <v>-0.03301</v>
      </c>
      <c r="O82" s="5">
        <v>6.7E-4</v>
      </c>
    </row>
    <row r="83">
      <c r="A83" s="12" t="str">
        <f>IFERROR(__xludf.DUMMYFUNCTION("""COMPUTED_VALUE"""),"Petar Aranitovic")</f>
        <v>Petar Aranitovic</v>
      </c>
      <c r="B83" s="13" t="str">
        <f>IFERROR(__xludf.DUMMYFUNCTION("""COMPUTED_VALUE"""),"MEG")</f>
        <v>MEG</v>
      </c>
      <c r="C83" s="14">
        <f>IFERROR(__xludf.DUMMYFUNCTION("""COMPUTED_VALUE"""),41.4)</f>
        <v>41.4</v>
      </c>
      <c r="D83" s="15">
        <f>IFERROR(__xludf.DUMMYFUNCTION("""COMPUTED_VALUE"""),0.042341120920142535)</f>
        <v>0.04234112092</v>
      </c>
      <c r="E83" s="15">
        <f>IFERROR(__xludf.DUMMYFUNCTION("""COMPUTED_VALUE"""),-0.08882800427806983)</f>
        <v>-0.08882800428</v>
      </c>
      <c r="F83" s="15">
        <f>IFERROR(__xludf.DUMMYFUNCTION("""COMPUTED_VALUE"""),-0.04648688335792729)</f>
        <v>-0.04648688336</v>
      </c>
      <c r="G83" s="17">
        <f>IFERROR(__xludf.DUMMYFUNCTION("""COMPUTED_VALUE"""),0.02497558598625828)</f>
        <v>0.02497558599</v>
      </c>
      <c r="H83" s="4"/>
      <c r="I83" s="5" t="s">
        <v>1139</v>
      </c>
      <c r="J83" s="5" t="s">
        <v>934</v>
      </c>
      <c r="K83" s="5">
        <v>41.0</v>
      </c>
      <c r="L83" s="5">
        <v>0.04234</v>
      </c>
      <c r="M83" s="5">
        <v>-0.08883</v>
      </c>
      <c r="N83" s="5">
        <v>-0.04649</v>
      </c>
      <c r="O83" s="5">
        <v>0.02498</v>
      </c>
    </row>
    <row r="84">
      <c r="A84" s="18" t="str">
        <f>IFERROR(__xludf.DUMMYFUNCTION("""COMPUTED_VALUE"""),"Nikola Radicevic")</f>
        <v>Nikola Radicevic</v>
      </c>
      <c r="B84" s="19" t="str">
        <f>IFERROR(__xludf.DUMMYFUNCTION("""COMPUTED_VALUE"""),"ZVE")</f>
        <v>ZVE</v>
      </c>
      <c r="C84" s="20">
        <f>IFERROR(__xludf.DUMMYFUNCTION("""COMPUTED_VALUE"""),113.2)</f>
        <v>113.2</v>
      </c>
      <c r="D84" s="21">
        <f>IFERROR(__xludf.DUMMYFUNCTION("""COMPUTED_VALUE"""),-0.19113121619426607)</f>
        <v>-0.1911312162</v>
      </c>
      <c r="E84" s="21">
        <f>IFERROR(__xludf.DUMMYFUNCTION("""COMPUTED_VALUE"""),0.14243409699371243)</f>
        <v>0.142434097</v>
      </c>
      <c r="F84" s="21">
        <f>IFERROR(__xludf.DUMMYFUNCTION("""COMPUTED_VALUE"""),-0.04869711920055364)</f>
        <v>-0.0486971192</v>
      </c>
      <c r="G84" s="23">
        <f>IFERROR(__xludf.DUMMYFUNCTION("""COMPUTED_VALUE"""),0.07148232594565)</f>
        <v>0.07148232595</v>
      </c>
      <c r="H84" s="4"/>
      <c r="I84" s="5" t="s">
        <v>503</v>
      </c>
      <c r="J84" s="5" t="s">
        <v>137</v>
      </c>
      <c r="K84" s="5">
        <v>113.0</v>
      </c>
      <c r="L84" s="5">
        <v>-0.19113</v>
      </c>
      <c r="M84" s="5">
        <v>0.14243</v>
      </c>
      <c r="N84" s="5">
        <v>-0.0487</v>
      </c>
      <c r="O84" s="5">
        <v>0.07148</v>
      </c>
    </row>
    <row r="85">
      <c r="A85" s="12" t="str">
        <f>IFERROR(__xludf.DUMMYFUNCTION("""COMPUTED_VALUE"""),"Bogdan Bojic")</f>
        <v>Bogdan Bojic</v>
      </c>
      <c r="B85" s="13" t="str">
        <f>IFERROR(__xludf.DUMMYFUNCTION("""COMPUTED_VALUE"""),"BUD")</f>
        <v>BUD</v>
      </c>
      <c r="C85" s="14">
        <f>IFERROR(__xludf.DUMMYFUNCTION("""COMPUTED_VALUE"""),27.1)</f>
        <v>27.1</v>
      </c>
      <c r="D85" s="15">
        <f>IFERROR(__xludf.DUMMYFUNCTION("""COMPUTED_VALUE"""),0.09122959977130883)</f>
        <v>0.09122959977</v>
      </c>
      <c r="E85" s="15">
        <f>IFERROR(__xludf.DUMMYFUNCTION("""COMPUTED_VALUE"""),-0.14257777616861997)</f>
        <v>-0.1425777762</v>
      </c>
      <c r="F85" s="15">
        <f>IFERROR(__xludf.DUMMYFUNCTION("""COMPUTED_VALUE"""),-0.051348176397311145)</f>
        <v>-0.0513481764</v>
      </c>
      <c r="G85" s="17">
        <f>IFERROR(__xludf.DUMMYFUNCTION("""COMPUTED_VALUE"""),0.016106806476790154)</f>
        <v>0.01610680648</v>
      </c>
      <c r="H85" s="4"/>
      <c r="I85" s="5" t="s">
        <v>1142</v>
      </c>
      <c r="J85" s="5" t="s">
        <v>914</v>
      </c>
      <c r="K85" s="5">
        <v>27.0</v>
      </c>
      <c r="L85" s="5">
        <v>0.09123</v>
      </c>
      <c r="M85" s="5">
        <v>-0.14258</v>
      </c>
      <c r="N85" s="5">
        <v>-0.05135</v>
      </c>
      <c r="O85" s="5">
        <v>0.01611</v>
      </c>
    </row>
    <row r="86">
      <c r="A86" s="18" t="str">
        <f>IFERROR(__xludf.DUMMYFUNCTION("""COMPUTED_VALUE"""),"Jordan Morgan")</f>
        <v>Jordan Morgan</v>
      </c>
      <c r="B86" s="19" t="str">
        <f>IFERROR(__xludf.DUMMYFUNCTION("""COMPUTED_VALUE"""),"OLI")</f>
        <v>OLI</v>
      </c>
      <c r="C86" s="20">
        <f>IFERROR(__xludf.DUMMYFUNCTION("""COMPUTED_VALUE"""),597.2)</f>
        <v>597.2</v>
      </c>
      <c r="D86" s="21">
        <f>IFERROR(__xludf.DUMMYFUNCTION("""COMPUTED_VALUE"""),-1.1273835305952553)</f>
        <v>-1.127383531</v>
      </c>
      <c r="E86" s="21">
        <f>IFERROR(__xludf.DUMMYFUNCTION("""COMPUTED_VALUE"""),1.069448644268168)</f>
        <v>1.069448644</v>
      </c>
      <c r="F86" s="21">
        <f>IFERROR(__xludf.DUMMYFUNCTION("""COMPUTED_VALUE"""),-0.0579348863270871)</f>
        <v>-0.05793488633</v>
      </c>
      <c r="G86" s="23">
        <f>IFERROR(__xludf.DUMMYFUNCTION("""COMPUTED_VALUE"""),0.3497742841350212)</f>
        <v>0.3497742841</v>
      </c>
      <c r="H86" s="4"/>
      <c r="I86" s="5" t="s">
        <v>1144</v>
      </c>
      <c r="J86" s="5" t="s">
        <v>711</v>
      </c>
      <c r="K86" s="24">
        <v>597.0</v>
      </c>
      <c r="L86" s="5">
        <v>-1.12738</v>
      </c>
      <c r="M86" s="5">
        <v>1.06945</v>
      </c>
      <c r="N86" s="5">
        <v>-0.05793</v>
      </c>
      <c r="O86" s="5">
        <v>0.34977</v>
      </c>
    </row>
    <row r="87">
      <c r="A87" s="12" t="str">
        <f>IFERROR(__xludf.DUMMYFUNCTION("""COMPUTED_VALUE"""),"Pero Antic")</f>
        <v>Pero Antic</v>
      </c>
      <c r="B87" s="13" t="str">
        <f>IFERROR(__xludf.DUMMYFUNCTION("""COMPUTED_VALUE"""),"ZVE")</f>
        <v>ZVE</v>
      </c>
      <c r="C87" s="14">
        <f>IFERROR(__xludf.DUMMYFUNCTION("""COMPUTED_VALUE"""),269.8)</f>
        <v>269.8</v>
      </c>
      <c r="D87" s="15">
        <f>IFERROR(__xludf.DUMMYFUNCTION("""COMPUTED_VALUE"""),-0.7272504515732281)</f>
        <v>-0.7272504516</v>
      </c>
      <c r="E87" s="15">
        <f>IFERROR(__xludf.DUMMYFUNCTION("""COMPUTED_VALUE"""),0.6510397527671963)</f>
        <v>0.6510397528</v>
      </c>
      <c r="F87" s="15">
        <f>IFERROR(__xludf.DUMMYFUNCTION("""COMPUTED_VALUE"""),-0.07621069880603182)</f>
        <v>-0.07621069881</v>
      </c>
      <c r="G87" s="17">
        <f>IFERROR(__xludf.DUMMYFUNCTION("""COMPUTED_VALUE"""),0.1679681787975327)</f>
        <v>0.1679681788</v>
      </c>
      <c r="H87" s="4"/>
      <c r="I87" s="5" t="s">
        <v>460</v>
      </c>
      <c r="J87" s="5" t="s">
        <v>137</v>
      </c>
      <c r="K87" s="5">
        <v>270.0</v>
      </c>
      <c r="L87" s="5">
        <v>-0.72725</v>
      </c>
      <c r="M87" s="5">
        <v>0.65104</v>
      </c>
      <c r="N87" s="5">
        <v>-0.07621</v>
      </c>
      <c r="O87" s="5">
        <v>0.16797</v>
      </c>
    </row>
    <row r="88">
      <c r="A88" s="18" t="str">
        <f>IFERROR(__xludf.DUMMYFUNCTION("""COMPUTED_VALUE"""),"Nikola Miskovic")</f>
        <v>Nikola Miskovic</v>
      </c>
      <c r="B88" s="19" t="str">
        <f>IFERROR(__xludf.DUMMYFUNCTION("""COMPUTED_VALUE"""),"MEG")</f>
        <v>MEG</v>
      </c>
      <c r="C88" s="20">
        <f>IFERROR(__xludf.DUMMYFUNCTION("""COMPUTED_VALUE"""),25.8)</f>
        <v>25.8</v>
      </c>
      <c r="D88" s="21">
        <f>IFERROR(__xludf.DUMMYFUNCTION("""COMPUTED_VALUE"""),-0.03597320294053774)</f>
        <v>-0.03597320294</v>
      </c>
      <c r="E88" s="21">
        <f>IFERROR(__xludf.DUMMYFUNCTION("""COMPUTED_VALUE"""),-0.053698785071872354)</f>
        <v>-0.05369878507</v>
      </c>
      <c r="F88" s="21">
        <f>IFERROR(__xludf.DUMMYFUNCTION("""COMPUTED_VALUE"""),-0.0896719880124101)</f>
        <v>-0.08967198801</v>
      </c>
      <c r="G88" s="23">
        <f>IFERROR(__xludf.DUMMYFUNCTION("""COMPUTED_VALUE"""),0.015220420949199807)</f>
        <v>0.01522042095</v>
      </c>
      <c r="H88" s="4"/>
      <c r="I88" s="5" t="s">
        <v>1146</v>
      </c>
      <c r="J88" s="5" t="s">
        <v>934</v>
      </c>
      <c r="K88" s="5">
        <v>26.0</v>
      </c>
      <c r="L88" s="5">
        <v>-0.03597</v>
      </c>
      <c r="M88" s="5">
        <v>-0.0537</v>
      </c>
      <c r="N88" s="5">
        <v>-0.08967</v>
      </c>
      <c r="O88" s="5">
        <v>0.01522</v>
      </c>
    </row>
    <row r="89">
      <c r="A89" s="12" t="str">
        <f>IFERROR(__xludf.DUMMYFUNCTION("""COMPUTED_VALUE"""),"Deividas Busma")</f>
        <v>Deividas Busma</v>
      </c>
      <c r="B89" s="13" t="str">
        <f>IFERROR(__xludf.DUMMYFUNCTION("""COMPUTED_VALUE"""),"CIB")</f>
        <v>CIB</v>
      </c>
      <c r="C89" s="14">
        <f>IFERROR(__xludf.DUMMYFUNCTION("""COMPUTED_VALUE"""),16.9)</f>
        <v>16.9</v>
      </c>
      <c r="D89" s="15">
        <f>IFERROR(__xludf.DUMMYFUNCTION("""COMPUTED_VALUE"""),0.030462192009798564)</f>
        <v>0.03046219201</v>
      </c>
      <c r="E89" s="15">
        <f>IFERROR(__xludf.DUMMYFUNCTION("""COMPUTED_VALUE"""),-0.1512838002935222)</f>
        <v>-0.1512838003</v>
      </c>
      <c r="F89" s="15">
        <f>IFERROR(__xludf.DUMMYFUNCTION("""COMPUTED_VALUE"""),-0.12082160828372364)</f>
        <v>-0.1208216083</v>
      </c>
      <c r="G89" s="17">
        <f>IFERROR(__xludf.DUMMYFUNCTION("""COMPUTED_VALUE"""),0.00965601748612586)</f>
        <v>0.009656017486</v>
      </c>
      <c r="H89" s="4"/>
      <c r="I89" s="5" t="s">
        <v>1148</v>
      </c>
      <c r="J89" s="5" t="s">
        <v>1115</v>
      </c>
      <c r="K89" s="5">
        <v>17.0</v>
      </c>
      <c r="L89" s="5">
        <v>0.03046</v>
      </c>
      <c r="M89" s="5">
        <v>-0.15128</v>
      </c>
      <c r="N89" s="5">
        <v>-0.12082</v>
      </c>
      <c r="O89" s="5">
        <v>0.00966</v>
      </c>
    </row>
    <row r="90">
      <c r="A90" s="18" t="str">
        <f>IFERROR(__xludf.DUMMYFUNCTION("""COMPUTED_VALUE"""),"Tadija Tadic")</f>
        <v>Tadija Tadic</v>
      </c>
      <c r="B90" s="19" t="str">
        <f>IFERROR(__xludf.DUMMYFUNCTION("""COMPUTED_VALUE"""),"PAR")</f>
        <v>PAR</v>
      </c>
      <c r="C90" s="20">
        <f>IFERROR(__xludf.DUMMYFUNCTION("""COMPUTED_VALUE"""),13.5)</f>
        <v>13.5</v>
      </c>
      <c r="D90" s="21">
        <f>IFERROR(__xludf.DUMMYFUNCTION("""COMPUTED_VALUE"""),-0.1742833462947475)</f>
        <v>-0.1742833463</v>
      </c>
      <c r="E90" s="21">
        <f>IFERROR(__xludf.DUMMYFUNCTION("""COMPUTED_VALUE"""),-0.043434835067079375)</f>
        <v>-0.04343483507</v>
      </c>
      <c r="F90" s="21">
        <f>IFERROR(__xludf.DUMMYFUNCTION("""COMPUTED_VALUE"""),-0.21771818136182688)</f>
        <v>-0.2177181814</v>
      </c>
      <c r="G90" s="23">
        <f>IFERROR(__xludf.DUMMYFUNCTION("""COMPUTED_VALUE"""),0.007297135339269019)</f>
        <v>0.007297135339</v>
      </c>
      <c r="H90" s="4"/>
      <c r="I90" s="5" t="s">
        <v>1150</v>
      </c>
      <c r="J90" s="5" t="s">
        <v>962</v>
      </c>
      <c r="K90" s="5">
        <v>14.0</v>
      </c>
      <c r="L90" s="5">
        <v>-0.17428</v>
      </c>
      <c r="M90" s="5">
        <v>-0.04343</v>
      </c>
      <c r="N90" s="5">
        <v>-0.21772</v>
      </c>
      <c r="O90" s="5">
        <v>0.0073</v>
      </c>
    </row>
    <row r="91">
      <c r="A91" s="12" t="str">
        <f>IFERROR(__xludf.DUMMYFUNCTION("""COMPUTED_VALUE"""),"Stefan Sinovec")</f>
        <v>Stefan Sinovec</v>
      </c>
      <c r="B91" s="13" t="str">
        <f>IFERROR(__xludf.DUMMYFUNCTION("""COMPUTED_VALUE"""),"MEG")</f>
        <v>MEG</v>
      </c>
      <c r="C91" s="14">
        <f>IFERROR(__xludf.DUMMYFUNCTION("""COMPUTED_VALUE"""),409.6)</f>
        <v>409.6</v>
      </c>
      <c r="D91" s="15">
        <f>IFERROR(__xludf.DUMMYFUNCTION("""COMPUTED_VALUE"""),0.32709269611283553)</f>
        <v>0.3270926961</v>
      </c>
      <c r="E91" s="15">
        <f>IFERROR(__xludf.DUMMYFUNCTION("""COMPUTED_VALUE"""),-0.5472019077229997)</f>
        <v>-0.5472019077</v>
      </c>
      <c r="F91" s="15">
        <f>IFERROR(__xludf.DUMMYFUNCTION("""COMPUTED_VALUE"""),-0.22010921161016422)</f>
        <v>-0.2201092116</v>
      </c>
      <c r="G91" s="17">
        <f>IFERROR(__xludf.DUMMYFUNCTION("""COMPUTED_VALUE"""),0.2251398214195866)</f>
        <v>0.2251398214</v>
      </c>
      <c r="H91" s="4"/>
      <c r="I91" s="5" t="s">
        <v>1152</v>
      </c>
      <c r="J91" s="5" t="s">
        <v>934</v>
      </c>
      <c r="K91" s="5">
        <v>410.0</v>
      </c>
      <c r="L91" s="5">
        <v>0.32709</v>
      </c>
      <c r="M91" s="5">
        <v>-0.5472</v>
      </c>
      <c r="N91" s="5">
        <v>-0.22011</v>
      </c>
      <c r="O91" s="5">
        <v>0.22514</v>
      </c>
    </row>
    <row r="92">
      <c r="A92" s="18" t="str">
        <f>IFERROR(__xludf.DUMMYFUNCTION("""COMPUTED_VALUE"""),"Bozo Djumic")</f>
        <v>Bozo Djumic</v>
      </c>
      <c r="B92" s="19" t="str">
        <f>IFERROR(__xludf.DUMMYFUNCTION("""COMPUTED_VALUE"""),"FMP")</f>
        <v>FMP</v>
      </c>
      <c r="C92" s="20">
        <f>IFERROR(__xludf.DUMMYFUNCTION("""COMPUTED_VALUE"""),34.1)</f>
        <v>34.1</v>
      </c>
      <c r="D92" s="21">
        <f>IFERROR(__xludf.DUMMYFUNCTION("""COMPUTED_VALUE"""),-0.20338140994108134)</f>
        <v>-0.2033814099</v>
      </c>
      <c r="E92" s="21">
        <f>IFERROR(__xludf.DUMMYFUNCTION("""COMPUTED_VALUE"""),-0.019499145042739863)</f>
        <v>-0.01949914504</v>
      </c>
      <c r="F92" s="21">
        <f>IFERROR(__xludf.DUMMYFUNCTION("""COMPUTED_VALUE"""),-0.2228805549838212)</f>
        <v>-0.222880555</v>
      </c>
      <c r="G92" s="23">
        <f>IFERROR(__xludf.DUMMYFUNCTION("""COMPUTED_VALUE"""),0.019088767218558293)</f>
        <v>0.01908876722</v>
      </c>
      <c r="H92" s="4"/>
      <c r="I92" s="5" t="s">
        <v>1154</v>
      </c>
      <c r="J92" s="5" t="s">
        <v>959</v>
      </c>
      <c r="K92" s="5">
        <v>34.0</v>
      </c>
      <c r="L92" s="5">
        <v>-0.20338</v>
      </c>
      <c r="M92" s="5">
        <v>-0.0195</v>
      </c>
      <c r="N92" s="5">
        <v>-0.22288</v>
      </c>
      <c r="O92" s="5">
        <v>0.01909</v>
      </c>
    </row>
    <row r="93">
      <c r="A93" s="12" t="str">
        <f>IFERROR(__xludf.DUMMYFUNCTION("""COMPUTED_VALUE"""),"Mate Mandic")</f>
        <v>Mate Mandic</v>
      </c>
      <c r="B93" s="13" t="str">
        <f>IFERROR(__xludf.DUMMYFUNCTION("""COMPUTED_VALUE"""),"CIB")</f>
        <v>CIB</v>
      </c>
      <c r="C93" s="14">
        <f>IFERROR(__xludf.DUMMYFUNCTION("""COMPUTED_VALUE"""),13.0)</f>
        <v>13</v>
      </c>
      <c r="D93" s="15">
        <f>IFERROR(__xludf.DUMMYFUNCTION("""COMPUTED_VALUE"""),-0.1770786866046419)</f>
        <v>-0.1770786866</v>
      </c>
      <c r="E93" s="15">
        <f>IFERROR(__xludf.DUMMYFUNCTION("""COMPUTED_VALUE"""),-0.07297697089708485)</f>
        <v>-0.0729769709</v>
      </c>
      <c r="F93" s="15">
        <f>IFERROR(__xludf.DUMMYFUNCTION("""COMPUTED_VALUE"""),-0.25005565750172676)</f>
        <v>-0.2500556575</v>
      </c>
      <c r="G93" s="17">
        <f>IFERROR(__xludf.DUMMYFUNCTION("""COMPUTED_VALUE"""),0.006916890768448939)</f>
        <v>0.006916890768</v>
      </c>
      <c r="H93" s="4"/>
      <c r="I93" s="5" t="s">
        <v>1156</v>
      </c>
      <c r="J93" s="5" t="s">
        <v>1115</v>
      </c>
      <c r="K93" s="5">
        <v>13.0</v>
      </c>
      <c r="L93" s="5">
        <v>-0.17708</v>
      </c>
      <c r="M93" s="5">
        <v>-0.07298</v>
      </c>
      <c r="N93" s="5">
        <v>-0.25006</v>
      </c>
      <c r="O93" s="5">
        <v>0.00692</v>
      </c>
    </row>
    <row r="94">
      <c r="A94" s="18" t="str">
        <f>IFERROR(__xludf.DUMMYFUNCTION("""COMPUTED_VALUE"""),"Langston Hall")</f>
        <v>Langston Hall</v>
      </c>
      <c r="B94" s="19" t="str">
        <f>IFERROR(__xludf.DUMMYFUNCTION("""COMPUTED_VALUE"""),"CIB")</f>
        <v>CIB</v>
      </c>
      <c r="C94" s="20">
        <f>IFERROR(__xludf.DUMMYFUNCTION("""COMPUTED_VALUE"""),77.5)</f>
        <v>77.5</v>
      </c>
      <c r="D94" s="21">
        <f>IFERROR(__xludf.DUMMYFUNCTION("""COMPUTED_VALUE"""),-0.07905083145801951)</f>
        <v>-0.07905083146</v>
      </c>
      <c r="E94" s="21">
        <f>IFERROR(__xludf.DUMMYFUNCTION("""COMPUTED_VALUE"""),-0.22074489020563137)</f>
        <v>-0.2207448902</v>
      </c>
      <c r="F94" s="21">
        <f>IFERROR(__xludf.DUMMYFUNCTION("""COMPUTED_VALUE"""),-0.29979572166365087)</f>
        <v>-0.2997957217</v>
      </c>
      <c r="G94" s="23">
        <f>IFERROR(__xludf.DUMMYFUNCTION("""COMPUTED_VALUE"""),0.04006324622652571)</f>
        <v>0.04006324623</v>
      </c>
      <c r="H94" s="4"/>
      <c r="I94" s="5" t="s">
        <v>701</v>
      </c>
      <c r="J94" s="5" t="s">
        <v>1115</v>
      </c>
      <c r="K94" s="5">
        <v>78.0</v>
      </c>
      <c r="L94" s="5">
        <v>-0.07905</v>
      </c>
      <c r="M94" s="5">
        <v>-0.22074</v>
      </c>
      <c r="N94" s="5">
        <v>-0.2998</v>
      </c>
      <c r="O94" s="5">
        <v>0.04006</v>
      </c>
    </row>
    <row r="95">
      <c r="A95" s="12" t="str">
        <f>IFERROR(__xludf.DUMMYFUNCTION("""COMPUTED_VALUE"""),"Cleveland Melvin")</f>
        <v>Cleveland Melvin</v>
      </c>
      <c r="B95" s="13" t="str">
        <f>IFERROR(__xludf.DUMMYFUNCTION("""COMPUTED_VALUE"""),"CIB")</f>
        <v>CIB</v>
      </c>
      <c r="C95" s="14">
        <f>IFERROR(__xludf.DUMMYFUNCTION("""COMPUTED_VALUE"""),316.0)</f>
        <v>316</v>
      </c>
      <c r="D95" s="15">
        <f>IFERROR(__xludf.DUMMYFUNCTION("""COMPUTED_VALUE"""),-1.1018264799674493)</f>
        <v>-1.10182648</v>
      </c>
      <c r="E95" s="15">
        <f>IFERROR(__xludf.DUMMYFUNCTION("""COMPUTED_VALUE"""),0.8011182269738992)</f>
        <v>0.801118227</v>
      </c>
      <c r="F95" s="15">
        <f>IFERROR(__xludf.DUMMYFUNCTION("""COMPUTED_VALUE"""),-0.3007082529935501)</f>
        <v>-0.300708253</v>
      </c>
      <c r="G95" s="17">
        <f>IFERROR(__xludf.DUMMYFUNCTION("""COMPUTED_VALUE"""),0.16326698009294)</f>
        <v>0.1632669801</v>
      </c>
      <c r="H95" s="4"/>
      <c r="I95" s="5" t="s">
        <v>1159</v>
      </c>
      <c r="J95" s="5" t="s">
        <v>1115</v>
      </c>
      <c r="K95" s="5">
        <v>316.0</v>
      </c>
      <c r="L95" s="5">
        <v>-1.10183</v>
      </c>
      <c r="M95" s="5">
        <v>0.80112</v>
      </c>
      <c r="N95" s="5">
        <v>-0.30071</v>
      </c>
      <c r="O95" s="5">
        <v>0.16327</v>
      </c>
    </row>
    <row r="96">
      <c r="A96" s="18" t="str">
        <f>IFERROR(__xludf.DUMMYFUNCTION("""COMPUTED_VALUE"""),"Ognjen Jaramaz")</f>
        <v>Ognjen Jaramaz</v>
      </c>
      <c r="B96" s="19" t="str">
        <f>IFERROR(__xludf.DUMMYFUNCTION("""COMPUTED_VALUE"""),"MEG")</f>
        <v>MEG</v>
      </c>
      <c r="C96" s="20">
        <f>IFERROR(__xludf.DUMMYFUNCTION("""COMPUTED_VALUE"""),122.1)</f>
        <v>122.1</v>
      </c>
      <c r="D96" s="21">
        <f>IFERROR(__xludf.DUMMYFUNCTION("""COMPUTED_VALUE"""),-0.6461418359457058)</f>
        <v>-0.6461418359</v>
      </c>
      <c r="E96" s="21">
        <f>IFERROR(__xludf.DUMMYFUNCTION("""COMPUTED_VALUE"""),0.29730580653259175)</f>
        <v>0.2973058065</v>
      </c>
      <c r="F96" s="21">
        <f>IFERROR(__xludf.DUMMYFUNCTION("""COMPUTED_VALUE"""),-0.3488360294131141)</f>
        <v>-0.3488360294</v>
      </c>
      <c r="G96" s="23">
        <f>IFERROR(__xludf.DUMMYFUNCTION("""COMPUTED_VALUE"""),0.06225939287150771)</f>
        <v>0.06225939287</v>
      </c>
      <c r="H96" s="4"/>
      <c r="I96" s="5" t="s">
        <v>1161</v>
      </c>
      <c r="J96" s="5" t="s">
        <v>934</v>
      </c>
      <c r="K96" s="5">
        <v>122.0</v>
      </c>
      <c r="L96" s="5">
        <v>-0.64614</v>
      </c>
      <c r="M96" s="5">
        <v>0.29731</v>
      </c>
      <c r="N96" s="5">
        <v>-0.34884</v>
      </c>
      <c r="O96" s="5">
        <v>0.06226</v>
      </c>
    </row>
    <row r="97">
      <c r="A97" s="12" t="str">
        <f>IFERROR(__xludf.DUMMYFUNCTION("""COMPUTED_VALUE"""),"Kyle Gibson")</f>
        <v>Kyle Gibson</v>
      </c>
      <c r="B97" s="13" t="str">
        <f>IFERROR(__xludf.DUMMYFUNCTION("""COMPUTED_VALUE"""),"BUD")</f>
        <v>BUD</v>
      </c>
      <c r="C97" s="14">
        <f>IFERROR(__xludf.DUMMYFUNCTION("""COMPUTED_VALUE"""),787.7)</f>
        <v>787.7</v>
      </c>
      <c r="D97" s="15">
        <f>IFERROR(__xludf.DUMMYFUNCTION("""COMPUTED_VALUE"""),0.3802814340919527)</f>
        <v>0.3802814341</v>
      </c>
      <c r="E97" s="15">
        <f>IFERROR(__xludf.DUMMYFUNCTION("""COMPUTED_VALUE"""),-0.7353582380633017)</f>
        <v>-0.7353582381</v>
      </c>
      <c r="F97" s="15">
        <f>IFERROR(__xludf.DUMMYFUNCTION("""COMPUTED_VALUE"""),-0.355076803971349)</f>
        <v>-0.355076804</v>
      </c>
      <c r="G97" s="17">
        <f>IFERROR(__xludf.DUMMYFUNCTION("""COMPUTED_VALUE"""),0.39519584685001363)</f>
        <v>0.3951958469</v>
      </c>
      <c r="H97" s="4"/>
      <c r="I97" s="5" t="s">
        <v>1163</v>
      </c>
      <c r="J97" s="5" t="s">
        <v>914</v>
      </c>
      <c r="K97" s="5">
        <v>788.0</v>
      </c>
      <c r="L97" s="5">
        <v>0.38028</v>
      </c>
      <c r="M97" s="5">
        <v>-0.73536</v>
      </c>
      <c r="N97" s="5">
        <v>-0.35508</v>
      </c>
      <c r="O97" s="5">
        <v>0.3952</v>
      </c>
    </row>
    <row r="98">
      <c r="A98" s="18" t="str">
        <f>IFERROR(__xludf.DUMMYFUNCTION("""COMPUTED_VALUE"""),"Jahmar Young")</f>
        <v>Jahmar Young</v>
      </c>
      <c r="B98" s="19" t="str">
        <f>IFERROR(__xludf.DUMMYFUNCTION("""COMPUTED_VALUE"""),"CIB")</f>
        <v>CIB</v>
      </c>
      <c r="C98" s="20">
        <f>IFERROR(__xludf.DUMMYFUNCTION("""COMPUTED_VALUE"""),100.5)</f>
        <v>100.5</v>
      </c>
      <c r="D98" s="21">
        <f>IFERROR(__xludf.DUMMYFUNCTION("""COMPUTED_VALUE"""),0.3106373410775021)</f>
        <v>0.3106373411</v>
      </c>
      <c r="E98" s="21">
        <f>IFERROR(__xludf.DUMMYFUNCTION("""COMPUTED_VALUE"""),-0.6678535726855073)</f>
        <v>-0.6678535727</v>
      </c>
      <c r="F98" s="21">
        <f>IFERROR(__xludf.DUMMYFUNCTION("""COMPUTED_VALUE"""),-0.3572162316080051)</f>
        <v>-0.3572162316</v>
      </c>
      <c r="G98" s="23">
        <f>IFERROR(__xludf.DUMMYFUNCTION("""COMPUTED_VALUE"""),0.05019839064075113)</f>
        <v>0.05019839064</v>
      </c>
      <c r="H98" s="4"/>
      <c r="I98" s="5" t="s">
        <v>1164</v>
      </c>
      <c r="J98" s="5" t="s">
        <v>1115</v>
      </c>
      <c r="K98" s="24">
        <v>101.0</v>
      </c>
      <c r="L98" s="5">
        <v>0.31064</v>
      </c>
      <c r="M98" s="5">
        <v>-0.66785</v>
      </c>
      <c r="N98" s="5">
        <v>-0.35722</v>
      </c>
      <c r="O98" s="5">
        <v>0.0502</v>
      </c>
    </row>
    <row r="99">
      <c r="A99" s="12" t="str">
        <f>IFERROR(__xludf.DUMMYFUNCTION("""COMPUTED_VALUE"""),"Vasilije Bacovic")</f>
        <v>Vasilije Bacovic</v>
      </c>
      <c r="B99" s="13" t="str">
        <f>IFERROR(__xludf.DUMMYFUNCTION("""COMPUTED_VALUE"""),"BUD")</f>
        <v>BUD</v>
      </c>
      <c r="C99" s="14">
        <f>IFERROR(__xludf.DUMMYFUNCTION("""COMPUTED_VALUE"""),20.7)</f>
        <v>20.7</v>
      </c>
      <c r="D99" s="15">
        <f>IFERROR(__xludf.DUMMYFUNCTION("""COMPUTED_VALUE"""),-0.2630688347993457)</f>
        <v>-0.2630688348</v>
      </c>
      <c r="E99" s="15">
        <f>IFERROR(__xludf.DUMMYFUNCTION("""COMPUTED_VALUE"""),-0.11080159712118243)</f>
        <v>-0.1108015971</v>
      </c>
      <c r="F99" s="15">
        <f>IFERROR(__xludf.DUMMYFUNCTION("""COMPUTED_VALUE"""),-0.3738704319205281)</f>
        <v>-0.3738704319</v>
      </c>
      <c r="G99" s="17">
        <f>IFERROR(__xludf.DUMMYFUNCTION("""COMPUTED_VALUE"""),0.01026671233721299)</f>
        <v>0.01026671234</v>
      </c>
      <c r="H99" s="4"/>
      <c r="I99" s="5" t="s">
        <v>1166</v>
      </c>
      <c r="J99" s="5" t="s">
        <v>914</v>
      </c>
      <c r="K99" s="5">
        <v>21.0</v>
      </c>
      <c r="L99" s="5">
        <v>-0.26307</v>
      </c>
      <c r="M99" s="5">
        <v>-0.1108</v>
      </c>
      <c r="N99" s="5">
        <v>-0.37387</v>
      </c>
      <c r="O99" s="5">
        <v>0.01027</v>
      </c>
    </row>
    <row r="100">
      <c r="A100" s="18" t="str">
        <f>IFERROR(__xludf.DUMMYFUNCTION("""COMPUTED_VALUE"""),"Filip Toncinic")</f>
        <v>Filip Toncinic</v>
      </c>
      <c r="B100" s="19" t="str">
        <f>IFERROR(__xludf.DUMMYFUNCTION("""COMPUTED_VALUE"""),"CED")</f>
        <v>CED</v>
      </c>
      <c r="C100" s="20">
        <f>IFERROR(__xludf.DUMMYFUNCTION("""COMPUTED_VALUE"""),13.9)</f>
        <v>13.9</v>
      </c>
      <c r="D100" s="21">
        <f>IFERROR(__xludf.DUMMYFUNCTION("""COMPUTED_VALUE"""),-0.20290301033153502)</f>
        <v>-0.2029030103</v>
      </c>
      <c r="E100" s="21">
        <f>IFERROR(__xludf.DUMMYFUNCTION("""COMPUTED_VALUE"""),-0.17587212230662586)</f>
        <v>-0.1758721223</v>
      </c>
      <c r="F100" s="21">
        <f>IFERROR(__xludf.DUMMYFUNCTION("""COMPUTED_VALUE"""),-0.37877513263816087)</f>
        <v>-0.3787751326</v>
      </c>
      <c r="G100" s="23">
        <f>IFERROR(__xludf.DUMMYFUNCTION("""COMPUTED_VALUE"""),0.006804836031971781)</f>
        <v>0.006804836032</v>
      </c>
      <c r="H100" s="4"/>
      <c r="I100" s="5" t="s">
        <v>1168</v>
      </c>
      <c r="J100" s="5" t="s">
        <v>928</v>
      </c>
      <c r="K100" s="5">
        <v>14.0</v>
      </c>
      <c r="L100" s="5">
        <v>-0.2029</v>
      </c>
      <c r="M100" s="5">
        <v>-0.17587</v>
      </c>
      <c r="N100" s="5">
        <v>-0.37878</v>
      </c>
      <c r="O100" s="5">
        <v>0.0068</v>
      </c>
    </row>
    <row r="101">
      <c r="A101" s="12" t="str">
        <f>IFERROR(__xludf.DUMMYFUNCTION("""COMPUTED_VALUE"""),"Srdan Kocic")</f>
        <v>Srdan Kocic</v>
      </c>
      <c r="B101" s="13" t="str">
        <f>IFERROR(__xludf.DUMMYFUNCTION("""COMPUTED_VALUE"""),"BUD")</f>
        <v>BUD</v>
      </c>
      <c r="C101" s="14">
        <f>IFERROR(__xludf.DUMMYFUNCTION("""COMPUTED_VALUE"""),2.3)</f>
        <v>2.3</v>
      </c>
      <c r="D101" s="15">
        <f>IFERROR(__xludf.DUMMYFUNCTION("""COMPUTED_VALUE"""),-0.2517461299205586)</f>
        <v>-0.2517461299</v>
      </c>
      <c r="E101" s="15">
        <f>IFERROR(__xludf.DUMMYFUNCTION("""COMPUTED_VALUE"""),-0.14445542671458572)</f>
        <v>-0.1444554267</v>
      </c>
      <c r="F101" s="15">
        <f>IFERROR(__xludf.DUMMYFUNCTION("""COMPUTED_VALUE"""),-0.39620155663514434)</f>
        <v>-0.3962015566</v>
      </c>
      <c r="G101" s="17">
        <f>IFERROR(__xludf.DUMMYFUNCTION("""COMPUTED_VALUE"""),0.0011250803125897751)</f>
        <v>0.001125080313</v>
      </c>
      <c r="H101" s="4"/>
      <c r="I101" s="5" t="s">
        <v>1170</v>
      </c>
      <c r="J101" s="5" t="s">
        <v>914</v>
      </c>
      <c r="K101" s="5">
        <v>2.0</v>
      </c>
      <c r="L101" s="5">
        <v>-0.25175</v>
      </c>
      <c r="M101" s="5">
        <v>-0.14446</v>
      </c>
      <c r="N101" s="5">
        <v>-0.3962</v>
      </c>
      <c r="O101" s="5">
        <v>0.00113</v>
      </c>
    </row>
    <row r="102">
      <c r="A102" s="18" t="str">
        <f>IFERROR(__xludf.DUMMYFUNCTION("""COMPUTED_VALUE"""),"Darko Bajo")</f>
        <v>Darko Bajo</v>
      </c>
      <c r="B102" s="19" t="str">
        <f>IFERROR(__xludf.DUMMYFUNCTION("""COMPUTED_VALUE"""),"CED")</f>
        <v>CED</v>
      </c>
      <c r="C102" s="20">
        <f>IFERROR(__xludf.DUMMYFUNCTION("""COMPUTED_VALUE"""),6.4)</f>
        <v>6.4</v>
      </c>
      <c r="D102" s="21">
        <f>IFERROR(__xludf.DUMMYFUNCTION("""COMPUTED_VALUE"""),-0.36154537652218255)</f>
        <v>-0.3615453765</v>
      </c>
      <c r="E102" s="21">
        <f>IFERROR(__xludf.DUMMYFUNCTION("""COMPUTED_VALUE"""),-0.03513952072740595)</f>
        <v>-0.03513952073</v>
      </c>
      <c r="F102" s="21">
        <f>IFERROR(__xludf.DUMMYFUNCTION("""COMPUTED_VALUE"""),-0.3966848972495885)</f>
        <v>-0.3966848972</v>
      </c>
      <c r="G102" s="23">
        <f>IFERROR(__xludf.DUMMYFUNCTION("""COMPUTED_VALUE"""),0.0030985496936370683)</f>
        <v>0.003098549694</v>
      </c>
      <c r="H102" s="4"/>
      <c r="I102" s="5" t="s">
        <v>1172</v>
      </c>
      <c r="J102" s="5" t="s">
        <v>928</v>
      </c>
      <c r="K102" s="5">
        <v>6.0</v>
      </c>
      <c r="L102" s="5">
        <v>-0.36155</v>
      </c>
      <c r="M102" s="5">
        <v>-0.03514</v>
      </c>
      <c r="N102" s="5">
        <v>-0.39668</v>
      </c>
      <c r="O102" s="5">
        <v>0.0031</v>
      </c>
    </row>
    <row r="103">
      <c r="A103" s="12" t="str">
        <f>IFERROR(__xludf.DUMMYFUNCTION("""COMPUTED_VALUE"""),"Domen Lorbek")</f>
        <v>Domen Lorbek</v>
      </c>
      <c r="B103" s="13" t="str">
        <f>IFERROR(__xludf.DUMMYFUNCTION("""COMPUTED_VALUE"""),"OLI")</f>
        <v>OLI</v>
      </c>
      <c r="C103" s="14">
        <f>IFERROR(__xludf.DUMMYFUNCTION("""COMPUTED_VALUE"""),391.2)</f>
        <v>391.2</v>
      </c>
      <c r="D103" s="15">
        <f>IFERROR(__xludf.DUMMYFUNCTION("""COMPUTED_VALUE"""),1.921637057068043)</f>
        <v>1.921637057</v>
      </c>
      <c r="E103" s="15">
        <f>IFERROR(__xludf.DUMMYFUNCTION("""COMPUTED_VALUE"""),-2.336688203379032)</f>
        <v>-2.336688203</v>
      </c>
      <c r="F103" s="15">
        <f>IFERROR(__xludf.DUMMYFUNCTION("""COMPUTED_VALUE"""),-0.41505114631098894)</f>
        <v>-0.4150511463</v>
      </c>
      <c r="G103" s="17">
        <f>IFERROR(__xludf.DUMMYFUNCTION("""COMPUTED_VALUE"""),0.18699000305404592)</f>
        <v>0.1869900031</v>
      </c>
      <c r="H103" s="4"/>
      <c r="I103" s="5" t="s">
        <v>1174</v>
      </c>
      <c r="J103" s="5" t="s">
        <v>711</v>
      </c>
      <c r="K103" s="5">
        <v>391.0</v>
      </c>
      <c r="L103" s="5">
        <v>1.92164</v>
      </c>
      <c r="M103" s="5">
        <v>-2.33669</v>
      </c>
      <c r="N103" s="5">
        <v>-0.41505</v>
      </c>
      <c r="O103" s="5">
        <v>0.18699</v>
      </c>
    </row>
    <row r="104">
      <c r="A104" s="18" t="str">
        <f>IFERROR(__xludf.DUMMYFUNCTION("""COMPUTED_VALUE"""),"Samardo Samuels")</f>
        <v>Samardo Samuels</v>
      </c>
      <c r="B104" s="19" t="str">
        <f>IFERROR(__xludf.DUMMYFUNCTION("""COMPUTED_VALUE"""),"PAR")</f>
        <v>PAR</v>
      </c>
      <c r="C104" s="20">
        <f>IFERROR(__xludf.DUMMYFUNCTION("""COMPUTED_VALUE"""),48.6)</f>
        <v>48.6</v>
      </c>
      <c r="D104" s="21">
        <f>IFERROR(__xludf.DUMMYFUNCTION("""COMPUTED_VALUE"""),0.14735553726934153)</f>
        <v>0.1473555373</v>
      </c>
      <c r="E104" s="21">
        <f>IFERROR(__xludf.DUMMYFUNCTION("""COMPUTED_VALUE"""),-0.5762889457015211)</f>
        <v>-0.5762889457</v>
      </c>
      <c r="F104" s="21">
        <f>IFERROR(__xludf.DUMMYFUNCTION("""COMPUTED_VALUE"""),-0.4289334084321796)</f>
        <v>-0.4289334084</v>
      </c>
      <c r="G104" s="23">
        <f>IFERROR(__xludf.DUMMYFUNCTION("""COMPUTED_VALUE"""),0.023156510677959586)</f>
        <v>0.02315651068</v>
      </c>
      <c r="H104" s="4"/>
      <c r="I104" s="5" t="s">
        <v>1176</v>
      </c>
      <c r="J104" s="5" t="s">
        <v>962</v>
      </c>
      <c r="K104" s="5">
        <v>49.0</v>
      </c>
      <c r="L104" s="5">
        <v>0.14736</v>
      </c>
      <c r="M104" s="5">
        <v>-0.57629</v>
      </c>
      <c r="N104" s="5">
        <v>-0.42893</v>
      </c>
      <c r="O104" s="5">
        <v>0.02316</v>
      </c>
    </row>
    <row r="105">
      <c r="A105" s="12" t="str">
        <f>IFERROR(__xludf.DUMMYFUNCTION("""COMPUTED_VALUE"""),"Lazar Pavicevic")</f>
        <v>Lazar Pavicevic</v>
      </c>
      <c r="B105" s="13" t="str">
        <f>IFERROR(__xludf.DUMMYFUNCTION("""COMPUTED_VALUE"""),"MOR")</f>
        <v>MOR</v>
      </c>
      <c r="C105" s="14">
        <f>IFERROR(__xludf.DUMMYFUNCTION("""COMPUTED_VALUE"""),16.8)</f>
        <v>16.8</v>
      </c>
      <c r="D105" s="15">
        <f>IFERROR(__xludf.DUMMYFUNCTION("""COMPUTED_VALUE"""),-0.22712833667739338)</f>
        <v>-0.2271283367</v>
      </c>
      <c r="E105" s="15">
        <f>IFERROR(__xludf.DUMMYFUNCTION("""COMPUTED_VALUE"""),-0.20272286747374627)</f>
        <v>-0.2027228675</v>
      </c>
      <c r="F105" s="15">
        <f>IFERROR(__xludf.DUMMYFUNCTION("""COMPUTED_VALUE"""),-0.42985120415113964)</f>
        <v>-0.4298512042</v>
      </c>
      <c r="G105" s="17">
        <f>IFERROR(__xludf.DUMMYFUNCTION("""COMPUTED_VALUE"""),0.008045765676611385)</f>
        <v>0.008045765677</v>
      </c>
      <c r="H105" s="4"/>
      <c r="I105" s="5" t="s">
        <v>1178</v>
      </c>
      <c r="J105" s="5" t="s">
        <v>921</v>
      </c>
      <c r="K105" s="5">
        <v>17.0</v>
      </c>
      <c r="L105" s="5">
        <v>-0.22713</v>
      </c>
      <c r="M105" s="5">
        <v>-0.20272</v>
      </c>
      <c r="N105" s="5">
        <v>-0.42985</v>
      </c>
      <c r="O105" s="5">
        <v>0.00805</v>
      </c>
    </row>
    <row r="106">
      <c r="A106" s="18" t="str">
        <f>IFERROR(__xludf.DUMMYFUNCTION("""COMPUTED_VALUE"""),"Andreja Stevanovic")</f>
        <v>Andreja Stevanovic</v>
      </c>
      <c r="B106" s="19" t="str">
        <f>IFERROR(__xludf.DUMMYFUNCTION("""COMPUTED_VALUE"""),"PAR")</f>
        <v>PAR</v>
      </c>
      <c r="C106" s="20">
        <f>IFERROR(__xludf.DUMMYFUNCTION("""COMPUTED_VALUE"""),81.2)</f>
        <v>81.2</v>
      </c>
      <c r="D106" s="21">
        <f>IFERROR(__xludf.DUMMYFUNCTION("""COMPUTED_VALUE"""),-0.33011745594604486)</f>
        <v>-0.3301174559</v>
      </c>
      <c r="E106" s="21">
        <f>IFERROR(__xludf.DUMMYFUNCTION("""COMPUTED_VALUE"""),-0.1217194344245433)</f>
        <v>-0.1217194344</v>
      </c>
      <c r="F106" s="21">
        <f>IFERROR(__xludf.DUMMYFUNCTION("""COMPUTED_VALUE"""),-0.45183689037058816)</f>
        <v>-0.4518368904</v>
      </c>
      <c r="G106" s="23">
        <f>IFERROR(__xludf.DUMMYFUNCTION("""COMPUTED_VALUE"""),0.038125451872416366)</f>
        <v>0.03812545187</v>
      </c>
      <c r="H106" s="4"/>
      <c r="I106" s="5" t="s">
        <v>1180</v>
      </c>
      <c r="J106" s="5" t="s">
        <v>962</v>
      </c>
      <c r="K106" s="5">
        <v>81.0</v>
      </c>
      <c r="L106" s="5">
        <v>-0.33012</v>
      </c>
      <c r="M106" s="5">
        <v>-0.12172</v>
      </c>
      <c r="N106" s="5">
        <v>-0.45184</v>
      </c>
      <c r="O106" s="5">
        <v>0.03813</v>
      </c>
    </row>
    <row r="107">
      <c r="A107" s="12" t="str">
        <f>IFERROR(__xludf.DUMMYFUNCTION("""COMPUTED_VALUE"""),"Stefan Momirov")</f>
        <v>Stefan Momirov</v>
      </c>
      <c r="B107" s="13" t="str">
        <f>IFERROR(__xludf.DUMMYFUNCTION("""COMPUTED_VALUE"""),"FMP")</f>
        <v>FMP</v>
      </c>
      <c r="C107" s="14">
        <f>IFERROR(__xludf.DUMMYFUNCTION("""COMPUTED_VALUE"""),13.4)</f>
        <v>13.4</v>
      </c>
      <c r="D107" s="15">
        <f>IFERROR(__xludf.DUMMYFUNCTION("""COMPUTED_VALUE"""),-0.41887908006563573)</f>
        <v>-0.4188790801</v>
      </c>
      <c r="E107" s="15">
        <f>IFERROR(__xludf.DUMMYFUNCTION("""COMPUTED_VALUE"""),-0.06564434969638622)</f>
        <v>-0.0656443497</v>
      </c>
      <c r="F107" s="15">
        <f>IFERROR(__xludf.DUMMYFUNCTION("""COMPUTED_VALUE"""),-0.48452342976202195)</f>
        <v>-0.4845234298</v>
      </c>
      <c r="G107" s="17">
        <f>IFERROR(__xludf.DUMMYFUNCTION("""COMPUTED_VALUE"""),0.006396772550246456)</f>
        <v>0.00639677255</v>
      </c>
      <c r="H107" s="4"/>
      <c r="I107" s="5" t="s">
        <v>1181</v>
      </c>
      <c r="J107" s="5" t="s">
        <v>959</v>
      </c>
      <c r="K107" s="5">
        <v>13.0</v>
      </c>
      <c r="L107" s="5">
        <v>-0.41888</v>
      </c>
      <c r="M107" s="5">
        <v>-0.06564</v>
      </c>
      <c r="N107" s="5">
        <v>-0.48452</v>
      </c>
      <c r="O107" s="5">
        <v>0.0064</v>
      </c>
    </row>
    <row r="108">
      <c r="A108" s="18" t="str">
        <f>IFERROR(__xludf.DUMMYFUNCTION("""COMPUTED_VALUE"""),"Strahinja Gavrilovic")</f>
        <v>Strahinja Gavrilovic</v>
      </c>
      <c r="B108" s="19" t="str">
        <f>IFERROR(__xludf.DUMMYFUNCTION("""COMPUTED_VALUE"""),"PAR")</f>
        <v>PAR</v>
      </c>
      <c r="C108" s="20">
        <f>IFERROR(__xludf.DUMMYFUNCTION("""COMPUTED_VALUE"""),257.6)</f>
        <v>257.6</v>
      </c>
      <c r="D108" s="21">
        <f>IFERROR(__xludf.DUMMYFUNCTION("""COMPUTED_VALUE"""),1.3341495699419743)</f>
        <v>1.33414957</v>
      </c>
      <c r="E108" s="21">
        <f>IFERROR(__xludf.DUMMYFUNCTION("""COMPUTED_VALUE"""),-1.8429181746071683)</f>
        <v>-1.842918175</v>
      </c>
      <c r="F108" s="21">
        <f>IFERROR(__xludf.DUMMYFUNCTION("""COMPUTED_VALUE"""),-0.5087686046651939)</f>
        <v>-0.5087686047</v>
      </c>
      <c r="G108" s="23">
        <f>IFERROR(__xludf.DUMMYFUNCTION("""COMPUTED_VALUE"""),0.1165019388297598)</f>
        <v>0.1165019388</v>
      </c>
      <c r="H108" s="4"/>
      <c r="I108" s="5" t="s">
        <v>1183</v>
      </c>
      <c r="J108" s="5" t="s">
        <v>962</v>
      </c>
      <c r="K108" s="5">
        <v>258.0</v>
      </c>
      <c r="L108" s="5">
        <v>1.33415</v>
      </c>
      <c r="M108" s="5">
        <v>-1.84292</v>
      </c>
      <c r="N108" s="5">
        <v>-0.50877</v>
      </c>
      <c r="O108" s="5">
        <v>0.1165</v>
      </c>
    </row>
    <row r="109">
      <c r="A109" s="12" t="str">
        <f>IFERROR(__xludf.DUMMYFUNCTION("""COMPUTED_VALUE"""),"Malcolm Lee")</f>
        <v>Malcolm Lee</v>
      </c>
      <c r="B109" s="13" t="str">
        <f>IFERROR(__xludf.DUMMYFUNCTION("""COMPUTED_VALUE"""),"IGO")</f>
        <v>IGO</v>
      </c>
      <c r="C109" s="14">
        <f>IFERROR(__xludf.DUMMYFUNCTION("""COMPUTED_VALUE"""),212.3)</f>
        <v>212.3</v>
      </c>
      <c r="D109" s="15">
        <f>IFERROR(__xludf.DUMMYFUNCTION("""COMPUTED_VALUE"""),-0.09016946104394925)</f>
        <v>-0.09016946104</v>
      </c>
      <c r="E109" s="15">
        <f>IFERROR(__xludf.DUMMYFUNCTION("""COMPUTED_VALUE"""),-0.4576783768370151)</f>
        <v>-0.4576783768</v>
      </c>
      <c r="F109" s="15">
        <f>IFERROR(__xludf.DUMMYFUNCTION("""COMPUTED_VALUE"""),-0.5478478378809644)</f>
        <v>-0.5478478379</v>
      </c>
      <c r="G109" s="17">
        <f>IFERROR(__xludf.DUMMYFUNCTION("""COMPUTED_VALUE"""),0.09349632859355597)</f>
        <v>0.09349632859</v>
      </c>
      <c r="H109" s="4"/>
      <c r="I109" s="5" t="s">
        <v>1185</v>
      </c>
      <c r="J109" s="5" t="s">
        <v>980</v>
      </c>
      <c r="K109" s="5">
        <v>212.0</v>
      </c>
      <c r="L109" s="5">
        <v>-0.09017</v>
      </c>
      <c r="M109" s="5">
        <v>-0.45768</v>
      </c>
      <c r="N109" s="5">
        <v>-0.54785</v>
      </c>
      <c r="O109" s="5">
        <v>0.0935</v>
      </c>
    </row>
    <row r="110">
      <c r="A110" s="18" t="str">
        <f>IFERROR(__xludf.DUMMYFUNCTION("""COMPUTED_VALUE"""),"Luka Zoric")</f>
        <v>Luka Zoric</v>
      </c>
      <c r="B110" s="19" t="str">
        <f>IFERROR(__xludf.DUMMYFUNCTION("""COMPUTED_VALUE"""),"CIB")</f>
        <v>CIB</v>
      </c>
      <c r="C110" s="20">
        <f>IFERROR(__xludf.DUMMYFUNCTION("""COMPUTED_VALUE"""),618.9)</f>
        <v>618.9</v>
      </c>
      <c r="D110" s="21">
        <f>IFERROR(__xludf.DUMMYFUNCTION("""COMPUTED_VALUE"""),0.12486444627905041)</f>
        <v>0.1248644463</v>
      </c>
      <c r="E110" s="21">
        <f>IFERROR(__xludf.DUMMYFUNCTION("""COMPUTED_VALUE"""),-0.6943688343787584)</f>
        <v>-0.6943688344</v>
      </c>
      <c r="F110" s="21">
        <f>IFERROR(__xludf.DUMMYFUNCTION("""COMPUTED_VALUE"""),-0.5695043880997079)</f>
        <v>-0.5695043881</v>
      </c>
      <c r="G110" s="23">
        <f>IFERROR(__xludf.DUMMYFUNCTION("""COMPUTED_VALUE"""),0.2691846813639077)</f>
        <v>0.2691846814</v>
      </c>
      <c r="H110" s="4"/>
      <c r="I110" s="5" t="s">
        <v>1187</v>
      </c>
      <c r="J110" s="5" t="s">
        <v>1115</v>
      </c>
      <c r="K110" s="5">
        <v>619.0</v>
      </c>
      <c r="L110" s="5">
        <v>0.12486</v>
      </c>
      <c r="M110" s="5">
        <v>-0.69437</v>
      </c>
      <c r="N110" s="5">
        <v>-0.5695</v>
      </c>
      <c r="O110" s="5">
        <v>0.26918</v>
      </c>
    </row>
    <row r="111">
      <c r="A111" s="12" t="str">
        <f>IFERROR(__xludf.DUMMYFUNCTION("""COMPUTED_VALUE"""),"Kresimir Ljubicic")</f>
        <v>Kresimir Ljubicic</v>
      </c>
      <c r="B111" s="13" t="str">
        <f>IFERROR(__xludf.DUMMYFUNCTION("""COMPUTED_VALUE"""),"CIB")</f>
        <v>CIB</v>
      </c>
      <c r="C111" s="14">
        <f>IFERROR(__xludf.DUMMYFUNCTION("""COMPUTED_VALUE"""),20.0)</f>
        <v>20</v>
      </c>
      <c r="D111" s="15">
        <f>IFERROR(__xludf.DUMMYFUNCTION("""COMPUTED_VALUE"""),-0.5398551157386309)</f>
        <v>-0.5398551157</v>
      </c>
      <c r="E111" s="15">
        <f>IFERROR(__xludf.DUMMYFUNCTION("""COMPUTED_VALUE"""),-0.08541040016754686)</f>
        <v>-0.08541040017</v>
      </c>
      <c r="F111" s="15">
        <f>IFERROR(__xludf.DUMMYFUNCTION("""COMPUTED_VALUE"""),-0.6252655159061777)</f>
        <v>-0.6252655159</v>
      </c>
      <c r="G111" s="17">
        <f>IFERROR(__xludf.DUMMYFUNCTION("""COMPUTED_VALUE"""),0.008359728083625614)</f>
        <v>0.008359728084</v>
      </c>
      <c r="H111" s="4"/>
      <c r="I111" s="5" t="s">
        <v>1188</v>
      </c>
      <c r="J111" s="5" t="s">
        <v>1115</v>
      </c>
      <c r="K111" s="5">
        <v>20.0</v>
      </c>
      <c r="L111" s="5">
        <v>-0.53986</v>
      </c>
      <c r="M111" s="5">
        <v>-0.08541</v>
      </c>
      <c r="N111" s="5">
        <v>-0.62527</v>
      </c>
      <c r="O111" s="5">
        <v>0.00836</v>
      </c>
    </row>
    <row r="112">
      <c r="A112" s="18" t="str">
        <f>IFERROR(__xludf.DUMMYFUNCTION("""COMPUTED_VALUE"""),"Aleksandar Bursac")</f>
        <v>Aleksandar Bursac</v>
      </c>
      <c r="B112" s="19" t="str">
        <f>IFERROR(__xludf.DUMMYFUNCTION("""COMPUTED_VALUE"""),"FMP")</f>
        <v>FMP</v>
      </c>
      <c r="C112" s="20">
        <f>IFERROR(__xludf.DUMMYFUNCTION("""COMPUTED_VALUE"""),375.5)</f>
        <v>375.5</v>
      </c>
      <c r="D112" s="21">
        <f>IFERROR(__xludf.DUMMYFUNCTION("""COMPUTED_VALUE"""),-2.03960579950184)</f>
        <v>-2.0396058</v>
      </c>
      <c r="E112" s="21">
        <f>IFERROR(__xludf.DUMMYFUNCTION("""COMPUTED_VALUE"""),1.3553325662612963)</f>
        <v>1.355332566</v>
      </c>
      <c r="F112" s="21">
        <f>IFERROR(__xludf.DUMMYFUNCTION("""COMPUTED_VALUE"""),-0.684273233240544)</f>
        <v>-0.6842732332</v>
      </c>
      <c r="G112" s="23">
        <f>IFERROR(__xludf.DUMMYFUNCTION("""COMPUTED_VALUE"""),0.1556261362483741)</f>
        <v>0.1556261362</v>
      </c>
      <c r="H112" s="4"/>
      <c r="I112" s="5" t="s">
        <v>1190</v>
      </c>
      <c r="J112" s="5" t="s">
        <v>959</v>
      </c>
      <c r="K112" s="5">
        <v>376.0</v>
      </c>
      <c r="L112" s="5">
        <v>-2.03961</v>
      </c>
      <c r="M112" s="5">
        <v>1.35533</v>
      </c>
      <c r="N112" s="5">
        <v>-0.68427</v>
      </c>
      <c r="O112" s="5">
        <v>0.15563</v>
      </c>
    </row>
    <row r="113">
      <c r="A113" s="12" t="str">
        <f>IFERROR(__xludf.DUMMYFUNCTION("""COMPUTED_VALUE"""),"Toni Katic")</f>
        <v>Toni Katic</v>
      </c>
      <c r="B113" s="13" t="str">
        <f>IFERROR(__xludf.DUMMYFUNCTION("""COMPUTED_VALUE"""),"CED")</f>
        <v>CED</v>
      </c>
      <c r="C113" s="14">
        <f>IFERROR(__xludf.DUMMYFUNCTION("""COMPUTED_VALUE"""),147.2)</f>
        <v>147.2</v>
      </c>
      <c r="D113" s="15">
        <f>IFERROR(__xludf.DUMMYFUNCTION("""COMPUTED_VALUE"""),-2.210315645922864)</f>
        <v>-2.210315646</v>
      </c>
      <c r="E113" s="15">
        <f>IFERROR(__xludf.DUMMYFUNCTION("""COMPUTED_VALUE"""),1.4628499817208687)</f>
        <v>1.462849982</v>
      </c>
      <c r="F113" s="15">
        <f>IFERROR(__xludf.DUMMYFUNCTION("""COMPUTED_VALUE"""),-0.7474656642019955)</f>
        <v>-0.7474656642</v>
      </c>
      <c r="G113" s="17">
        <f>IFERROR(__xludf.DUMMYFUNCTION("""COMPUTED_VALUE"""),0.055674593935639186)</f>
        <v>0.05567459394</v>
      </c>
      <c r="H113" s="4"/>
      <c r="I113" s="5" t="s">
        <v>1192</v>
      </c>
      <c r="J113" s="5" t="s">
        <v>928</v>
      </c>
      <c r="K113" s="5">
        <v>147.0</v>
      </c>
      <c r="L113" s="5">
        <v>-2.21032</v>
      </c>
      <c r="M113" s="5">
        <v>1.46285</v>
      </c>
      <c r="N113" s="5">
        <v>-0.74747</v>
      </c>
      <c r="O113" s="5">
        <v>0.05567</v>
      </c>
    </row>
    <row r="114">
      <c r="A114" s="18" t="str">
        <f>IFERROR(__xludf.DUMMYFUNCTION("""COMPUTED_VALUE"""),"Petar Rakicevic")</f>
        <v>Petar Rakicevic</v>
      </c>
      <c r="B114" s="19" t="str">
        <f>IFERROR(__xludf.DUMMYFUNCTION("""COMPUTED_VALUE"""),"FMP")</f>
        <v>FMP</v>
      </c>
      <c r="C114" s="20">
        <f>IFERROR(__xludf.DUMMYFUNCTION("""COMPUTED_VALUE"""),20.4)</f>
        <v>20.4</v>
      </c>
      <c r="D114" s="21">
        <f>IFERROR(__xludf.DUMMYFUNCTION("""COMPUTED_VALUE"""),-0.5468793118540906)</f>
        <v>-0.5468793119</v>
      </c>
      <c r="E114" s="21">
        <f>IFERROR(__xludf.DUMMYFUNCTION("""COMPUTED_VALUE"""),-0.21267260541452626)</f>
        <v>-0.2126726054</v>
      </c>
      <c r="F114" s="21">
        <f>IFERROR(__xludf.DUMMYFUNCTION("""COMPUTED_VALUE"""),-0.7595519172686168)</f>
        <v>-0.7595519173</v>
      </c>
      <c r="G114" s="23">
        <f>IFERROR(__xludf.DUMMYFUNCTION("""COMPUTED_VALUE"""),0.007971052024242265)</f>
        <v>0.007971052024</v>
      </c>
      <c r="H114" s="4"/>
      <c r="I114" s="5" t="s">
        <v>1194</v>
      </c>
      <c r="J114" s="5" t="s">
        <v>959</v>
      </c>
      <c r="K114" s="5">
        <v>20.0</v>
      </c>
      <c r="L114" s="5">
        <v>-0.54688</v>
      </c>
      <c r="M114" s="5">
        <v>-0.21267</v>
      </c>
      <c r="N114" s="5">
        <v>-0.75955</v>
      </c>
      <c r="O114" s="5">
        <v>0.00797</v>
      </c>
    </row>
    <row r="115">
      <c r="A115" s="12" t="str">
        <f>IFERROR(__xludf.DUMMYFUNCTION("""COMPUTED_VALUE"""),"Aleksa Uskokovic")</f>
        <v>Aleksa Uskokovic</v>
      </c>
      <c r="B115" s="13" t="str">
        <f>IFERROR(__xludf.DUMMYFUNCTION("""COMPUTED_VALUE"""),"FMP")</f>
        <v>FMP</v>
      </c>
      <c r="C115" s="14">
        <f>IFERROR(__xludf.DUMMYFUNCTION("""COMPUTED_VALUE"""),208.4)</f>
        <v>208.4</v>
      </c>
      <c r="D115" s="15">
        <f>IFERROR(__xludf.DUMMYFUNCTION("""COMPUTED_VALUE"""),-1.4551834126056717)</f>
        <v>-1.455183413</v>
      </c>
      <c r="E115" s="15">
        <f>IFERROR(__xludf.DUMMYFUNCTION("""COMPUTED_VALUE"""),0.6925033901609751)</f>
        <v>0.6925033902</v>
      </c>
      <c r="F115" s="15">
        <f>IFERROR(__xludf.DUMMYFUNCTION("""COMPUTED_VALUE"""),-0.7626800224446967)</f>
        <v>-0.7626800224</v>
      </c>
      <c r="G115" s="17">
        <f>IFERROR(__xludf.DUMMYFUNCTION("""COMPUTED_VALUE"""),0.08122442090023883)</f>
        <v>0.0812244209</v>
      </c>
      <c r="H115" s="4"/>
      <c r="I115" s="5" t="s">
        <v>1197</v>
      </c>
      <c r="J115" s="5" t="s">
        <v>959</v>
      </c>
      <c r="K115" s="5">
        <v>208.0</v>
      </c>
      <c r="L115" s="5">
        <v>-1.45518</v>
      </c>
      <c r="M115" s="5">
        <v>0.6925</v>
      </c>
      <c r="N115" s="5">
        <v>-0.76268</v>
      </c>
      <c r="O115" s="5">
        <v>0.08122</v>
      </c>
    </row>
    <row r="116">
      <c r="A116" s="18" t="str">
        <f>IFERROR(__xludf.DUMMYFUNCTION("""COMPUTED_VALUE"""),"Aleksa Radanov")</f>
        <v>Aleksa Radanov</v>
      </c>
      <c r="B116" s="19" t="str">
        <f>IFERROR(__xludf.DUMMYFUNCTION("""COMPUTED_VALUE"""),"FMP")</f>
        <v>FMP</v>
      </c>
      <c r="C116" s="20">
        <f>IFERROR(__xludf.DUMMYFUNCTION("""COMPUTED_VALUE"""),479.5)</f>
        <v>479.5</v>
      </c>
      <c r="D116" s="21">
        <f>IFERROR(__xludf.DUMMYFUNCTION("""COMPUTED_VALUE"""),-2.9673201451307727)</f>
        <v>-2.967320145</v>
      </c>
      <c r="E116" s="21">
        <f>IFERROR(__xludf.DUMMYFUNCTION("""COMPUTED_VALUE"""),2.175906003350302)</f>
        <v>2.175906003</v>
      </c>
      <c r="F116" s="21">
        <f>IFERROR(__xludf.DUMMYFUNCTION("""COMPUTED_VALUE"""),-0.7914141417804706)</f>
        <v>-0.7914141418</v>
      </c>
      <c r="G116" s="23">
        <f>IFERROR(__xludf.DUMMYFUNCTION("""COMPUTED_VALUE"""),0.18254628697399838)</f>
        <v>0.182546287</v>
      </c>
      <c r="H116" s="4"/>
      <c r="I116" s="5" t="s">
        <v>1198</v>
      </c>
      <c r="J116" s="5" t="s">
        <v>959</v>
      </c>
      <c r="K116" s="5">
        <v>480.0</v>
      </c>
      <c r="L116" s="5">
        <v>-2.96732</v>
      </c>
      <c r="M116" s="5">
        <v>2.17591</v>
      </c>
      <c r="N116" s="5">
        <v>-0.79141</v>
      </c>
      <c r="O116" s="5">
        <v>0.18255</v>
      </c>
    </row>
    <row r="117">
      <c r="A117" s="12" t="str">
        <f>IFERROR(__xludf.DUMMYFUNCTION("""COMPUTED_VALUE"""),"Ivan Ramljak")</f>
        <v>Ivan Ramljak</v>
      </c>
      <c r="B117" s="13" t="str">
        <f>IFERROR(__xludf.DUMMYFUNCTION("""COMPUTED_VALUE"""),"CED")</f>
        <v>CED</v>
      </c>
      <c r="C117" s="14">
        <f>IFERROR(__xludf.DUMMYFUNCTION("""COMPUTED_VALUE"""),123.5)</f>
        <v>123.5</v>
      </c>
      <c r="D117" s="15">
        <f>IFERROR(__xludf.DUMMYFUNCTION("""COMPUTED_VALUE"""),-1.7857316351638894)</f>
        <v>-1.785731635</v>
      </c>
      <c r="E117" s="15">
        <f>IFERROR(__xludf.DUMMYFUNCTION("""COMPUTED_VALUE"""),0.9731563625991997)</f>
        <v>0.9731563626</v>
      </c>
      <c r="F117" s="15">
        <f>IFERROR(__xludf.DUMMYFUNCTION("""COMPUTED_VALUE"""),-0.8125752725646898)</f>
        <v>-0.8125752726</v>
      </c>
      <c r="G117" s="17">
        <f>IFERROR(__xludf.DUMMYFUNCTION("""COMPUTED_VALUE"""),0.0442825533316937)</f>
        <v>0.04428255333</v>
      </c>
      <c r="H117" s="4"/>
      <c r="I117" s="5" t="s">
        <v>1200</v>
      </c>
      <c r="J117" s="5" t="s">
        <v>928</v>
      </c>
      <c r="K117" s="5">
        <v>124.0</v>
      </c>
      <c r="L117" s="5">
        <v>-1.78573</v>
      </c>
      <c r="M117" s="5">
        <v>0.97316</v>
      </c>
      <c r="N117" s="5">
        <v>-0.81258</v>
      </c>
      <c r="O117" s="5">
        <v>0.04428</v>
      </c>
    </row>
    <row r="118">
      <c r="A118" s="18" t="str">
        <f>IFERROR(__xludf.DUMMYFUNCTION("""COMPUTED_VALUE"""),"Rados Seslija")</f>
        <v>Rados Seslija</v>
      </c>
      <c r="B118" s="19" t="str">
        <f>IFERROR(__xludf.DUMMYFUNCTION("""COMPUTED_VALUE"""),"FMP")</f>
        <v>FMP</v>
      </c>
      <c r="C118" s="20">
        <f>IFERROR(__xludf.DUMMYFUNCTION("""COMPUTED_VALUE"""),144.8)</f>
        <v>144.8</v>
      </c>
      <c r="D118" s="21">
        <f>IFERROR(__xludf.DUMMYFUNCTION("""COMPUTED_VALUE"""),-1.328986982215498)</f>
        <v>-1.328986982</v>
      </c>
      <c r="E118" s="21">
        <f>IFERROR(__xludf.DUMMYFUNCTION("""COMPUTED_VALUE"""),0.4921094476796142)</f>
        <v>0.4921094477</v>
      </c>
      <c r="F118" s="21">
        <f>IFERROR(__xludf.DUMMYFUNCTION("""COMPUTED_VALUE"""),-0.8368775345358839)</f>
        <v>-0.8368775345</v>
      </c>
      <c r="G118" s="23">
        <f>IFERROR(__xludf.DUMMYFUNCTION("""COMPUTED_VALUE"""),0.053051893606248304)</f>
        <v>0.05305189361</v>
      </c>
      <c r="H118" s="4"/>
      <c r="I118" s="5" t="s">
        <v>1203</v>
      </c>
      <c r="J118" s="5" t="s">
        <v>959</v>
      </c>
      <c r="K118" s="5">
        <v>145.0</v>
      </c>
      <c r="L118" s="5">
        <v>-1.32899</v>
      </c>
      <c r="M118" s="5">
        <v>0.49211</v>
      </c>
      <c r="N118" s="5">
        <v>-0.83688</v>
      </c>
      <c r="O118" s="5">
        <v>0.05305</v>
      </c>
    </row>
    <row r="119">
      <c r="A119" s="12" t="str">
        <f>IFERROR(__xludf.DUMMYFUNCTION("""COMPUTED_VALUE"""),"Jan Barbaric")</f>
        <v>Jan Barbaric</v>
      </c>
      <c r="B119" s="13" t="str">
        <f>IFERROR(__xludf.DUMMYFUNCTION("""COMPUTED_VALUE"""),"OLI")</f>
        <v>OLI</v>
      </c>
      <c r="C119" s="14">
        <f>IFERROR(__xludf.DUMMYFUNCTION("""COMPUTED_VALUE"""),19.9)</f>
        <v>19.9</v>
      </c>
      <c r="D119" s="15">
        <f>IFERROR(__xludf.DUMMYFUNCTION("""COMPUTED_VALUE"""),-0.5141626041644052)</f>
        <v>-0.5141626042</v>
      </c>
      <c r="E119" s="15">
        <f>IFERROR(__xludf.DUMMYFUNCTION("""COMPUTED_VALUE"""),-0.32702181824421384)</f>
        <v>-0.3270218182</v>
      </c>
      <c r="F119" s="15">
        <f>IFERROR(__xludf.DUMMYFUNCTION("""COMPUTED_VALUE"""),-0.841184422408619)</f>
        <v>-0.8411844224</v>
      </c>
      <c r="G119" s="17">
        <f>IFERROR(__xludf.DUMMYFUNCTION("""COMPUTED_VALUE"""),0.006954592559244351)</f>
        <v>0.006954592559</v>
      </c>
      <c r="H119" s="4"/>
      <c r="I119" s="5" t="s">
        <v>1204</v>
      </c>
      <c r="J119" s="5" t="s">
        <v>711</v>
      </c>
      <c r="K119" s="5">
        <v>20.0</v>
      </c>
      <c r="L119" s="5">
        <v>-0.51416</v>
      </c>
      <c r="M119" s="5">
        <v>-0.32702</v>
      </c>
      <c r="N119" s="5">
        <v>-0.84118</v>
      </c>
      <c r="O119" s="5">
        <v>0.00695</v>
      </c>
    </row>
    <row r="120">
      <c r="A120" s="18" t="str">
        <f>IFERROR(__xludf.DUMMYFUNCTION("""COMPUTED_VALUE"""),"Aleksandar Ponjavic")</f>
        <v>Aleksandar Ponjavic</v>
      </c>
      <c r="B120" s="19" t="str">
        <f>IFERROR(__xludf.DUMMYFUNCTION("""COMPUTED_VALUE"""),"IGO")</f>
        <v>IGO</v>
      </c>
      <c r="C120" s="20">
        <f>IFERROR(__xludf.DUMMYFUNCTION("""COMPUTED_VALUE"""),251.5)</f>
        <v>251.5</v>
      </c>
      <c r="D120" s="21">
        <f>IFERROR(__xludf.DUMMYFUNCTION("""COMPUTED_VALUE"""),-1.363327774450023)</f>
        <v>-1.363327774</v>
      </c>
      <c r="E120" s="21">
        <f>IFERROR(__xludf.DUMMYFUNCTION("""COMPUTED_VALUE"""),0.4576493334031193)</f>
        <v>0.4576493334</v>
      </c>
      <c r="F120" s="21">
        <f>IFERROR(__xludf.DUMMYFUNCTION("""COMPUTED_VALUE"""),-0.9056784410469036)</f>
        <v>-0.905678441</v>
      </c>
      <c r="G120" s="23">
        <f>IFERROR(__xludf.DUMMYFUNCTION("""COMPUTED_VALUE"""),0.08346711104786408)</f>
        <v>0.08346711105</v>
      </c>
      <c r="H120" s="4"/>
      <c r="I120" s="5" t="s">
        <v>1206</v>
      </c>
      <c r="J120" s="5" t="s">
        <v>980</v>
      </c>
      <c r="K120" s="5">
        <v>252.0</v>
      </c>
      <c r="L120" s="5">
        <v>-1.36333</v>
      </c>
      <c r="M120" s="5">
        <v>0.45765</v>
      </c>
      <c r="N120" s="5">
        <v>-0.90568</v>
      </c>
      <c r="O120" s="5">
        <v>0.08347</v>
      </c>
    </row>
    <row r="121">
      <c r="A121" s="12" t="str">
        <f>IFERROR(__xludf.DUMMYFUNCTION("""COMPUTED_VALUE"""),"Nemanja Kapetanovic")</f>
        <v>Nemanja Kapetanovic</v>
      </c>
      <c r="B121" s="13" t="str">
        <f>IFERROR(__xludf.DUMMYFUNCTION("""COMPUTED_VALUE"""),"MEG")</f>
        <v>MEG</v>
      </c>
      <c r="C121" s="14">
        <f>IFERROR(__xludf.DUMMYFUNCTION("""COMPUTED_VALUE"""),20.5)</f>
        <v>20.5</v>
      </c>
      <c r="D121" s="15">
        <f>IFERROR(__xludf.DUMMYFUNCTION("""COMPUTED_VALUE"""),-0.8126661969080055)</f>
        <v>-0.8126661969</v>
      </c>
      <c r="E121" s="15">
        <f>IFERROR(__xludf.DUMMYFUNCTION("""COMPUTED_VALUE"""),-0.10577313480918715)</f>
        <v>-0.1057731348</v>
      </c>
      <c r="F121" s="15">
        <f>IFERROR(__xludf.DUMMYFUNCTION("""COMPUTED_VALUE"""),-0.9184393317171926)</f>
        <v>-0.9184393317</v>
      </c>
      <c r="G121" s="17">
        <f>IFERROR(__xludf.DUMMYFUNCTION("""COMPUTED_VALUE"""),0.006847054116756191)</f>
        <v>0.006847054117</v>
      </c>
      <c r="H121" s="4"/>
      <c r="I121" s="5" t="s">
        <v>1208</v>
      </c>
      <c r="J121" s="5" t="s">
        <v>934</v>
      </c>
      <c r="K121" s="5">
        <v>21.0</v>
      </c>
      <c r="L121" s="5">
        <v>-0.81267</v>
      </c>
      <c r="M121" s="5">
        <v>-0.10577</v>
      </c>
      <c r="N121" s="5">
        <v>-0.91844</v>
      </c>
      <c r="O121" s="5">
        <v>0.00685</v>
      </c>
    </row>
    <row r="122">
      <c r="A122" s="18" t="str">
        <f>IFERROR(__xludf.DUMMYFUNCTION("""COMPUTED_VALUE"""),"Ivan Novacic")</f>
        <v>Ivan Novacic</v>
      </c>
      <c r="B122" s="19" t="str">
        <f>IFERROR(__xludf.DUMMYFUNCTION("""COMPUTED_VALUE"""),"CIB")</f>
        <v>CIB</v>
      </c>
      <c r="C122" s="20">
        <f>IFERROR(__xludf.DUMMYFUNCTION("""COMPUTED_VALUE"""),418.7)</f>
        <v>418.7</v>
      </c>
      <c r="D122" s="21">
        <f>IFERROR(__xludf.DUMMYFUNCTION("""COMPUTED_VALUE"""),1.9323307234169098)</f>
        <v>1.932330723</v>
      </c>
      <c r="E122" s="21">
        <f>IFERROR(__xludf.DUMMYFUNCTION("""COMPUTED_VALUE"""),-2.8583015834776306)</f>
        <v>-2.858301583</v>
      </c>
      <c r="F122" s="21">
        <f>IFERROR(__xludf.DUMMYFUNCTION("""COMPUTED_VALUE"""),-0.925970860060721)</f>
        <v>-0.9259708601</v>
      </c>
      <c r="G122" s="23">
        <f>IFERROR(__xludf.DUMMYFUNCTION("""COMPUTED_VALUE"""),0.13672954054956377)</f>
        <v>0.1367295405</v>
      </c>
      <c r="H122" s="4"/>
      <c r="I122" s="5" t="s">
        <v>1210</v>
      </c>
      <c r="J122" s="5" t="s">
        <v>1115</v>
      </c>
      <c r="K122" s="5">
        <v>419.0</v>
      </c>
      <c r="L122" s="5">
        <v>1.93233</v>
      </c>
      <c r="M122" s="5">
        <v>-2.8583</v>
      </c>
      <c r="N122" s="5">
        <v>-0.92597</v>
      </c>
      <c r="O122" s="5">
        <v>0.13673</v>
      </c>
    </row>
    <row r="123">
      <c r="A123" s="12" t="str">
        <f>IFERROR(__xludf.DUMMYFUNCTION("""COMPUTED_VALUE"""),"Ivan Slutskii")</f>
        <v>Ivan Slutskii</v>
      </c>
      <c r="B123" s="13" t="str">
        <f>IFERROR(__xludf.DUMMYFUNCTION("""COMPUTED_VALUE"""),"FMP")</f>
        <v>FMP</v>
      </c>
      <c r="C123" s="14">
        <f>IFERROR(__xludf.DUMMYFUNCTION("""COMPUTED_VALUE"""),15.8)</f>
        <v>15.8</v>
      </c>
      <c r="D123" s="15">
        <f>IFERROR(__xludf.DUMMYFUNCTION("""COMPUTED_VALUE"""),-0.8900616654402588)</f>
        <v>-0.8900616654</v>
      </c>
      <c r="E123" s="15">
        <f>IFERROR(__xludf.DUMMYFUNCTION("""COMPUTED_VALUE"""),-0.05004886027779398)</f>
        <v>-0.05004886028</v>
      </c>
      <c r="F123" s="15">
        <f>IFERROR(__xludf.DUMMYFUNCTION("""COMPUTED_VALUE"""),-0.9401105257180528)</f>
        <v>-0.9401105257</v>
      </c>
      <c r="G123" s="17">
        <f>IFERROR(__xludf.DUMMYFUNCTION("""COMPUTED_VALUE"""),0.005275025339537132)</f>
        <v>0.00527502534</v>
      </c>
      <c r="H123" s="4"/>
      <c r="I123" s="5" t="s">
        <v>1213</v>
      </c>
      <c r="J123" s="5" t="s">
        <v>959</v>
      </c>
      <c r="K123" s="5">
        <v>16.0</v>
      </c>
      <c r="L123" s="5">
        <v>-0.89006</v>
      </c>
      <c r="M123" s="5">
        <v>-0.05005</v>
      </c>
      <c r="N123" s="5">
        <v>-0.94011</v>
      </c>
      <c r="O123" s="5">
        <v>0.00528</v>
      </c>
    </row>
    <row r="124">
      <c r="A124" s="18" t="str">
        <f>IFERROR(__xludf.DUMMYFUNCTION("""COMPUTED_VALUE"""),"Maverick Rowan")</f>
        <v>Maverick Rowan</v>
      </c>
      <c r="B124" s="19" t="str">
        <f>IFERROR(__xludf.DUMMYFUNCTION("""COMPUTED_VALUE"""),"FMP")</f>
        <v>FMP</v>
      </c>
      <c r="C124" s="20">
        <f>IFERROR(__xludf.DUMMYFUNCTION("""COMPUTED_VALUE"""),25.3)</f>
        <v>25.3</v>
      </c>
      <c r="D124" s="21">
        <f>IFERROR(__xludf.DUMMYFUNCTION("""COMPUTED_VALUE"""),-0.538247709122359)</f>
        <v>-0.5382477091</v>
      </c>
      <c r="E124" s="21">
        <f>IFERROR(__xludf.DUMMYFUNCTION("""COMPUTED_VALUE"""),-0.40851375376576093)</f>
        <v>-0.4085137538</v>
      </c>
      <c r="F124" s="21">
        <f>IFERROR(__xludf.DUMMYFUNCTION("""COMPUTED_VALUE"""),-0.9467614628881199)</f>
        <v>-0.9467614629</v>
      </c>
      <c r="G124" s="23">
        <f>IFERROR(__xludf.DUMMYFUNCTION("""COMPUTED_VALUE"""),0.008393713594633256)</f>
        <v>0.008393713595</v>
      </c>
      <c r="H124" s="4"/>
      <c r="I124" s="5" t="s">
        <v>1215</v>
      </c>
      <c r="J124" s="5" t="s">
        <v>959</v>
      </c>
      <c r="K124" s="5">
        <v>25.0</v>
      </c>
      <c r="L124" s="5">
        <v>-0.53825</v>
      </c>
      <c r="M124" s="5">
        <v>-0.40851</v>
      </c>
      <c r="N124" s="5">
        <v>-0.94676</v>
      </c>
      <c r="O124" s="5">
        <v>0.00839</v>
      </c>
    </row>
    <row r="125">
      <c r="A125" s="12" t="str">
        <f>IFERROR(__xludf.DUMMYFUNCTION("""COMPUTED_VALUE"""),"Billy Preston")</f>
        <v>Billy Preston</v>
      </c>
      <c r="B125" s="13" t="str">
        <f>IFERROR(__xludf.DUMMYFUNCTION("""COMPUTED_VALUE"""),"IGO")</f>
        <v>IGO</v>
      </c>
      <c r="C125" s="14">
        <f>IFERROR(__xludf.DUMMYFUNCTION("""COMPUTED_VALUE"""),47.3)</f>
        <v>47.3</v>
      </c>
      <c r="D125" s="15">
        <f>IFERROR(__xludf.DUMMYFUNCTION("""COMPUTED_VALUE"""),-0.9288116849995758)</f>
        <v>-0.928811685</v>
      </c>
      <c r="E125" s="15">
        <f>IFERROR(__xludf.DUMMYFUNCTION("""COMPUTED_VALUE"""),-0.028132951020338748)</f>
        <v>-0.02813295102</v>
      </c>
      <c r="F125" s="15">
        <f>IFERROR(__xludf.DUMMYFUNCTION("""COMPUTED_VALUE"""),-0.9569446360199145)</f>
        <v>-0.956944636</v>
      </c>
      <c r="G125" s="17">
        <f>IFERROR(__xludf.DUMMYFUNCTION("""COMPUTED_VALUE"""),0.01496238890947324)</f>
        <v>0.01496238891</v>
      </c>
      <c r="H125" s="4"/>
      <c r="I125" s="5" t="s">
        <v>1217</v>
      </c>
      <c r="J125" s="5" t="s">
        <v>980</v>
      </c>
      <c r="K125" s="5">
        <v>47.0</v>
      </c>
      <c r="L125" s="5">
        <v>-0.92881</v>
      </c>
      <c r="M125" s="5">
        <v>-0.02813</v>
      </c>
      <c r="N125" s="5">
        <v>-0.95694</v>
      </c>
      <c r="O125" s="5">
        <v>0.01496</v>
      </c>
    </row>
    <row r="126">
      <c r="A126" s="18" t="str">
        <f>IFERROR(__xludf.DUMMYFUNCTION("""COMPUTED_VALUE"""),"Boris Bakic")</f>
        <v>Boris Bakic</v>
      </c>
      <c r="B126" s="19" t="str">
        <f>IFERROR(__xludf.DUMMYFUNCTION("""COMPUTED_VALUE"""),"MOR")</f>
        <v>MOR</v>
      </c>
      <c r="C126" s="20">
        <f>IFERROR(__xludf.DUMMYFUNCTION("""COMPUTED_VALUE"""),412.2)</f>
        <v>412.2</v>
      </c>
      <c r="D126" s="21">
        <f>IFERROR(__xludf.DUMMYFUNCTION("""COMPUTED_VALUE"""),-0.5899714701171941)</f>
        <v>-0.5899714701</v>
      </c>
      <c r="E126" s="21">
        <f>IFERROR(__xludf.DUMMYFUNCTION("""COMPUTED_VALUE"""),-0.40520378776292243)</f>
        <v>-0.4052037878</v>
      </c>
      <c r="F126" s="21">
        <f>IFERROR(__xludf.DUMMYFUNCTION("""COMPUTED_VALUE"""),-0.9951752578801165)</f>
        <v>-0.9951752579</v>
      </c>
      <c r="G126" s="23">
        <f>IFERROR(__xludf.DUMMYFUNCTION("""COMPUTED_VALUE"""),0.12633264694447752)</f>
        <v>0.1263326469</v>
      </c>
      <c r="H126" s="4"/>
      <c r="I126" s="5" t="s">
        <v>1219</v>
      </c>
      <c r="J126" s="5" t="s">
        <v>921</v>
      </c>
      <c r="K126" s="5">
        <v>412.0</v>
      </c>
      <c r="L126" s="5">
        <v>-0.58997</v>
      </c>
      <c r="M126" s="5">
        <v>-0.4052</v>
      </c>
      <c r="N126" s="5">
        <v>-0.99518</v>
      </c>
      <c r="O126" s="5">
        <v>0.12633</v>
      </c>
    </row>
    <row r="127">
      <c r="A127" s="12" t="str">
        <f>IFERROR(__xludf.DUMMYFUNCTION("""COMPUTED_VALUE"""),"Igor Tratnik")</f>
        <v>Igor Tratnik</v>
      </c>
      <c r="B127" s="13" t="str">
        <f>IFERROR(__xludf.DUMMYFUNCTION("""COMPUTED_VALUE"""),"OLI")</f>
        <v>OLI</v>
      </c>
      <c r="C127" s="14">
        <f>IFERROR(__xludf.DUMMYFUNCTION("""COMPUTED_VALUE"""),78.3)</f>
        <v>78.3</v>
      </c>
      <c r="D127" s="15">
        <f>IFERROR(__xludf.DUMMYFUNCTION("""COMPUTED_VALUE"""),-0.9437979589403975)</f>
        <v>-0.9437979589</v>
      </c>
      <c r="E127" s="15">
        <f>IFERROR(__xludf.DUMMYFUNCTION("""COMPUTED_VALUE"""),-0.10304334276506122)</f>
        <v>-0.1030433428</v>
      </c>
      <c r="F127" s="15">
        <f>IFERROR(__xludf.DUMMYFUNCTION("""COMPUTED_VALUE"""),-1.0468413017054587)</f>
        <v>-1.046841302</v>
      </c>
      <c r="G127" s="17">
        <f>IFERROR(__xludf.DUMMYFUNCTION("""COMPUTED_VALUE"""),0.02250770778098976)</f>
        <v>0.02250770778</v>
      </c>
      <c r="H127" s="4"/>
      <c r="I127" s="5" t="s">
        <v>1222</v>
      </c>
      <c r="J127" s="5" t="s">
        <v>711</v>
      </c>
      <c r="K127" s="5">
        <v>78.0</v>
      </c>
      <c r="L127" s="5">
        <v>-0.9438</v>
      </c>
      <c r="M127" s="5">
        <v>-0.10304</v>
      </c>
      <c r="N127" s="5">
        <v>-1.04684</v>
      </c>
      <c r="O127" s="5">
        <v>0.02251</v>
      </c>
    </row>
    <row r="128">
      <c r="A128" s="18" t="str">
        <f>IFERROR(__xludf.DUMMYFUNCTION("""COMPUTED_VALUE"""),"Ante Gospic")</f>
        <v>Ante Gospic</v>
      </c>
      <c r="B128" s="19" t="str">
        <f>IFERROR(__xludf.DUMMYFUNCTION("""COMPUTED_VALUE"""),"CIB")</f>
        <v>CIB</v>
      </c>
      <c r="C128" s="20">
        <f>IFERROR(__xludf.DUMMYFUNCTION("""COMPUTED_VALUE"""),101.8)</f>
        <v>101.8</v>
      </c>
      <c r="D128" s="21">
        <f>IFERROR(__xludf.DUMMYFUNCTION("""COMPUTED_VALUE"""),-0.4344394798633891)</f>
        <v>-0.4344394799</v>
      </c>
      <c r="E128" s="21">
        <f>IFERROR(__xludf.DUMMYFUNCTION("""COMPUTED_VALUE"""),-0.6263622827818316)</f>
        <v>-0.6263622828</v>
      </c>
      <c r="F128" s="21">
        <f>IFERROR(__xludf.DUMMYFUNCTION("""COMPUTED_VALUE"""),-1.0608017626452206)</f>
        <v>-1.060801763</v>
      </c>
      <c r="G128" s="23">
        <f>IFERROR(__xludf.DUMMYFUNCTION("""COMPUTED_VALUE"""),0.029070223840465086)</f>
        <v>0.02907022384</v>
      </c>
      <c r="H128" s="4"/>
      <c r="I128" s="5" t="s">
        <v>1225</v>
      </c>
      <c r="J128" s="5" t="s">
        <v>1115</v>
      </c>
      <c r="K128" s="5">
        <v>102.0</v>
      </c>
      <c r="L128" s="5">
        <v>-0.43444</v>
      </c>
      <c r="M128" s="5">
        <v>-0.62636</v>
      </c>
      <c r="N128" s="5">
        <v>-1.0608</v>
      </c>
      <c r="O128" s="5">
        <v>0.02907</v>
      </c>
    </row>
    <row r="129">
      <c r="A129" s="12" t="str">
        <f>IFERROR(__xludf.DUMMYFUNCTION("""COMPUTED_VALUE"""),"Karviar Shepherd")</f>
        <v>Karviar Shepherd</v>
      </c>
      <c r="B129" s="13" t="str">
        <f>IFERROR(__xludf.DUMMYFUNCTION("""COMPUTED_VALUE"""),"MOR")</f>
        <v>MOR</v>
      </c>
      <c r="C129" s="14">
        <f>IFERROR(__xludf.DUMMYFUNCTION("""COMPUTED_VALUE"""),121.2)</f>
        <v>121.2</v>
      </c>
      <c r="D129" s="15">
        <f>IFERROR(__xludf.DUMMYFUNCTION("""COMPUTED_VALUE"""),-1.4464824004792096)</f>
        <v>-1.4464824</v>
      </c>
      <c r="E129" s="15">
        <f>IFERROR(__xludf.DUMMYFUNCTION("""COMPUTED_VALUE"""),0.3612457208638238)</f>
        <v>0.3612457209</v>
      </c>
      <c r="F129" s="15">
        <f>IFERROR(__xludf.DUMMYFUNCTION("""COMPUTED_VALUE"""),-1.0852366796153858)</f>
        <v>-1.08523668</v>
      </c>
      <c r="G129" s="17">
        <f>IFERROR(__xludf.DUMMYFUNCTION("""COMPUTED_VALUE"""),0.03381649951302208)</f>
        <v>0.03381649951</v>
      </c>
      <c r="H129" s="4"/>
      <c r="I129" s="5" t="s">
        <v>1227</v>
      </c>
      <c r="J129" s="5" t="s">
        <v>921</v>
      </c>
      <c r="K129" s="5">
        <v>121.0</v>
      </c>
      <c r="L129" s="5">
        <v>-1.44648</v>
      </c>
      <c r="M129" s="5">
        <v>0.36125</v>
      </c>
      <c r="N129" s="5">
        <v>-1.08524</v>
      </c>
      <c r="O129" s="5">
        <v>0.03382</v>
      </c>
    </row>
    <row r="130">
      <c r="A130" s="18" t="str">
        <f>IFERROR(__xludf.DUMMYFUNCTION("""COMPUTED_VALUE"""),"Boban Stajic")</f>
        <v>Boban Stajic</v>
      </c>
      <c r="B130" s="19" t="str">
        <f>IFERROR(__xludf.DUMMYFUNCTION("""COMPUTED_VALUE"""),"MZT")</f>
        <v>MZT</v>
      </c>
      <c r="C130" s="20">
        <f>IFERROR(__xludf.DUMMYFUNCTION("""COMPUTED_VALUE"""),76.6)</f>
        <v>76.6</v>
      </c>
      <c r="D130" s="21">
        <f>IFERROR(__xludf.DUMMYFUNCTION("""COMPUTED_VALUE"""),-0.1770172850958064)</f>
        <v>-0.1770172851</v>
      </c>
      <c r="E130" s="21">
        <f>IFERROR(__xludf.DUMMYFUNCTION("""COMPUTED_VALUE"""),-0.9559394049083753)</f>
        <v>-0.9559394049</v>
      </c>
      <c r="F130" s="21">
        <f>IFERROR(__xludf.DUMMYFUNCTION("""COMPUTED_VALUE"""),-1.1329566900041816)</f>
        <v>-1.13295669</v>
      </c>
      <c r="G130" s="23">
        <f>IFERROR(__xludf.DUMMYFUNCTION("""COMPUTED_VALUE"""),0.02043674434029626)</f>
        <v>0.02043674434</v>
      </c>
      <c r="H130" s="4"/>
      <c r="I130" s="5" t="s">
        <v>1229</v>
      </c>
      <c r="J130" s="5" t="s">
        <v>1136</v>
      </c>
      <c r="K130" s="5">
        <v>77.0</v>
      </c>
      <c r="L130" s="5">
        <v>-0.17702</v>
      </c>
      <c r="M130" s="5">
        <v>-0.95594</v>
      </c>
      <c r="N130" s="5">
        <v>-1.13296</v>
      </c>
      <c r="O130" s="5">
        <v>0.02044</v>
      </c>
    </row>
    <row r="131">
      <c r="A131" s="12" t="str">
        <f>IFERROR(__xludf.DUMMYFUNCTION("""COMPUTED_VALUE"""),"Roko Badzim")</f>
        <v>Roko Badzim</v>
      </c>
      <c r="B131" s="13" t="str">
        <f>IFERROR(__xludf.DUMMYFUNCTION("""COMPUTED_VALUE"""),"OLI")</f>
        <v>OLI</v>
      </c>
      <c r="C131" s="14">
        <f>IFERROR(__xludf.DUMMYFUNCTION("""COMPUTED_VALUE"""),391.9)</f>
        <v>391.9</v>
      </c>
      <c r="D131" s="15">
        <f>IFERROR(__xludf.DUMMYFUNCTION("""COMPUTED_VALUE"""),-0.13662926936077957)</f>
        <v>-0.1366292694</v>
      </c>
      <c r="E131" s="15">
        <f>IFERROR(__xludf.DUMMYFUNCTION("""COMPUTED_VALUE"""),-1.132231898954456)</f>
        <v>-1.132231899</v>
      </c>
      <c r="F131" s="15">
        <f>IFERROR(__xludf.DUMMYFUNCTION("""COMPUTED_VALUE"""),-1.2688611683152355)</f>
        <v>-1.268861168</v>
      </c>
      <c r="G131" s="17">
        <f>IFERROR(__xludf.DUMMYFUNCTION("""COMPUTED_VALUE"""),0.08641306399141788)</f>
        <v>0.08641306399</v>
      </c>
      <c r="H131" s="4"/>
      <c r="I131" s="5" t="s">
        <v>1231</v>
      </c>
      <c r="J131" s="5" t="s">
        <v>711</v>
      </c>
      <c r="K131" s="5">
        <v>392.0</v>
      </c>
      <c r="L131" s="5">
        <v>-0.13663</v>
      </c>
      <c r="M131" s="5">
        <v>-1.13223</v>
      </c>
      <c r="N131" s="5">
        <v>-1.26886</v>
      </c>
      <c r="O131" s="5">
        <v>0.08641</v>
      </c>
    </row>
    <row r="132">
      <c r="A132" s="18" t="str">
        <f>IFERROR(__xludf.DUMMYFUNCTION("""COMPUTED_VALUE"""),"Toni Perkovic")</f>
        <v>Toni Perkovic</v>
      </c>
      <c r="B132" s="19" t="str">
        <f>IFERROR(__xludf.DUMMYFUNCTION("""COMPUTED_VALUE"""),"CED")</f>
        <v>CED</v>
      </c>
      <c r="C132" s="20">
        <f>IFERROR(__xludf.DUMMYFUNCTION("""COMPUTED_VALUE"""),17.2)</f>
        <v>17.2</v>
      </c>
      <c r="D132" s="21">
        <f>IFERROR(__xludf.DUMMYFUNCTION("""COMPUTED_VALUE"""),-1.13995348150275)</f>
        <v>-1.139953482</v>
      </c>
      <c r="E132" s="21">
        <f>IFERROR(__xludf.DUMMYFUNCTION("""COMPUTED_VALUE"""),-0.1649909312031106)</f>
        <v>-0.1649909312</v>
      </c>
      <c r="F132" s="21">
        <f>IFERROR(__xludf.DUMMYFUNCTION("""COMPUTED_VALUE"""),-1.3049444127058607)</f>
        <v>-1.304944413</v>
      </c>
      <c r="G132" s="23">
        <f>IFERROR(__xludf.DUMMYFUNCTION("""COMPUTED_VALUE"""),0.0036100032580615535)</f>
        <v>0.003610003258</v>
      </c>
      <c r="H132" s="4"/>
      <c r="I132" s="5" t="s">
        <v>1233</v>
      </c>
      <c r="J132" s="5" t="s">
        <v>928</v>
      </c>
      <c r="K132" s="5">
        <v>17.0</v>
      </c>
      <c r="L132" s="5">
        <v>-1.13995</v>
      </c>
      <c r="M132" s="5">
        <v>-0.16499</v>
      </c>
      <c r="N132" s="5">
        <v>-1.30494</v>
      </c>
      <c r="O132" s="5">
        <v>0.00361</v>
      </c>
    </row>
    <row r="133">
      <c r="A133" s="12" t="str">
        <f>IFERROR(__xludf.DUMMYFUNCTION("""COMPUTED_VALUE"""),"Josip Bilinovac")</f>
        <v>Josip Bilinovac</v>
      </c>
      <c r="B133" s="13" t="str">
        <f>IFERROR(__xludf.DUMMYFUNCTION("""COMPUTED_VALUE"""),"CIB")</f>
        <v>CIB</v>
      </c>
      <c r="C133" s="14">
        <f>IFERROR(__xludf.DUMMYFUNCTION("""COMPUTED_VALUE"""),401.2)</f>
        <v>401.2</v>
      </c>
      <c r="D133" s="15">
        <f>IFERROR(__xludf.DUMMYFUNCTION("""COMPUTED_VALUE"""),-0.7416387654546038)</f>
        <v>-0.7416387655</v>
      </c>
      <c r="E133" s="15">
        <f>IFERROR(__xludf.DUMMYFUNCTION("""COMPUTED_VALUE"""),-0.5741709639895457)</f>
        <v>-0.574170964</v>
      </c>
      <c r="F133" s="15">
        <f>IFERROR(__xludf.DUMMYFUNCTION("""COMPUTED_VALUE"""),-1.3158097294441495)</f>
        <v>-1.315809729</v>
      </c>
      <c r="G133" s="17">
        <f>IFERROR(__xludf.DUMMYFUNCTION("""COMPUTED_VALUE"""),0.0834605317542257)</f>
        <v>0.08346053175</v>
      </c>
      <c r="H133" s="4"/>
      <c r="I133" s="5" t="s">
        <v>1234</v>
      </c>
      <c r="J133" s="5" t="s">
        <v>1115</v>
      </c>
      <c r="K133" s="5">
        <v>401.0</v>
      </c>
      <c r="L133" s="5">
        <v>-0.74164</v>
      </c>
      <c r="M133" s="5">
        <v>-0.57417</v>
      </c>
      <c r="N133" s="5">
        <v>-1.31581</v>
      </c>
      <c r="O133" s="5">
        <v>0.08346</v>
      </c>
    </row>
    <row r="134">
      <c r="A134" s="18" t="str">
        <f>IFERROR(__xludf.DUMMYFUNCTION("""COMPUTED_VALUE"""),"Nik Slavica")</f>
        <v>Nik Slavica</v>
      </c>
      <c r="B134" s="19" t="str">
        <f>IFERROR(__xludf.DUMMYFUNCTION("""COMPUTED_VALUE"""),"CED")</f>
        <v>CED</v>
      </c>
      <c r="C134" s="20">
        <f>IFERROR(__xludf.DUMMYFUNCTION("""COMPUTED_VALUE"""),69.0)</f>
        <v>69</v>
      </c>
      <c r="D134" s="21">
        <f>IFERROR(__xludf.DUMMYFUNCTION("""COMPUTED_VALUE"""),-1.4880769920692223)</f>
        <v>-1.488076992</v>
      </c>
      <c r="E134" s="21">
        <f>IFERROR(__xludf.DUMMYFUNCTION("""COMPUTED_VALUE"""),0.17036568312800227)</f>
        <v>0.1703656831</v>
      </c>
      <c r="F134" s="21">
        <f>IFERROR(__xludf.DUMMYFUNCTION("""COMPUTED_VALUE"""),-1.31771130894122)</f>
        <v>-1.317711309</v>
      </c>
      <c r="G134" s="23">
        <f>IFERROR(__xludf.DUMMYFUNCTION("""COMPUTED_VALUE"""),0.014215982224965907)</f>
        <v>0.01421598222</v>
      </c>
      <c r="H134" s="4"/>
      <c r="I134" s="5" t="s">
        <v>1236</v>
      </c>
      <c r="J134" s="5" t="s">
        <v>928</v>
      </c>
      <c r="K134" s="5">
        <v>69.0</v>
      </c>
      <c r="L134" s="5">
        <v>-1.48808</v>
      </c>
      <c r="M134" s="5">
        <v>0.17037</v>
      </c>
      <c r="N134" s="5">
        <v>-1.31771</v>
      </c>
      <c r="O134" s="5">
        <v>0.01422</v>
      </c>
    </row>
    <row r="135">
      <c r="A135" s="12" t="str">
        <f>IFERROR(__xludf.DUMMYFUNCTION("""COMPUTED_VALUE"""),"Jan Span")</f>
        <v>Jan Span</v>
      </c>
      <c r="B135" s="13" t="str">
        <f>IFERROR(__xludf.DUMMYFUNCTION("""COMPUTED_VALUE"""),"OLI")</f>
        <v>OLI</v>
      </c>
      <c r="C135" s="14">
        <f>IFERROR(__xludf.DUMMYFUNCTION("""COMPUTED_VALUE"""),538.5)</f>
        <v>538.5</v>
      </c>
      <c r="D135" s="15">
        <f>IFERROR(__xludf.DUMMYFUNCTION("""COMPUTED_VALUE"""),0.02074254640457207)</f>
        <v>0.0207425464</v>
      </c>
      <c r="E135" s="15">
        <f>IFERROR(__xludf.DUMMYFUNCTION("""COMPUTED_VALUE"""),-1.3861156220477349)</f>
        <v>-1.386115622</v>
      </c>
      <c r="F135" s="15">
        <f>IFERROR(__xludf.DUMMYFUNCTION("""COMPUTED_VALUE"""),-1.3653730756431628)</f>
        <v>-1.365373076</v>
      </c>
      <c r="G135" s="17">
        <f>IFERROR(__xludf.DUMMYFUNCTION("""COMPUTED_VALUE"""),0.1030643554147736)</f>
        <v>0.1030643554</v>
      </c>
      <c r="H135" s="4"/>
      <c r="I135" s="5" t="s">
        <v>1238</v>
      </c>
      <c r="J135" s="5" t="s">
        <v>711</v>
      </c>
      <c r="K135" s="5">
        <v>539.0</v>
      </c>
      <c r="L135" s="5">
        <v>0.02074</v>
      </c>
      <c r="M135" s="5">
        <v>-1.38612</v>
      </c>
      <c r="N135" s="5">
        <v>-1.36537</v>
      </c>
      <c r="O135" s="5">
        <v>0.10306</v>
      </c>
    </row>
    <row r="136">
      <c r="A136" s="18" t="str">
        <f>IFERROR(__xludf.DUMMYFUNCTION("""COMPUTED_VALUE"""),"Marin Rozic")</f>
        <v>Marin Rozic</v>
      </c>
      <c r="B136" s="19" t="str">
        <f>IFERROR(__xludf.DUMMYFUNCTION("""COMPUTED_VALUE"""),"CIB")</f>
        <v>CIB</v>
      </c>
      <c r="C136" s="20">
        <f>IFERROR(__xludf.DUMMYFUNCTION("""COMPUTED_VALUE"""),558.4)</f>
        <v>558.4</v>
      </c>
      <c r="D136" s="21">
        <f>IFERROR(__xludf.DUMMYFUNCTION("""COMPUTED_VALUE"""),-1.7989470679653246)</f>
        <v>-1.798947068</v>
      </c>
      <c r="E136" s="21">
        <f>IFERROR(__xludf.DUMMYFUNCTION("""COMPUTED_VALUE"""),0.3698782060328234)</f>
        <v>0.369878206</v>
      </c>
      <c r="F136" s="21">
        <f>IFERROR(__xludf.DUMMYFUNCTION("""COMPUTED_VALUE"""),-1.4290688619325012)</f>
        <v>-1.429068862</v>
      </c>
      <c r="G136" s="23">
        <f>IFERROR(__xludf.DUMMYFUNCTION("""COMPUTED_VALUE"""),0.09693318174562185)</f>
        <v>0.09693318175</v>
      </c>
      <c r="H136" s="4"/>
      <c r="I136" s="5" t="s">
        <v>1240</v>
      </c>
      <c r="J136" s="5" t="s">
        <v>1115</v>
      </c>
      <c r="K136" s="5">
        <v>558.0</v>
      </c>
      <c r="L136" s="5">
        <v>-1.79895</v>
      </c>
      <c r="M136" s="5">
        <v>0.36988</v>
      </c>
      <c r="N136" s="5">
        <v>-1.42907</v>
      </c>
      <c r="O136" s="5">
        <v>0.09693</v>
      </c>
    </row>
    <row r="137">
      <c r="A137" s="12" t="str">
        <f>IFERROR(__xludf.DUMMYFUNCTION("""COMPUTED_VALUE"""),"Filip Barovic")</f>
        <v>Filip Barovic</v>
      </c>
      <c r="B137" s="13" t="str">
        <f>IFERROR(__xludf.DUMMYFUNCTION("""COMPUTED_VALUE"""),"BUD")</f>
        <v>BUD</v>
      </c>
      <c r="C137" s="14">
        <f>IFERROR(__xludf.DUMMYFUNCTION("""COMPUTED_VALUE"""),231.7)</f>
        <v>231.7</v>
      </c>
      <c r="D137" s="15">
        <f>IFERROR(__xludf.DUMMYFUNCTION("""COMPUTED_VALUE"""),-3.6330134139681345)</f>
        <v>-3.633013414</v>
      </c>
      <c r="E137" s="15">
        <f>IFERROR(__xludf.DUMMYFUNCTION("""COMPUTED_VALUE"""),2.1523798100500096)</f>
        <v>2.15237981</v>
      </c>
      <c r="F137" s="15">
        <f>IFERROR(__xludf.DUMMYFUNCTION("""COMPUTED_VALUE"""),-1.480633603918125)</f>
        <v>-1.480633604</v>
      </c>
      <c r="G137" s="17">
        <f>IFERROR(__xludf.DUMMYFUNCTION("""COMPUTED_VALUE"""),0.03670335648974326)</f>
        <v>0.03670335649</v>
      </c>
      <c r="H137" s="4"/>
      <c r="I137" s="5" t="s">
        <v>1242</v>
      </c>
      <c r="J137" s="5" t="s">
        <v>914</v>
      </c>
      <c r="K137" s="5">
        <v>232.0</v>
      </c>
      <c r="L137" s="5">
        <v>-3.63301</v>
      </c>
      <c r="M137" s="5">
        <v>2.15238</v>
      </c>
      <c r="N137" s="5">
        <v>-1.48063</v>
      </c>
      <c r="O137" s="5">
        <v>0.0367</v>
      </c>
    </row>
    <row r="138">
      <c r="A138" s="18" t="str">
        <f>IFERROR(__xludf.DUMMYFUNCTION("""COMPUTED_VALUE"""),"Daniel Jansen")</f>
        <v>Daniel Jansen</v>
      </c>
      <c r="B138" s="19" t="str">
        <f>IFERROR(__xludf.DUMMYFUNCTION("""COMPUTED_VALUE"""),"MZT")</f>
        <v>MZT</v>
      </c>
      <c r="C138" s="20">
        <f>IFERROR(__xludf.DUMMYFUNCTION("""COMPUTED_VALUE"""),73.3)</f>
        <v>73.3</v>
      </c>
      <c r="D138" s="21">
        <f>IFERROR(__xludf.DUMMYFUNCTION("""COMPUTED_VALUE"""),-1.1648102351804108)</f>
        <v>-1.164810235</v>
      </c>
      <c r="E138" s="21">
        <f>IFERROR(__xludf.DUMMYFUNCTION("""COMPUTED_VALUE"""),-0.3609232603575816)</f>
        <v>-0.3609232604</v>
      </c>
      <c r="F138" s="21">
        <f>IFERROR(__xludf.DUMMYFUNCTION("""COMPUTED_VALUE"""),-1.5257334955379924)</f>
        <v>-1.525733496</v>
      </c>
      <c r="G138" s="23">
        <f>IFERROR(__xludf.DUMMYFUNCTION("""COMPUTED_VALUE"""),0.010697162142327708)</f>
        <v>0.01069716214</v>
      </c>
      <c r="H138" s="4"/>
      <c r="I138" s="5" t="s">
        <v>1244</v>
      </c>
      <c r="J138" s="5" t="s">
        <v>1136</v>
      </c>
      <c r="K138" s="5">
        <v>73.0</v>
      </c>
      <c r="L138" s="5">
        <v>-1.16481</v>
      </c>
      <c r="M138" s="5">
        <v>-0.36092</v>
      </c>
      <c r="N138" s="5">
        <v>-1.52573</v>
      </c>
      <c r="O138" s="5">
        <v>0.0107</v>
      </c>
    </row>
    <row r="139">
      <c r="A139" s="12" t="str">
        <f>IFERROR(__xludf.DUMMYFUNCTION("""COMPUTED_VALUE"""),"Kostja Mushidi")</f>
        <v>Kostja Mushidi</v>
      </c>
      <c r="B139" s="13" t="str">
        <f>IFERROR(__xludf.DUMMYFUNCTION("""COMPUTED_VALUE"""),"MEG")</f>
        <v>MEG</v>
      </c>
      <c r="C139" s="14">
        <f>IFERROR(__xludf.DUMMYFUNCTION("""COMPUTED_VALUE"""),262.4)</f>
        <v>262.4</v>
      </c>
      <c r="D139" s="15">
        <f>IFERROR(__xludf.DUMMYFUNCTION("""COMPUTED_VALUE"""),-1.236698575306484)</f>
        <v>-1.236698575</v>
      </c>
      <c r="E139" s="15">
        <f>IFERROR(__xludf.DUMMYFUNCTION("""COMPUTED_VALUE"""),-0.30401018123267076)</f>
        <v>-0.3040101812</v>
      </c>
      <c r="F139" s="15">
        <f>IFERROR(__xludf.DUMMYFUNCTION("""COMPUTED_VALUE"""),-1.5407087565391548)</f>
        <v>-1.540708757</v>
      </c>
      <c r="G139" s="17">
        <f>IFERROR(__xludf.DUMMYFUNCTION("""COMPUTED_VALUE"""),0.03721782676816169)</f>
        <v>0.03721782677</v>
      </c>
      <c r="H139" s="4"/>
      <c r="I139" s="5" t="s">
        <v>1246</v>
      </c>
      <c r="J139" s="5" t="s">
        <v>934</v>
      </c>
      <c r="K139" s="5">
        <v>262.0</v>
      </c>
      <c r="L139" s="5">
        <v>-1.2367</v>
      </c>
      <c r="M139" s="5">
        <v>-0.30401</v>
      </c>
      <c r="N139" s="5">
        <v>-1.54071</v>
      </c>
      <c r="O139" s="5">
        <v>0.03722</v>
      </c>
    </row>
    <row r="140">
      <c r="A140" s="18" t="str">
        <f>IFERROR(__xludf.DUMMYFUNCTION("""COMPUTED_VALUE"""),"Nikola Gajic")</f>
        <v>Nikola Gajic</v>
      </c>
      <c r="B140" s="19" t="str">
        <f>IFERROR(__xludf.DUMMYFUNCTION("""COMPUTED_VALUE"""),"IGO")</f>
        <v>IGO</v>
      </c>
      <c r="C140" s="20">
        <f>IFERROR(__xludf.DUMMYFUNCTION("""COMPUTED_VALUE"""),266.0)</f>
        <v>266</v>
      </c>
      <c r="D140" s="21">
        <f>IFERROR(__xludf.DUMMYFUNCTION("""COMPUTED_VALUE"""),-3.1857352406776354)</f>
        <v>-3.185735241</v>
      </c>
      <c r="E140" s="21">
        <f>IFERROR(__xludf.DUMMYFUNCTION("""COMPUTED_VALUE"""),1.6305039188707138)</f>
        <v>1.630503919</v>
      </c>
      <c r="F140" s="21">
        <f>IFERROR(__xludf.DUMMYFUNCTION("""COMPUTED_VALUE"""),-1.5552313218069216)</f>
        <v>-1.555231322</v>
      </c>
      <c r="G140" s="23">
        <f>IFERROR(__xludf.DUMMYFUNCTION("""COMPUTED_VALUE"""),0.035879655912811684)</f>
        <v>0.03587965591</v>
      </c>
      <c r="H140" s="4"/>
      <c r="I140" s="5" t="s">
        <v>1248</v>
      </c>
      <c r="J140" s="5" t="s">
        <v>980</v>
      </c>
      <c r="K140" s="5">
        <v>266.0</v>
      </c>
      <c r="L140" s="5">
        <v>-3.18574</v>
      </c>
      <c r="M140" s="5">
        <v>1.6305</v>
      </c>
      <c r="N140" s="5">
        <v>-1.55523</v>
      </c>
      <c r="O140" s="5">
        <v>0.03588</v>
      </c>
    </row>
    <row r="141">
      <c r="A141" s="12" t="str">
        <f>IFERROR(__xludf.DUMMYFUNCTION("""COMPUTED_VALUE"""),"Adem Mekic")</f>
        <v>Adem Mekic</v>
      </c>
      <c r="B141" s="13" t="str">
        <f>IFERROR(__xludf.DUMMYFUNCTION("""COMPUTED_VALUE"""),"MZT")</f>
        <v>MZT</v>
      </c>
      <c r="C141" s="14">
        <f>IFERROR(__xludf.DUMMYFUNCTION("""COMPUTED_VALUE"""),71.0)</f>
        <v>71</v>
      </c>
      <c r="D141" s="15">
        <f>IFERROR(__xludf.DUMMYFUNCTION("""COMPUTED_VALUE"""),-1.1539385766535246)</f>
        <v>-1.153938577</v>
      </c>
      <c r="E141" s="15">
        <f>IFERROR(__xludf.DUMMYFUNCTION("""COMPUTED_VALUE"""),-0.4116217030013245)</f>
        <v>-0.411621703</v>
      </c>
      <c r="F141" s="15">
        <f>IFERROR(__xludf.DUMMYFUNCTION("""COMPUTED_VALUE"""),-1.5655602796548491)</f>
        <v>-1.56556028</v>
      </c>
      <c r="G141" s="17">
        <f>IFERROR(__xludf.DUMMYFUNCTION("""COMPUTED_VALUE"""),0.009491394504000595)</f>
        <v>0.009491394504</v>
      </c>
      <c r="H141" s="4"/>
      <c r="I141" s="5" t="s">
        <v>1250</v>
      </c>
      <c r="J141" s="5" t="s">
        <v>1136</v>
      </c>
      <c r="K141" s="5">
        <v>71.0</v>
      </c>
      <c r="L141" s="5">
        <v>-1.15394</v>
      </c>
      <c r="M141" s="5">
        <v>-0.41162</v>
      </c>
      <c r="N141" s="5">
        <v>-1.56556</v>
      </c>
      <c r="O141" s="5">
        <v>0.00949</v>
      </c>
    </row>
    <row r="142">
      <c r="A142" s="18" t="str">
        <f>IFERROR(__xludf.DUMMYFUNCTION("""COMPUTED_VALUE"""),"Jure Lalic")</f>
        <v>Jure Lalic</v>
      </c>
      <c r="B142" s="19" t="str">
        <f>IFERROR(__xludf.DUMMYFUNCTION("""COMPUTED_VALUE"""),"MZT")</f>
        <v>MZT</v>
      </c>
      <c r="C142" s="20">
        <f>IFERROR(__xludf.DUMMYFUNCTION("""COMPUTED_VALUE"""),515.6)</f>
        <v>515.6</v>
      </c>
      <c r="D142" s="21">
        <f>IFERROR(__xludf.DUMMYFUNCTION("""COMPUTED_VALUE"""),1.3321900910455127)</f>
        <v>1.332190091</v>
      </c>
      <c r="E142" s="21">
        <f>IFERROR(__xludf.DUMMYFUNCTION("""COMPUTED_VALUE"""),-2.899189296342093)</f>
        <v>-2.899189296</v>
      </c>
      <c r="F142" s="21">
        <f>IFERROR(__xludf.DUMMYFUNCTION("""COMPUTED_VALUE"""),-1.56699920529658)</f>
        <v>-1.566999205</v>
      </c>
      <c r="G142" s="23">
        <f>IFERROR(__xludf.DUMMYFUNCTION("""COMPUTED_VALUE"""),0.06869794609585227)</f>
        <v>0.0686979461</v>
      </c>
      <c r="H142" s="4"/>
      <c r="I142" s="5" t="s">
        <v>1252</v>
      </c>
      <c r="J142" s="5" t="s">
        <v>1136</v>
      </c>
      <c r="K142" s="5">
        <v>516.0</v>
      </c>
      <c r="L142" s="5">
        <v>1.33219</v>
      </c>
      <c r="M142" s="5">
        <v>-2.89919</v>
      </c>
      <c r="N142" s="5">
        <v>-1.567</v>
      </c>
      <c r="O142" s="5">
        <v>0.0687</v>
      </c>
    </row>
    <row r="143">
      <c r="A143" s="12" t="str">
        <f>IFERROR(__xludf.DUMMYFUNCTION("""COMPUTED_VALUE"""),"Domagoj Bosnjak")</f>
        <v>Domagoj Bosnjak</v>
      </c>
      <c r="B143" s="13" t="str">
        <f>IFERROR(__xludf.DUMMYFUNCTION("""COMPUTED_VALUE"""),"CIB")</f>
        <v>CIB</v>
      </c>
      <c r="C143" s="14">
        <f>IFERROR(__xludf.DUMMYFUNCTION("""COMPUTED_VALUE"""),479.0)</f>
        <v>479</v>
      </c>
      <c r="D143" s="15">
        <f>IFERROR(__xludf.DUMMYFUNCTION("""COMPUTED_VALUE"""),-0.373555535914758)</f>
        <v>-0.3735555359</v>
      </c>
      <c r="E143" s="15">
        <f>IFERROR(__xludf.DUMMYFUNCTION("""COMPUTED_VALUE"""),-1.2096627420907955)</f>
        <v>-1.209662742</v>
      </c>
      <c r="F143" s="15">
        <f>IFERROR(__xludf.DUMMYFUNCTION("""COMPUTED_VALUE"""),-1.5832182780055535)</f>
        <v>-1.583218278</v>
      </c>
      <c r="G143" s="17">
        <f>IFERROR(__xludf.DUMMYFUNCTION("""COMPUTED_VALUE"""),0.06069983451973385)</f>
        <v>0.06069983452</v>
      </c>
      <c r="H143" s="4"/>
      <c r="I143" s="5" t="s">
        <v>1254</v>
      </c>
      <c r="J143" s="5" t="s">
        <v>1115</v>
      </c>
      <c r="K143" s="5">
        <v>479.0</v>
      </c>
      <c r="L143" s="5">
        <v>-0.37356</v>
      </c>
      <c r="M143" s="5">
        <v>-1.20966</v>
      </c>
      <c r="N143" s="5">
        <v>-1.58322</v>
      </c>
      <c r="O143" s="5">
        <v>0.0607</v>
      </c>
    </row>
    <row r="144">
      <c r="A144" s="18" t="str">
        <f>IFERROR(__xludf.DUMMYFUNCTION("""COMPUTED_VALUE"""),"Kwame Vaughn")</f>
        <v>Kwame Vaughn</v>
      </c>
      <c r="B144" s="19" t="str">
        <f>IFERROR(__xludf.DUMMYFUNCTION("""COMPUTED_VALUE"""),"PAR")</f>
        <v>PAR</v>
      </c>
      <c r="C144" s="20">
        <f>IFERROR(__xludf.DUMMYFUNCTION("""COMPUTED_VALUE"""),151.6)</f>
        <v>151.6</v>
      </c>
      <c r="D144" s="21">
        <f>IFERROR(__xludf.DUMMYFUNCTION("""COMPUTED_VALUE"""),-0.3466293000897001)</f>
        <v>-0.3466293001</v>
      </c>
      <c r="E144" s="21">
        <f>IFERROR(__xludf.DUMMYFUNCTION("""COMPUTED_VALUE"""),-1.2852684024534349)</f>
        <v>-1.285268402</v>
      </c>
      <c r="F144" s="21">
        <f>IFERROR(__xludf.DUMMYFUNCTION("""COMPUTED_VALUE"""),-1.631897702543135)</f>
        <v>-1.631897703</v>
      </c>
      <c r="G144" s="23">
        <f>IFERROR(__xludf.DUMMYFUNCTION("""COMPUTED_VALUE"""),0.016924271558144313)</f>
        <v>0.01692427156</v>
      </c>
      <c r="H144" s="4"/>
      <c r="I144" s="5" t="s">
        <v>1032</v>
      </c>
      <c r="J144" s="5" t="s">
        <v>962</v>
      </c>
      <c r="K144" s="5">
        <v>152.0</v>
      </c>
      <c r="L144" s="5">
        <v>-0.34663</v>
      </c>
      <c r="M144" s="5">
        <v>-1.28527</v>
      </c>
      <c r="N144" s="5">
        <v>-1.6319</v>
      </c>
      <c r="O144" s="5">
        <v>0.01692</v>
      </c>
    </row>
    <row r="145">
      <c r="A145" s="12" t="str">
        <f>IFERROR(__xludf.DUMMYFUNCTION("""COMPUTED_VALUE"""),"Obrad Tomic")</f>
        <v>Obrad Tomic</v>
      </c>
      <c r="B145" s="13" t="str">
        <f>IFERROR(__xludf.DUMMYFUNCTION("""COMPUTED_VALUE"""),"PAR")</f>
        <v>PAR</v>
      </c>
      <c r="C145" s="14">
        <f>IFERROR(__xludf.DUMMYFUNCTION("""COMPUTED_VALUE"""),28.5)</f>
        <v>28.5</v>
      </c>
      <c r="D145" s="15">
        <f>IFERROR(__xludf.DUMMYFUNCTION("""COMPUTED_VALUE"""),-1.2646181540506791)</f>
        <v>-1.264618154</v>
      </c>
      <c r="E145" s="15">
        <f>IFERROR(__xludf.DUMMYFUNCTION("""COMPUTED_VALUE"""),-0.38359686742860966)</f>
        <v>-0.3835968674</v>
      </c>
      <c r="F145" s="15">
        <f>IFERROR(__xludf.DUMMYFUNCTION("""COMPUTED_VALUE"""),-1.6482150214792888)</f>
        <v>-1.648215021</v>
      </c>
      <c r="G145" s="17">
        <f>IFERROR(__xludf.DUMMYFUNCTION("""COMPUTED_VALUE"""),0.003040635815099183)</f>
        <v>0.003040635815</v>
      </c>
      <c r="H145" s="4"/>
      <c r="I145" s="5" t="s">
        <v>1257</v>
      </c>
      <c r="J145" s="5" t="s">
        <v>962</v>
      </c>
      <c r="K145" s="5">
        <v>29.0</v>
      </c>
      <c r="L145" s="5">
        <v>-1.26462</v>
      </c>
      <c r="M145" s="5">
        <v>-0.3836</v>
      </c>
      <c r="N145" s="5">
        <v>-1.64822</v>
      </c>
      <c r="O145" s="5">
        <v>0.00304</v>
      </c>
    </row>
    <row r="146">
      <c r="A146" s="18" t="str">
        <f>IFERROR(__xludf.DUMMYFUNCTION("""COMPUTED_VALUE"""),"Talor Battle")</f>
        <v>Talor Battle</v>
      </c>
      <c r="B146" s="19" t="str">
        <f>IFERROR(__xludf.DUMMYFUNCTION("""COMPUTED_VALUE"""),"OLI")</f>
        <v>OLI</v>
      </c>
      <c r="C146" s="20">
        <f>IFERROR(__xludf.DUMMYFUNCTION("""COMPUTED_VALUE"""),320.6)</f>
        <v>320.6</v>
      </c>
      <c r="D146" s="21">
        <f>IFERROR(__xludf.DUMMYFUNCTION("""COMPUTED_VALUE"""),-1.6432011142209144)</f>
        <v>-1.643201114</v>
      </c>
      <c r="E146" s="21">
        <f>IFERROR(__xludf.DUMMYFUNCTION("""COMPUTED_VALUE"""),-0.0433933178001491)</f>
        <v>-0.0433933178</v>
      </c>
      <c r="F146" s="21">
        <f>IFERROR(__xludf.DUMMYFUNCTION("""COMPUTED_VALUE"""),-1.6865944320210635)</f>
        <v>-1.686594432</v>
      </c>
      <c r="G146" s="23">
        <f>IFERROR(__xludf.DUMMYFUNCTION("""COMPUTED_VALUE"""),0.030302224847839048)</f>
        <v>0.03030222485</v>
      </c>
      <c r="H146" s="4"/>
      <c r="I146" s="5" t="s">
        <v>1259</v>
      </c>
      <c r="J146" s="5" t="s">
        <v>711</v>
      </c>
      <c r="K146" s="5">
        <v>321.0</v>
      </c>
      <c r="L146" s="5">
        <v>-1.6432</v>
      </c>
      <c r="M146" s="5">
        <v>-0.04339</v>
      </c>
      <c r="N146" s="5">
        <v>-1.68659</v>
      </c>
      <c r="O146" s="5">
        <v>0.0303</v>
      </c>
    </row>
    <row r="147">
      <c r="A147" s="12" t="str">
        <f>IFERROR(__xludf.DUMMYFUNCTION("""COMPUTED_VALUE"""),"Ognjen Carapic")</f>
        <v>Ognjen Carapic</v>
      </c>
      <c r="B147" s="13" t="str">
        <f>IFERROR(__xludf.DUMMYFUNCTION("""COMPUTED_VALUE"""),"MEG")</f>
        <v>MEG</v>
      </c>
      <c r="C147" s="14">
        <f>IFERROR(__xludf.DUMMYFUNCTION("""COMPUTED_VALUE"""),111.2)</f>
        <v>111.2</v>
      </c>
      <c r="D147" s="15">
        <f>IFERROR(__xludf.DUMMYFUNCTION("""COMPUTED_VALUE"""),-1.4956144661993505)</f>
        <v>-1.495614466</v>
      </c>
      <c r="E147" s="15">
        <f>IFERROR(__xludf.DUMMYFUNCTION("""COMPUTED_VALUE"""),-0.26027094220054825)</f>
        <v>-0.2602709422</v>
      </c>
      <c r="F147" s="15">
        <f>IFERROR(__xludf.DUMMYFUNCTION("""COMPUTED_VALUE"""),-1.7558854083998987)</f>
        <v>-1.755885408</v>
      </c>
      <c r="G147" s="17">
        <f>IFERROR(__xludf.DUMMYFUNCTION("""COMPUTED_VALUE"""),0.008382962832804625)</f>
        <v>0.008382962833</v>
      </c>
      <c r="H147" s="4"/>
      <c r="I147" s="5" t="s">
        <v>1261</v>
      </c>
      <c r="J147" s="5" t="s">
        <v>934</v>
      </c>
      <c r="K147" s="5">
        <v>111.0</v>
      </c>
      <c r="L147" s="5">
        <v>-1.49561</v>
      </c>
      <c r="M147" s="5">
        <v>-0.26027</v>
      </c>
      <c r="N147" s="5">
        <v>-1.75589</v>
      </c>
      <c r="O147" s="5">
        <v>0.00838</v>
      </c>
    </row>
    <row r="148">
      <c r="A148" s="18" t="str">
        <f>IFERROR(__xludf.DUMMYFUNCTION("""COMPUTED_VALUE"""),"Andrija Marjanovic")</f>
        <v>Andrija Marjanovic</v>
      </c>
      <c r="B148" s="19" t="str">
        <f>IFERROR(__xludf.DUMMYFUNCTION("""COMPUTED_VALUE"""),"MEG")</f>
        <v>MEG</v>
      </c>
      <c r="C148" s="20">
        <f>IFERROR(__xludf.DUMMYFUNCTION("""COMPUTED_VALUE"""),182.1)</f>
        <v>182.1</v>
      </c>
      <c r="D148" s="21">
        <f>IFERROR(__xludf.DUMMYFUNCTION("""COMPUTED_VALUE"""),-2.5244971661078064)</f>
        <v>-2.524497166</v>
      </c>
      <c r="E148" s="21">
        <f>IFERROR(__xludf.DUMMYFUNCTION("""COMPUTED_VALUE"""),0.6613163492738636)</f>
        <v>0.6613163493</v>
      </c>
      <c r="F148" s="21">
        <f>IFERROR(__xludf.DUMMYFUNCTION("""COMPUTED_VALUE"""),-1.8631808168339428)</f>
        <v>-1.863180817</v>
      </c>
      <c r="G148" s="23">
        <f>IFERROR(__xludf.DUMMYFUNCTION("""COMPUTED_VALUE"""),0.007694066807447095)</f>
        <v>0.007694066807</v>
      </c>
      <c r="H148" s="4"/>
      <c r="I148" s="5" t="s">
        <v>1263</v>
      </c>
      <c r="J148" s="5" t="s">
        <v>934</v>
      </c>
      <c r="K148" s="5">
        <v>182.0</v>
      </c>
      <c r="L148" s="5">
        <v>-2.5245</v>
      </c>
      <c r="M148" s="5">
        <v>0.66132</v>
      </c>
      <c r="N148" s="5">
        <v>-1.86318</v>
      </c>
      <c r="O148" s="5">
        <v>0.00769</v>
      </c>
    </row>
    <row r="149">
      <c r="A149" s="12" t="str">
        <f>IFERROR(__xludf.DUMMYFUNCTION("""COMPUTED_VALUE"""),"Vuk Radivojevic")</f>
        <v>Vuk Radivojevic</v>
      </c>
      <c r="B149" s="13" t="str">
        <f>IFERROR(__xludf.DUMMYFUNCTION("""COMPUTED_VALUE"""),"IGO")</f>
        <v>IGO</v>
      </c>
      <c r="C149" s="14">
        <f>IFERROR(__xludf.DUMMYFUNCTION("""COMPUTED_VALUE"""),643.9)</f>
        <v>643.9</v>
      </c>
      <c r="D149" s="15">
        <f>IFERROR(__xludf.DUMMYFUNCTION("""COMPUTED_VALUE"""),-0.9928302308826376)</f>
        <v>-0.9928302309</v>
      </c>
      <c r="E149" s="15">
        <f>IFERROR(__xludf.DUMMYFUNCTION("""COMPUTED_VALUE"""),-0.9445298288567394)</f>
        <v>-0.9445298289</v>
      </c>
      <c r="F149" s="15">
        <f>IFERROR(__xludf.DUMMYFUNCTION("""COMPUTED_VALUE"""),-1.937360059739377)</f>
        <v>-1.93736006</v>
      </c>
      <c r="G149" s="17">
        <f>IFERROR(__xludf.DUMMYFUNCTION("""COMPUTED_VALUE"""),0.012232133079980757)</f>
        <v>0.01223213308</v>
      </c>
      <c r="H149" s="4"/>
      <c r="I149" s="5" t="s">
        <v>1265</v>
      </c>
      <c r="J149" s="5" t="s">
        <v>980</v>
      </c>
      <c r="K149" s="5">
        <v>644.0</v>
      </c>
      <c r="L149" s="5">
        <v>-0.99283</v>
      </c>
      <c r="M149" s="5">
        <v>-0.94453</v>
      </c>
      <c r="N149" s="5">
        <v>-1.93736</v>
      </c>
      <c r="O149" s="5">
        <v>0.01223</v>
      </c>
    </row>
    <row r="150">
      <c r="A150" s="18" t="str">
        <f>IFERROR(__xludf.DUMMYFUNCTION("""COMPUTED_VALUE"""),"Jakov Vladovic")</f>
        <v>Jakov Vladovic</v>
      </c>
      <c r="B150" s="19" t="str">
        <f>IFERROR(__xludf.DUMMYFUNCTION("""COMPUTED_VALUE"""),"ZAD")</f>
        <v>ZAD</v>
      </c>
      <c r="C150" s="20">
        <f>IFERROR(__xludf.DUMMYFUNCTION("""COMPUTED_VALUE"""),90.4)</f>
        <v>90.4</v>
      </c>
      <c r="D150" s="21">
        <f>IFERROR(__xludf.DUMMYFUNCTION("""COMPUTED_VALUE"""),-1.0014106810768315)</f>
        <v>-1.001410681</v>
      </c>
      <c r="E150" s="21">
        <f>IFERROR(__xludf.DUMMYFUNCTION("""COMPUTED_VALUE"""),-0.9625466990067455)</f>
        <v>-0.962546699</v>
      </c>
      <c r="F150" s="21">
        <f>IFERROR(__xludf.DUMMYFUNCTION("""COMPUTED_VALUE"""),-1.963957380083577)</f>
        <v>-1.96395738</v>
      </c>
      <c r="G150" s="23">
        <f>IFERROR(__xludf.DUMMYFUNCTION("""COMPUTED_VALUE"""),9.87534338247689E-4)</f>
        <v>0.0009875343382</v>
      </c>
      <c r="H150" s="4"/>
      <c r="I150" s="5" t="s">
        <v>1267</v>
      </c>
      <c r="J150" s="5" t="s">
        <v>967</v>
      </c>
      <c r="K150" s="5">
        <v>90.0</v>
      </c>
      <c r="L150" s="5">
        <v>-1.00141</v>
      </c>
      <c r="M150" s="5">
        <v>-0.96255</v>
      </c>
      <c r="N150" s="5">
        <v>-1.96396</v>
      </c>
      <c r="O150" s="5">
        <v>9.9E-4</v>
      </c>
    </row>
    <row r="151">
      <c r="A151" s="12" t="str">
        <f>IFERROR(__xludf.DUMMYFUNCTION("""COMPUTED_VALUE"""),"Strahinja Micovic")</f>
        <v>Strahinja Micovic</v>
      </c>
      <c r="B151" s="13" t="str">
        <f>IFERROR(__xludf.DUMMYFUNCTION("""COMPUTED_VALUE"""),"MOR")</f>
        <v>MOR</v>
      </c>
      <c r="C151" s="14">
        <f>IFERROR(__xludf.DUMMYFUNCTION("""COMPUTED_VALUE"""),686.8)</f>
        <v>686.8</v>
      </c>
      <c r="D151" s="15">
        <f>IFERROR(__xludf.DUMMYFUNCTION("""COMPUTED_VALUE"""),-0.211528499690385)</f>
        <v>-0.2115284997</v>
      </c>
      <c r="E151" s="15">
        <f>IFERROR(__xludf.DUMMYFUNCTION("""COMPUTED_VALUE"""),-1.8088381866178382)</f>
        <v>-1.808838187</v>
      </c>
      <c r="F151" s="15">
        <f>IFERROR(__xludf.DUMMYFUNCTION("""COMPUTED_VALUE"""),-2.0203666863082232)</f>
        <v>-2.020366686</v>
      </c>
      <c r="G151" s="17">
        <f>IFERROR(__xludf.DUMMYFUNCTION("""COMPUTED_VALUE"""),-0.00426646265713247)</f>
        <v>-0.004266462657</v>
      </c>
      <c r="H151" s="4"/>
      <c r="I151" s="5" t="s">
        <v>1269</v>
      </c>
      <c r="J151" s="5" t="s">
        <v>921</v>
      </c>
      <c r="K151" s="5">
        <v>687.0</v>
      </c>
      <c r="L151" s="5">
        <v>-0.21153</v>
      </c>
      <c r="M151" s="5">
        <v>-1.80884</v>
      </c>
      <c r="N151" s="5">
        <v>-2.02037</v>
      </c>
      <c r="O151" s="5">
        <v>-0.00427</v>
      </c>
    </row>
    <row r="152">
      <c r="A152" s="18" t="str">
        <f>IFERROR(__xludf.DUMMYFUNCTION("""COMPUTED_VALUE"""),"Vanja Marinkovic")</f>
        <v>Vanja Marinkovic</v>
      </c>
      <c r="B152" s="19" t="str">
        <f>IFERROR(__xludf.DUMMYFUNCTION("""COMPUTED_VALUE"""),"PAR")</f>
        <v>PAR</v>
      </c>
      <c r="C152" s="20">
        <f>IFERROR(__xludf.DUMMYFUNCTION("""COMPUTED_VALUE"""),567.6)</f>
        <v>567.6</v>
      </c>
      <c r="D152" s="21">
        <f>IFERROR(__xludf.DUMMYFUNCTION("""COMPUTED_VALUE"""),-0.10294481491967278)</f>
        <v>-0.1029448149</v>
      </c>
      <c r="E152" s="21">
        <f>IFERROR(__xludf.DUMMYFUNCTION("""COMPUTED_VALUE"""),-1.9269106640544076)</f>
        <v>-1.926910664</v>
      </c>
      <c r="F152" s="21">
        <f>IFERROR(__xludf.DUMMYFUNCTION("""COMPUTED_VALUE"""),-2.0298554789740804)</f>
        <v>-2.029855479</v>
      </c>
      <c r="G152" s="23">
        <f>IFERROR(__xludf.DUMMYFUNCTION("""COMPUTED_VALUE"""),-0.0051393558058222995)</f>
        <v>-0.005139355806</v>
      </c>
      <c r="H152" s="4"/>
      <c r="I152" s="5" t="s">
        <v>1270</v>
      </c>
      <c r="J152" s="5" t="s">
        <v>962</v>
      </c>
      <c r="K152" s="5">
        <v>568.0</v>
      </c>
      <c r="L152" s="5">
        <v>-0.10294</v>
      </c>
      <c r="M152" s="5">
        <v>-1.92691</v>
      </c>
      <c r="N152" s="5">
        <v>-2.02986</v>
      </c>
      <c r="O152" s="5">
        <v>-0.00514</v>
      </c>
    </row>
    <row r="153">
      <c r="A153" s="12" t="str">
        <f>IFERROR(__xludf.DUMMYFUNCTION("""COMPUTED_VALUE"""),"Dominik Mavra")</f>
        <v>Dominik Mavra</v>
      </c>
      <c r="B153" s="13" t="str">
        <f>IFERROR(__xludf.DUMMYFUNCTION("""COMPUTED_VALUE"""),"MZT")</f>
        <v>MZT</v>
      </c>
      <c r="C153" s="14">
        <f>IFERROR(__xludf.DUMMYFUNCTION("""COMPUTED_VALUE"""),366.4)</f>
        <v>366.4</v>
      </c>
      <c r="D153" s="15">
        <f>IFERROR(__xludf.DUMMYFUNCTION("""COMPUTED_VALUE"""),0.4541057704246807)</f>
        <v>0.4541057704</v>
      </c>
      <c r="E153" s="15">
        <f>IFERROR(__xludf.DUMMYFUNCTION("""COMPUTED_VALUE"""),-2.540731902359334)</f>
        <v>-2.540731902</v>
      </c>
      <c r="F153" s="15">
        <f>IFERROR(__xludf.DUMMYFUNCTION("""COMPUTED_VALUE"""),-2.0866261319346533)</f>
        <v>-2.086626132</v>
      </c>
      <c r="G153" s="17">
        <f>IFERROR(__xludf.DUMMYFUNCTION("""COMPUTED_VALUE"""),-0.009766670549862416)</f>
        <v>-0.00976667055</v>
      </c>
      <c r="H153" s="4"/>
      <c r="I153" s="5" t="s">
        <v>570</v>
      </c>
      <c r="J153" s="5" t="s">
        <v>1136</v>
      </c>
      <c r="K153" s="5">
        <v>366.0</v>
      </c>
      <c r="L153" s="5">
        <v>0.45411</v>
      </c>
      <c r="M153" s="5">
        <v>-2.54073</v>
      </c>
      <c r="N153" s="5">
        <v>-2.08663</v>
      </c>
      <c r="O153" s="5">
        <v>-0.00977</v>
      </c>
    </row>
    <row r="154">
      <c r="A154" s="18" t="str">
        <f>IFERROR(__xludf.DUMMYFUNCTION("""COMPUTED_VALUE"""),"Mihailo Jovicic")</f>
        <v>Mihailo Jovicic</v>
      </c>
      <c r="B154" s="19" t="str">
        <f>IFERROR(__xludf.DUMMYFUNCTION("""COMPUTED_VALUE"""),"MEG")</f>
        <v>MEG</v>
      </c>
      <c r="C154" s="20">
        <f>IFERROR(__xludf.DUMMYFUNCTION("""COMPUTED_VALUE"""),78.5)</f>
        <v>78.5</v>
      </c>
      <c r="D154" s="21">
        <f>IFERROR(__xludf.DUMMYFUNCTION("""COMPUTED_VALUE"""),-2.084937098215792)</f>
        <v>-2.084937098</v>
      </c>
      <c r="E154" s="21">
        <f>IFERROR(__xludf.DUMMYFUNCTION("""COMPUTED_VALUE"""),-0.058375916843206976)</f>
        <v>-0.05837591684</v>
      </c>
      <c r="F154" s="21">
        <f>IFERROR(__xludf.DUMMYFUNCTION("""COMPUTED_VALUE"""),-2.143313015058999)</f>
        <v>-2.143313015</v>
      </c>
      <c r="G154" s="23">
        <f>IFERROR(__xludf.DUMMYFUNCTION("""COMPUTED_VALUE"""),-0.003474195900824359)</f>
        <v>-0.003474195901</v>
      </c>
      <c r="H154" s="4"/>
      <c r="I154" s="5" t="s">
        <v>1273</v>
      </c>
      <c r="J154" s="5" t="s">
        <v>934</v>
      </c>
      <c r="K154" s="5">
        <v>79.0</v>
      </c>
      <c r="L154" s="5">
        <v>-2.08494</v>
      </c>
      <c r="M154" s="5">
        <v>-0.05838</v>
      </c>
      <c r="N154" s="5">
        <v>-2.14331</v>
      </c>
      <c r="O154" s="5">
        <v>-0.00347</v>
      </c>
    </row>
    <row r="155">
      <c r="A155" s="12" t="str">
        <f>IFERROR(__xludf.DUMMYFUNCTION("""COMPUTED_VALUE"""),"Milos Koprivica")</f>
        <v>Milos Koprivica</v>
      </c>
      <c r="B155" s="13" t="str">
        <f>IFERROR(__xludf.DUMMYFUNCTION("""COMPUTED_VALUE"""),"MEG")</f>
        <v>MEG</v>
      </c>
      <c r="C155" s="14">
        <f>IFERROR(__xludf.DUMMYFUNCTION("""COMPUTED_VALUE"""),139.8)</f>
        <v>139.8</v>
      </c>
      <c r="D155" s="15">
        <f>IFERROR(__xludf.DUMMYFUNCTION("""COMPUTED_VALUE"""),-0.9921608350448329)</f>
        <v>-0.992160835</v>
      </c>
      <c r="E155" s="15">
        <f>IFERROR(__xludf.DUMMYFUNCTION("""COMPUTED_VALUE"""),-1.1731372467090058)</f>
        <v>-1.173137247</v>
      </c>
      <c r="F155" s="15">
        <f>IFERROR(__xludf.DUMMYFUNCTION("""COMPUTED_VALUE"""),-2.1652980817538388)</f>
        <v>-2.165298082</v>
      </c>
      <c r="G155" s="17">
        <f>IFERROR(__xludf.DUMMYFUNCTION("""COMPUTED_VALUE"""),-0.007136314790773418)</f>
        <v>-0.007136314791</v>
      </c>
      <c r="H155" s="4"/>
      <c r="I155" s="5" t="s">
        <v>1275</v>
      </c>
      <c r="J155" s="5" t="s">
        <v>934</v>
      </c>
      <c r="K155" s="5">
        <v>140.0</v>
      </c>
      <c r="L155" s="5">
        <v>-0.99216</v>
      </c>
      <c r="M155" s="5">
        <v>-1.17314</v>
      </c>
      <c r="N155" s="5">
        <v>-2.1653</v>
      </c>
      <c r="O155" s="5">
        <v>-0.00714</v>
      </c>
    </row>
    <row r="156">
      <c r="A156" s="18" t="str">
        <f>IFERROR(__xludf.DUMMYFUNCTION("""COMPUTED_VALUE"""),"Nikola Jovanovic")</f>
        <v>Nikola Jovanovic</v>
      </c>
      <c r="B156" s="19" t="str">
        <f>IFERROR(__xludf.DUMMYFUNCTION("""COMPUTED_VALUE"""),"ZVE")</f>
        <v>ZVE</v>
      </c>
      <c r="C156" s="20">
        <f>IFERROR(__xludf.DUMMYFUNCTION("""COMPUTED_VALUE"""),178.9)</f>
        <v>178.9</v>
      </c>
      <c r="D156" s="21">
        <f>IFERROR(__xludf.DUMMYFUNCTION("""COMPUTED_VALUE"""),-2.7565947482643334)</f>
        <v>-2.756594748</v>
      </c>
      <c r="E156" s="21">
        <f>IFERROR(__xludf.DUMMYFUNCTION("""COMPUTED_VALUE"""),0.5912402776179495)</f>
        <v>0.5912402776</v>
      </c>
      <c r="F156" s="21">
        <f>IFERROR(__xludf.DUMMYFUNCTION("""COMPUTED_VALUE"""),-2.165354470646384)</f>
        <v>-2.165354471</v>
      </c>
      <c r="G156" s="23">
        <f>IFERROR(__xludf.DUMMYFUNCTION("""COMPUTED_VALUE"""),-0.009573127536582956)</f>
        <v>-0.009573127537</v>
      </c>
      <c r="H156" s="4"/>
      <c r="I156" s="5" t="s">
        <v>461</v>
      </c>
      <c r="J156" s="5" t="s">
        <v>137</v>
      </c>
      <c r="K156" s="5">
        <v>179.0</v>
      </c>
      <c r="L156" s="5">
        <v>-2.75659</v>
      </c>
      <c r="M156" s="5">
        <v>0.59124</v>
      </c>
      <c r="N156" s="5">
        <v>-2.16535</v>
      </c>
      <c r="O156" s="5">
        <v>-0.00957</v>
      </c>
    </row>
    <row r="157">
      <c r="A157" s="12" t="str">
        <f>IFERROR(__xludf.DUMMYFUNCTION("""COMPUTED_VALUE"""),"Predrag Samardziski")</f>
        <v>Predrag Samardziski</v>
      </c>
      <c r="B157" s="13" t="str">
        <f>IFERROR(__xludf.DUMMYFUNCTION("""COMPUTED_VALUE"""),"MEG")</f>
        <v>MEG</v>
      </c>
      <c r="C157" s="14">
        <f>IFERROR(__xludf.DUMMYFUNCTION("""COMPUTED_VALUE"""),54.8)</f>
        <v>54.8</v>
      </c>
      <c r="D157" s="15">
        <f>IFERROR(__xludf.DUMMYFUNCTION("""COMPUTED_VALUE"""),-2.0026938724731433)</f>
        <v>-2.002693872</v>
      </c>
      <c r="E157" s="15">
        <f>IFERROR(__xludf.DUMMYFUNCTION("""COMPUTED_VALUE"""),-0.18155694429759706)</f>
        <v>-0.1815569443</v>
      </c>
      <c r="F157" s="15">
        <f>IFERROR(__xludf.DUMMYFUNCTION("""COMPUTED_VALUE"""),-2.1842508167707404)</f>
        <v>-2.184250817</v>
      </c>
      <c r="G157" s="17">
        <f>IFERROR(__xludf.DUMMYFUNCTION("""COMPUTED_VALUE"""),-0.0031180924961047803)</f>
        <v>-0.003118092496</v>
      </c>
      <c r="H157" s="4"/>
      <c r="I157" s="5" t="s">
        <v>1277</v>
      </c>
      <c r="J157" s="5" t="s">
        <v>934</v>
      </c>
      <c r="K157" s="5">
        <v>55.0</v>
      </c>
      <c r="L157" s="5">
        <v>-2.00269</v>
      </c>
      <c r="M157" s="5">
        <v>-0.18156</v>
      </c>
      <c r="N157" s="5">
        <v>-2.18425</v>
      </c>
      <c r="O157" s="5">
        <v>-0.00312</v>
      </c>
    </row>
    <row r="158">
      <c r="A158" s="18" t="str">
        <f>IFERROR(__xludf.DUMMYFUNCTION("""COMPUTED_VALUE"""),"Stefan Pot")</f>
        <v>Stefan Pot</v>
      </c>
      <c r="B158" s="19" t="str">
        <f>IFERROR(__xludf.DUMMYFUNCTION("""COMPUTED_VALUE"""),"FMP")</f>
        <v>FMP</v>
      </c>
      <c r="C158" s="20">
        <f>IFERROR(__xludf.DUMMYFUNCTION("""COMPUTED_VALUE"""),437.9)</f>
        <v>437.9</v>
      </c>
      <c r="D158" s="21">
        <f>IFERROR(__xludf.DUMMYFUNCTION("""COMPUTED_VALUE"""),-3.361438100172553)</f>
        <v>-3.3614381</v>
      </c>
      <c r="E158" s="21">
        <f>IFERROR(__xludf.DUMMYFUNCTION("""COMPUTED_VALUE"""),1.1428280539430533)</f>
        <v>1.142828054</v>
      </c>
      <c r="F158" s="21">
        <f>IFERROR(__xludf.DUMMYFUNCTION("""COMPUTED_VALUE"""),-2.2186100462294998)</f>
        <v>-2.218610046</v>
      </c>
      <c r="G158" s="23">
        <f>IFERROR(__xludf.DUMMYFUNCTION("""COMPUTED_VALUE"""),-0.03015448705641223)</f>
        <v>-0.03015448706</v>
      </c>
      <c r="H158" s="4"/>
      <c r="I158" s="5" t="s">
        <v>1279</v>
      </c>
      <c r="J158" s="5" t="s">
        <v>959</v>
      </c>
      <c r="K158" s="5">
        <v>438.0</v>
      </c>
      <c r="L158" s="5">
        <v>-3.36144</v>
      </c>
      <c r="M158" s="5">
        <v>1.14283</v>
      </c>
      <c r="N158" s="5">
        <v>-2.21861</v>
      </c>
      <c r="O158" s="5">
        <v>-0.03015</v>
      </c>
    </row>
    <row r="159">
      <c r="A159" s="12" t="str">
        <f>IFERROR(__xludf.DUMMYFUNCTION("""COMPUTED_VALUE"""),"Marko Mijovic")</f>
        <v>Marko Mijovic</v>
      </c>
      <c r="B159" s="13" t="str">
        <f>IFERROR(__xludf.DUMMYFUNCTION("""COMPUTED_VALUE"""),"MOR")</f>
        <v>MOR</v>
      </c>
      <c r="C159" s="14">
        <f>IFERROR(__xludf.DUMMYFUNCTION("""COMPUTED_VALUE"""),94.2)</f>
        <v>94.2</v>
      </c>
      <c r="D159" s="15">
        <f>IFERROR(__xludf.DUMMYFUNCTION("""COMPUTED_VALUE"""),-1.4982489052845425)</f>
        <v>-1.498248905</v>
      </c>
      <c r="E159" s="15">
        <f>IFERROR(__xludf.DUMMYFUNCTION("""COMPUTED_VALUE"""),-0.7441105667887398)</f>
        <v>-0.7441105668</v>
      </c>
      <c r="F159" s="15">
        <f>IFERROR(__xludf.DUMMYFUNCTION("""COMPUTED_VALUE"""),-2.2423594720732822)</f>
        <v>-2.242359472</v>
      </c>
      <c r="G159" s="17">
        <f>IFERROR(__xludf.DUMMYFUNCTION("""COMPUTED_VALUE"""),-0.0069635097581055155)</f>
        <v>-0.006963509758</v>
      </c>
      <c r="H159" s="4"/>
      <c r="I159" s="5" t="s">
        <v>1281</v>
      </c>
      <c r="J159" s="5" t="s">
        <v>921</v>
      </c>
      <c r="K159" s="5">
        <v>94.0</v>
      </c>
      <c r="L159" s="5">
        <v>-1.49825</v>
      </c>
      <c r="M159" s="5">
        <v>-0.74411</v>
      </c>
      <c r="N159" s="5">
        <v>-2.24236</v>
      </c>
      <c r="O159" s="5">
        <v>-0.00696</v>
      </c>
    </row>
    <row r="160">
      <c r="A160" s="18" t="str">
        <f>IFERROR(__xludf.DUMMYFUNCTION("""COMPUTED_VALUE"""),"Kristijan Krajina")</f>
        <v>Kristijan Krajina</v>
      </c>
      <c r="B160" s="19" t="str">
        <f>IFERROR(__xludf.DUMMYFUNCTION("""COMPUTED_VALUE"""),"ZAD")</f>
        <v>ZAD</v>
      </c>
      <c r="C160" s="20">
        <f>IFERROR(__xludf.DUMMYFUNCTION("""COMPUTED_VALUE"""),419.1)</f>
        <v>419.1</v>
      </c>
      <c r="D160" s="21">
        <f>IFERROR(__xludf.DUMMYFUNCTION("""COMPUTED_VALUE"""),-0.8188887563676501)</f>
        <v>-0.8188887564</v>
      </c>
      <c r="E160" s="21">
        <f>IFERROR(__xludf.DUMMYFUNCTION("""COMPUTED_VALUE"""),-1.4748926780257654)</f>
        <v>-1.474892678</v>
      </c>
      <c r="F160" s="21">
        <f>IFERROR(__xludf.DUMMYFUNCTION("""COMPUTED_VALUE"""),-2.2937814343934155)</f>
        <v>-2.293781434</v>
      </c>
      <c r="G160" s="23">
        <f>IFERROR(__xludf.DUMMYFUNCTION("""COMPUTED_VALUE"""),-0.037317232723956144)</f>
        <v>-0.03731723272</v>
      </c>
      <c r="H160" s="4"/>
      <c r="I160" s="5" t="s">
        <v>1283</v>
      </c>
      <c r="J160" s="5" t="s">
        <v>967</v>
      </c>
      <c r="K160" s="5">
        <v>419.0</v>
      </c>
      <c r="L160" s="5">
        <v>-0.81889</v>
      </c>
      <c r="M160" s="5">
        <v>-1.47489</v>
      </c>
      <c r="N160" s="5">
        <v>-2.29378</v>
      </c>
      <c r="O160" s="5">
        <v>-0.03732</v>
      </c>
    </row>
    <row r="161">
      <c r="A161" s="12" t="str">
        <f>IFERROR(__xludf.DUMMYFUNCTION("""COMPUTED_VALUE"""),"Nikola Pavlicevic")</f>
        <v>Nikola Pavlicevic</v>
      </c>
      <c r="B161" s="13" t="str">
        <f>IFERROR(__xludf.DUMMYFUNCTION("""COMPUTED_VALUE"""),"MZT")</f>
        <v>MZT</v>
      </c>
      <c r="C161" s="14">
        <f>IFERROR(__xludf.DUMMYFUNCTION("""COMPUTED_VALUE"""),137.5)</f>
        <v>137.5</v>
      </c>
      <c r="D161" s="15">
        <f>IFERROR(__xludf.DUMMYFUNCTION("""COMPUTED_VALUE"""),-0.7689429384222612)</f>
        <v>-0.7689429384</v>
      </c>
      <c r="E161" s="15">
        <f>IFERROR(__xludf.DUMMYFUNCTION("""COMPUTED_VALUE"""),-1.541708685520916)</f>
        <v>-1.541708686</v>
      </c>
      <c r="F161" s="15">
        <f>IFERROR(__xludf.DUMMYFUNCTION("""COMPUTED_VALUE"""),-2.310651623943177)</f>
        <v>-2.310651624</v>
      </c>
      <c r="G161" s="17">
        <f>IFERROR(__xludf.DUMMYFUNCTION("""COMPUTED_VALUE"""),-0.013143725399647406)</f>
        <v>-0.0131437254</v>
      </c>
      <c r="H161" s="4"/>
      <c r="I161" s="5" t="s">
        <v>1285</v>
      </c>
      <c r="J161" s="5" t="s">
        <v>1136</v>
      </c>
      <c r="K161" s="5">
        <v>138.0</v>
      </c>
      <c r="L161" s="5">
        <v>-0.76894</v>
      </c>
      <c r="M161" s="5">
        <v>-1.54171</v>
      </c>
      <c r="N161" s="5">
        <v>-2.31065</v>
      </c>
      <c r="O161" s="5">
        <v>-0.01314</v>
      </c>
    </row>
    <row r="162">
      <c r="A162" s="18" t="str">
        <f>IFERROR(__xludf.DUMMYFUNCTION("""COMPUTED_VALUE"""),"Marko Ljubicic")</f>
        <v>Marko Ljubicic</v>
      </c>
      <c r="B162" s="19" t="str">
        <f>IFERROR(__xludf.DUMMYFUNCTION("""COMPUTED_VALUE"""),"IGO")</f>
        <v>IGO</v>
      </c>
      <c r="C162" s="20">
        <f>IFERROR(__xludf.DUMMYFUNCTION("""COMPUTED_VALUE"""),526.8)</f>
        <v>526.8</v>
      </c>
      <c r="D162" s="21">
        <f>IFERROR(__xludf.DUMMYFUNCTION("""COMPUTED_VALUE"""),-1.5642887317109238)</f>
        <v>-1.564288732</v>
      </c>
      <c r="E162" s="21">
        <f>IFERROR(__xludf.DUMMYFUNCTION("""COMPUTED_VALUE"""),-0.7704608356035889)</f>
        <v>-0.7704608356</v>
      </c>
      <c r="F162" s="21">
        <f>IFERROR(__xludf.DUMMYFUNCTION("""COMPUTED_VALUE"""),-2.3347495673145127)</f>
        <v>-2.334749567</v>
      </c>
      <c r="G162" s="23">
        <f>IFERROR(__xludf.DUMMYFUNCTION("""COMPUTED_VALUE"""),-0.05348084099759252)</f>
        <v>-0.053480841</v>
      </c>
      <c r="H162" s="4"/>
      <c r="I162" s="5" t="s">
        <v>1287</v>
      </c>
      <c r="J162" s="5" t="s">
        <v>980</v>
      </c>
      <c r="K162" s="5">
        <v>527.0</v>
      </c>
      <c r="L162" s="5">
        <v>-1.56429</v>
      </c>
      <c r="M162" s="5">
        <v>-0.77046</v>
      </c>
      <c r="N162" s="5">
        <v>-2.33475</v>
      </c>
      <c r="O162" s="5">
        <v>-0.05348</v>
      </c>
    </row>
    <row r="163">
      <c r="A163" s="12" t="str">
        <f>IFERROR(__xludf.DUMMYFUNCTION("""COMPUTED_VALUE"""),"Brett Bailey")</f>
        <v>Brett Bailey</v>
      </c>
      <c r="B163" s="13" t="str">
        <f>IFERROR(__xludf.DUMMYFUNCTION("""COMPUTED_VALUE"""),"MZT")</f>
        <v>MZT</v>
      </c>
      <c r="C163" s="14">
        <f>IFERROR(__xludf.DUMMYFUNCTION("""COMPUTED_VALUE"""),119.2)</f>
        <v>119.2</v>
      </c>
      <c r="D163" s="15">
        <f>IFERROR(__xludf.DUMMYFUNCTION("""COMPUTED_VALUE"""),-0.9329546052162098)</f>
        <v>-0.9329546052</v>
      </c>
      <c r="E163" s="15">
        <f>IFERROR(__xludf.DUMMYFUNCTION("""COMPUTED_VALUE"""),-1.4416606898182973)</f>
        <v>-1.44166069</v>
      </c>
      <c r="F163" s="15">
        <f>IFERROR(__xludf.DUMMYFUNCTION("""COMPUTED_VALUE"""),-2.374615295034507)</f>
        <v>-2.374615295</v>
      </c>
      <c r="G163" s="17">
        <f>IFERROR(__xludf.DUMMYFUNCTION("""COMPUTED_VALUE"""),-0.013740543496240215)</f>
        <v>-0.0137405435</v>
      </c>
      <c r="H163" s="4"/>
      <c r="I163" s="5" t="s">
        <v>1289</v>
      </c>
      <c r="J163" s="5" t="s">
        <v>1136</v>
      </c>
      <c r="K163" s="5">
        <v>119.0</v>
      </c>
      <c r="L163" s="5">
        <v>-0.93295</v>
      </c>
      <c r="M163" s="5">
        <v>-1.44166</v>
      </c>
      <c r="N163" s="5">
        <v>-2.37462</v>
      </c>
      <c r="O163" s="5">
        <v>-0.01374</v>
      </c>
    </row>
    <row r="164">
      <c r="A164" s="18" t="str">
        <f>IFERROR(__xludf.DUMMYFUNCTION("""COMPUTED_VALUE"""),"Mislav Brzoja")</f>
        <v>Mislav Brzoja</v>
      </c>
      <c r="B164" s="19" t="str">
        <f>IFERROR(__xludf.DUMMYFUNCTION("""COMPUTED_VALUE"""),"ZAD")</f>
        <v>ZAD</v>
      </c>
      <c r="C164" s="20">
        <f>IFERROR(__xludf.DUMMYFUNCTION("""COMPUTED_VALUE"""),454.3)</f>
        <v>454.3</v>
      </c>
      <c r="D164" s="21">
        <f>IFERROR(__xludf.DUMMYFUNCTION("""COMPUTED_VALUE"""),-2.7733591785384757)</f>
        <v>-2.773359179</v>
      </c>
      <c r="E164" s="21">
        <f>IFERROR(__xludf.DUMMYFUNCTION("""COMPUTED_VALUE"""),0.3788810918767762)</f>
        <v>0.3788810919</v>
      </c>
      <c r="F164" s="21">
        <f>IFERROR(__xludf.DUMMYFUNCTION("""COMPUTED_VALUE"""),-2.3944780866616995)</f>
        <v>-2.394478087</v>
      </c>
      <c r="G164" s="23">
        <f>IFERROR(__xludf.DUMMYFUNCTION("""COMPUTED_VALUE"""),-0.054316658285147375)</f>
        <v>-0.05431665829</v>
      </c>
      <c r="H164" s="4"/>
      <c r="I164" s="5" t="s">
        <v>1291</v>
      </c>
      <c r="J164" s="5" t="s">
        <v>967</v>
      </c>
      <c r="K164" s="5">
        <v>454.0</v>
      </c>
      <c r="L164" s="5">
        <v>-2.77336</v>
      </c>
      <c r="M164" s="5">
        <v>0.37888</v>
      </c>
      <c r="N164" s="5">
        <v>-2.39448</v>
      </c>
      <c r="O164" s="5">
        <v>-0.05432</v>
      </c>
    </row>
    <row r="165">
      <c r="A165" s="12" t="str">
        <f>IFERROR(__xludf.DUMMYFUNCTION("""COMPUTED_VALUE"""),"Marko Tomas")</f>
        <v>Marko Tomas</v>
      </c>
      <c r="B165" s="13" t="str">
        <f>IFERROR(__xludf.DUMMYFUNCTION("""COMPUTED_VALUE"""),"CIB")</f>
        <v>CIB</v>
      </c>
      <c r="C165" s="14">
        <f>IFERROR(__xludf.DUMMYFUNCTION("""COMPUTED_VALUE"""),568.8)</f>
        <v>568.8</v>
      </c>
      <c r="D165" s="15">
        <f>IFERROR(__xludf.DUMMYFUNCTION("""COMPUTED_VALUE"""),0.5704916022985144)</f>
        <v>0.5704916023</v>
      </c>
      <c r="E165" s="15">
        <f>IFERROR(__xludf.DUMMYFUNCTION("""COMPUTED_VALUE"""),-3.026156667666819)</f>
        <v>-3.026156668</v>
      </c>
      <c r="F165" s="15">
        <f>IFERROR(__xludf.DUMMYFUNCTION("""COMPUTED_VALUE"""),-2.4556650653683048)</f>
        <v>-2.455665065</v>
      </c>
      <c r="G165" s="17">
        <f>IFERROR(__xludf.DUMMYFUNCTION("""COMPUTED_VALUE"""),-0.0788040704120804)</f>
        <v>-0.07880407041</v>
      </c>
      <c r="H165" s="4"/>
      <c r="I165" s="5" t="s">
        <v>1292</v>
      </c>
      <c r="J165" s="5" t="s">
        <v>1115</v>
      </c>
      <c r="K165" s="5">
        <v>569.0</v>
      </c>
      <c r="L165" s="5">
        <v>0.57049</v>
      </c>
      <c r="M165" s="5">
        <v>-3.02616</v>
      </c>
      <c r="N165" s="5">
        <v>-2.45567</v>
      </c>
      <c r="O165" s="5">
        <v>-0.0788</v>
      </c>
    </row>
    <row r="166">
      <c r="A166" s="18" t="str">
        <f>IFERROR(__xludf.DUMMYFUNCTION("""COMPUTED_VALUE"""),"Damjan Stojanovski")</f>
        <v>Damjan Stojanovski</v>
      </c>
      <c r="B166" s="19" t="str">
        <f>IFERROR(__xludf.DUMMYFUNCTION("""COMPUTED_VALUE"""),"MZT")</f>
        <v>MZT</v>
      </c>
      <c r="C166" s="20">
        <f>IFERROR(__xludf.DUMMYFUNCTION("""COMPUTED_VALUE"""),697.6)</f>
        <v>697.6</v>
      </c>
      <c r="D166" s="21">
        <f>IFERROR(__xludf.DUMMYFUNCTION("""COMPUTED_VALUE"""),0.2201094624365143)</f>
        <v>0.2201094624</v>
      </c>
      <c r="E166" s="21">
        <f>IFERROR(__xludf.DUMMYFUNCTION("""COMPUTED_VALUE"""),-2.952054178174608)</f>
        <v>-2.952054178</v>
      </c>
      <c r="F166" s="21">
        <f>IFERROR(__xludf.DUMMYFUNCTION("""COMPUTED_VALUE"""),-2.7319447157380936)</f>
        <v>-2.731944716</v>
      </c>
      <c r="G166" s="23">
        <f>IFERROR(__xludf.DUMMYFUNCTION("""COMPUTED_VALUE"""),-0.15711834739069527)</f>
        <v>-0.1571183474</v>
      </c>
      <c r="H166" s="4"/>
      <c r="I166" s="5" t="s">
        <v>1293</v>
      </c>
      <c r="J166" s="5" t="s">
        <v>1136</v>
      </c>
      <c r="K166" s="5">
        <v>698.0</v>
      </c>
      <c r="L166" s="5">
        <v>0.22011</v>
      </c>
      <c r="M166" s="5">
        <v>-2.95205</v>
      </c>
      <c r="N166" s="5">
        <v>-2.73194</v>
      </c>
      <c r="O166" s="5">
        <v>-0.15712</v>
      </c>
    </row>
    <row r="167">
      <c r="A167" s="12" t="str">
        <f>IFERROR(__xludf.DUMMYFUNCTION("""COMPUTED_VALUE"""),"Andrej Maslinko")</f>
        <v>Andrej Maslinko</v>
      </c>
      <c r="B167" s="13" t="str">
        <f>IFERROR(__xludf.DUMMYFUNCTION("""COMPUTED_VALUE"""),"MZT")</f>
        <v>MZT</v>
      </c>
      <c r="C167" s="14">
        <f>IFERROR(__xludf.DUMMYFUNCTION("""COMPUTED_VALUE"""),187.8)</f>
        <v>187.8</v>
      </c>
      <c r="D167" s="15">
        <f>IFERROR(__xludf.DUMMYFUNCTION("""COMPUTED_VALUE"""),-1.9986410524303846)</f>
        <v>-1.998641052</v>
      </c>
      <c r="E167" s="15">
        <f>IFERROR(__xludf.DUMMYFUNCTION("""COMPUTED_VALUE"""),-0.7483866093449238)</f>
        <v>-0.7483866093</v>
      </c>
      <c r="F167" s="15">
        <f>IFERROR(__xludf.DUMMYFUNCTION("""COMPUTED_VALUE"""),-2.7470276617753084)</f>
        <v>-2.747027662</v>
      </c>
      <c r="G167" s="17">
        <f>IFERROR(__xludf.DUMMYFUNCTION("""COMPUTED_VALUE"""),-0.04316924193296479)</f>
        <v>-0.04316924193</v>
      </c>
      <c r="H167" s="4"/>
      <c r="I167" s="5" t="s">
        <v>1296</v>
      </c>
      <c r="J167" s="5" t="s">
        <v>1136</v>
      </c>
      <c r="K167" s="5">
        <v>188.0</v>
      </c>
      <c r="L167" s="5">
        <v>-1.99864</v>
      </c>
      <c r="M167" s="5">
        <v>-0.74839</v>
      </c>
      <c r="N167" s="5">
        <v>-2.74703</v>
      </c>
      <c r="O167" s="5">
        <v>-0.04317</v>
      </c>
    </row>
    <row r="168">
      <c r="A168" s="18" t="str">
        <f>IFERROR(__xludf.DUMMYFUNCTION("""COMPUTED_VALUE"""),"Andrija Coric")</f>
        <v>Andrija Coric</v>
      </c>
      <c r="B168" s="19" t="str">
        <f>IFERROR(__xludf.DUMMYFUNCTION("""COMPUTED_VALUE"""),"CIB")</f>
        <v>CIB</v>
      </c>
      <c r="C168" s="20">
        <f>IFERROR(__xludf.DUMMYFUNCTION("""COMPUTED_VALUE"""),91.4)</f>
        <v>91.4</v>
      </c>
      <c r="D168" s="21">
        <f>IFERROR(__xludf.DUMMYFUNCTION("""COMPUTED_VALUE"""),-2.1956862031398194)</f>
        <v>-2.195686203</v>
      </c>
      <c r="E168" s="21">
        <f>IFERROR(__xludf.DUMMYFUNCTION("""COMPUTED_VALUE"""),-0.6397143491187309)</f>
        <v>-0.6397143491</v>
      </c>
      <c r="F168" s="21">
        <f>IFERROR(__xludf.DUMMYFUNCTION("""COMPUTED_VALUE"""),-2.8354005522585504)</f>
        <v>-2.835400552</v>
      </c>
      <c r="G168" s="23">
        <f>IFERROR(__xludf.DUMMYFUNCTION("""COMPUTED_VALUE"""),-0.023215833625609385)</f>
        <v>-0.02321583363</v>
      </c>
      <c r="H168" s="4"/>
      <c r="I168" s="5" t="s">
        <v>1297</v>
      </c>
      <c r="J168" s="5" t="s">
        <v>1115</v>
      </c>
      <c r="K168" s="5">
        <v>91.0</v>
      </c>
      <c r="L168" s="5">
        <v>-2.19569</v>
      </c>
      <c r="M168" s="5">
        <v>-0.63971</v>
      </c>
      <c r="N168" s="5">
        <v>-2.8354</v>
      </c>
      <c r="O168" s="5">
        <v>-0.02322</v>
      </c>
    </row>
    <row r="169">
      <c r="A169" s="12" t="str">
        <f>IFERROR(__xludf.DUMMYFUNCTION("""COMPUTED_VALUE"""),"Aaron Geramipoor")</f>
        <v>Aaron Geramipoor</v>
      </c>
      <c r="B169" s="13" t="str">
        <f>IFERROR(__xludf.DUMMYFUNCTION("""COMPUTED_VALUE"""),"CIB")</f>
        <v>CIB</v>
      </c>
      <c r="C169" s="14">
        <f>IFERROR(__xludf.DUMMYFUNCTION("""COMPUTED_VALUE"""),81.4)</f>
        <v>81.4</v>
      </c>
      <c r="D169" s="15">
        <f>IFERROR(__xludf.DUMMYFUNCTION("""COMPUTED_VALUE"""),-2.0448471149383396)</f>
        <v>-2.044847115</v>
      </c>
      <c r="E169" s="15">
        <f>IFERROR(__xludf.DUMMYFUNCTION("""COMPUTED_VALUE"""),-0.82951870894219)</f>
        <v>-0.8295187089</v>
      </c>
      <c r="F169" s="15">
        <f>IFERROR(__xludf.DUMMYFUNCTION("""COMPUTED_VALUE"""),-2.8743658238805296)</f>
        <v>-2.874365824</v>
      </c>
      <c r="G169" s="17">
        <f>IFERROR(__xludf.DUMMYFUNCTION("""COMPUTED_VALUE"""),-0.02164018195118154)</f>
        <v>-0.02164018195</v>
      </c>
      <c r="H169" s="4"/>
      <c r="I169" s="5" t="s">
        <v>1298</v>
      </c>
      <c r="J169" s="5" t="s">
        <v>1115</v>
      </c>
      <c r="K169" s="5">
        <v>81.0</v>
      </c>
      <c r="L169" s="5">
        <v>-2.04485</v>
      </c>
      <c r="M169" s="5">
        <v>-0.82952</v>
      </c>
      <c r="N169" s="5">
        <v>-2.87437</v>
      </c>
      <c r="O169" s="5">
        <v>-0.02164</v>
      </c>
    </row>
    <row r="170">
      <c r="A170" s="18" t="str">
        <f>IFERROR(__xludf.DUMMYFUNCTION("""COMPUTED_VALUE"""),"Sime Spralja")</f>
        <v>Sime Spralja</v>
      </c>
      <c r="B170" s="19" t="str">
        <f>IFERROR(__xludf.DUMMYFUNCTION("""COMPUTED_VALUE"""),"ZAD")</f>
        <v>ZAD</v>
      </c>
      <c r="C170" s="20">
        <f>IFERROR(__xludf.DUMMYFUNCTION("""COMPUTED_VALUE"""),266.6)</f>
        <v>266.6</v>
      </c>
      <c r="D170" s="21">
        <f>IFERROR(__xludf.DUMMYFUNCTION("""COMPUTED_VALUE"""),-0.04863126219071028)</f>
        <v>-0.04863126219</v>
      </c>
      <c r="E170" s="21">
        <f>IFERROR(__xludf.DUMMYFUNCTION("""COMPUTED_VALUE"""),-2.8268179144352277)</f>
        <v>-2.826817914</v>
      </c>
      <c r="F170" s="21">
        <f>IFERROR(__xludf.DUMMYFUNCTION("""COMPUTED_VALUE"""),-2.875449176625938)</f>
        <v>-2.875449177</v>
      </c>
      <c r="G170" s="23">
        <f>IFERROR(__xludf.DUMMYFUNCTION("""COMPUTED_VALUE"""),-0.07073893333663678)</f>
        <v>-0.07073893334</v>
      </c>
      <c r="H170" s="4"/>
      <c r="I170" s="5" t="s">
        <v>1299</v>
      </c>
      <c r="J170" s="5" t="s">
        <v>967</v>
      </c>
      <c r="K170" s="5">
        <v>267.0</v>
      </c>
      <c r="L170" s="5">
        <v>-0.04863</v>
      </c>
      <c r="M170" s="5">
        <v>-2.82682</v>
      </c>
      <c r="N170" s="5">
        <v>-2.87545</v>
      </c>
      <c r="O170" s="5">
        <v>-0.07074</v>
      </c>
    </row>
    <row r="171">
      <c r="A171" s="12" t="str">
        <f>IFERROR(__xludf.DUMMYFUNCTION("""COMPUTED_VALUE"""),"Sead Sehovic")</f>
        <v>Sead Sehovic</v>
      </c>
      <c r="B171" s="13" t="str">
        <f>IFERROR(__xludf.DUMMYFUNCTION("""COMPUTED_VALUE"""),"BUD")</f>
        <v>BUD</v>
      </c>
      <c r="C171" s="14">
        <f>IFERROR(__xludf.DUMMYFUNCTION("""COMPUTED_VALUE"""),301.5)</f>
        <v>301.5</v>
      </c>
      <c r="D171" s="15">
        <f>IFERROR(__xludf.DUMMYFUNCTION("""COMPUTED_VALUE"""),-2.869459918665642)</f>
        <v>-2.869459919</v>
      </c>
      <c r="E171" s="15">
        <f>IFERROR(__xludf.DUMMYFUNCTION("""COMPUTED_VALUE"""),-0.04815482459616627)</f>
        <v>-0.0481548246</v>
      </c>
      <c r="F171" s="15">
        <f>IFERROR(__xludf.DUMMYFUNCTION("""COMPUTED_VALUE"""),-2.9176147432618085)</f>
        <v>-2.917614743</v>
      </c>
      <c r="G171" s="17">
        <f>IFERROR(__xludf.DUMMYFUNCTION("""COMPUTED_VALUE"""),-0.08438273562009702)</f>
        <v>-0.08438273562</v>
      </c>
      <c r="H171" s="4"/>
      <c r="I171" s="5" t="s">
        <v>1300</v>
      </c>
      <c r="J171" s="5" t="s">
        <v>914</v>
      </c>
      <c r="K171" s="5">
        <v>302.0</v>
      </c>
      <c r="L171" s="5">
        <v>-2.86946</v>
      </c>
      <c r="M171" s="5">
        <v>-0.04815</v>
      </c>
      <c r="N171" s="5">
        <v>-2.91761</v>
      </c>
      <c r="O171" s="5">
        <v>-0.08438</v>
      </c>
    </row>
    <row r="172">
      <c r="A172" s="18" t="str">
        <f>IFERROR(__xludf.DUMMYFUNCTION("""COMPUTED_VALUE"""),"Vukota Pavic")</f>
        <v>Vukota Pavic</v>
      </c>
      <c r="B172" s="19" t="str">
        <f>IFERROR(__xludf.DUMMYFUNCTION("""COMPUTED_VALUE"""),"MOR")</f>
        <v>MOR</v>
      </c>
      <c r="C172" s="20">
        <f>IFERROR(__xludf.DUMMYFUNCTION("""COMPUTED_VALUE"""),398.7)</f>
        <v>398.7</v>
      </c>
      <c r="D172" s="21">
        <f>IFERROR(__xludf.DUMMYFUNCTION("""COMPUTED_VALUE"""),-2.2104219910847775)</f>
        <v>-2.210421991</v>
      </c>
      <c r="E172" s="21">
        <f>IFERROR(__xludf.DUMMYFUNCTION("""COMPUTED_VALUE"""),-0.7210423233846495)</f>
        <v>-0.7210423234</v>
      </c>
      <c r="F172" s="21">
        <f>IFERROR(__xludf.DUMMYFUNCTION("""COMPUTED_VALUE"""),-2.931464314469427)</f>
        <v>-2.931464314</v>
      </c>
      <c r="G172" s="23">
        <f>IFERROR(__xludf.DUMMYFUNCTION("""COMPUTED_VALUE"""),-0.11327387165565062)</f>
        <v>-0.1132738717</v>
      </c>
      <c r="H172" s="4"/>
      <c r="I172" s="5" t="s">
        <v>1301</v>
      </c>
      <c r="J172" s="5" t="s">
        <v>921</v>
      </c>
      <c r="K172" s="5">
        <v>399.0</v>
      </c>
      <c r="L172" s="5">
        <v>-2.21042</v>
      </c>
      <c r="M172" s="5">
        <v>-0.72104</v>
      </c>
      <c r="N172" s="5">
        <v>-2.93146</v>
      </c>
      <c r="O172" s="5">
        <v>-0.11327</v>
      </c>
    </row>
    <row r="173">
      <c r="A173" s="12" t="str">
        <f>IFERROR(__xludf.DUMMYFUNCTION("""COMPUTED_VALUE"""),"Marko Mugosa")</f>
        <v>Marko Mugosa</v>
      </c>
      <c r="B173" s="13" t="str">
        <f>IFERROR(__xludf.DUMMYFUNCTION("""COMPUTED_VALUE"""),"MOR")</f>
        <v>MOR</v>
      </c>
      <c r="C173" s="14">
        <f>IFERROR(__xludf.DUMMYFUNCTION("""COMPUTED_VALUE"""),319.1)</f>
        <v>319.1</v>
      </c>
      <c r="D173" s="15">
        <f>IFERROR(__xludf.DUMMYFUNCTION("""COMPUTED_VALUE"""),-0.13086198170856145)</f>
        <v>-0.1308619817</v>
      </c>
      <c r="E173" s="15">
        <f>IFERROR(__xludf.DUMMYFUNCTION("""COMPUTED_VALUE"""),-2.8111735645070484)</f>
        <v>-2.811173565</v>
      </c>
      <c r="F173" s="15">
        <f>IFERROR(__xludf.DUMMYFUNCTION("""COMPUTED_VALUE"""),-2.94203554621561)</f>
        <v>-2.942035546</v>
      </c>
      <c r="G173" s="17">
        <f>IFERROR(__xludf.DUMMYFUNCTION("""COMPUTED_VALUE"""),-0.09168776420082188)</f>
        <v>-0.0916877642</v>
      </c>
      <c r="H173" s="4"/>
      <c r="I173" s="5" t="s">
        <v>1302</v>
      </c>
      <c r="J173" s="5" t="s">
        <v>921</v>
      </c>
      <c r="K173" s="5">
        <v>319.0</v>
      </c>
      <c r="L173" s="5">
        <v>-0.13086</v>
      </c>
      <c r="M173" s="5">
        <v>-2.81117</v>
      </c>
      <c r="N173" s="5">
        <v>-2.94204</v>
      </c>
      <c r="O173" s="5">
        <v>-0.09169</v>
      </c>
    </row>
    <row r="174">
      <c r="A174" s="18" t="str">
        <f>IFERROR(__xludf.DUMMYFUNCTION("""COMPUTED_VALUE"""),"Radoje Vujosevic")</f>
        <v>Radoje Vujosevic</v>
      </c>
      <c r="B174" s="19" t="str">
        <f>IFERROR(__xludf.DUMMYFUNCTION("""COMPUTED_VALUE"""),"MOR")</f>
        <v>MOR</v>
      </c>
      <c r="C174" s="20">
        <f>IFERROR(__xludf.DUMMYFUNCTION("""COMPUTED_VALUE"""),235.3)</f>
        <v>235.3</v>
      </c>
      <c r="D174" s="21">
        <f>IFERROR(__xludf.DUMMYFUNCTION("""COMPUTED_VALUE"""),-2.020068564874732)</f>
        <v>-2.020068565</v>
      </c>
      <c r="E174" s="21">
        <f>IFERROR(__xludf.DUMMYFUNCTION("""COMPUTED_VALUE"""),-0.9317477857234184)</f>
        <v>-0.9317477857</v>
      </c>
      <c r="F174" s="21">
        <f>IFERROR(__xludf.DUMMYFUNCTION("""COMPUTED_VALUE"""),-2.9518163505981505)</f>
        <v>-2.951816351</v>
      </c>
      <c r="G174" s="23">
        <f>IFERROR(__xludf.DUMMYFUNCTION("""COMPUTED_VALUE"""),-0.06831127259889011)</f>
        <v>-0.0683112726</v>
      </c>
      <c r="H174" s="4"/>
      <c r="I174" s="5" t="s">
        <v>1304</v>
      </c>
      <c r="J174" s="5" t="s">
        <v>921</v>
      </c>
      <c r="K174" s="5">
        <v>235.0</v>
      </c>
      <c r="L174" s="5">
        <v>-2.02007</v>
      </c>
      <c r="M174" s="5">
        <v>-0.93175</v>
      </c>
      <c r="N174" s="5">
        <v>-2.95182</v>
      </c>
      <c r="O174" s="5">
        <v>-0.06831</v>
      </c>
    </row>
    <row r="175">
      <c r="A175" s="12" t="str">
        <f>IFERROR(__xludf.DUMMYFUNCTION("""COMPUTED_VALUE"""),"Andrej Nastovski")</f>
        <v>Andrej Nastovski</v>
      </c>
      <c r="B175" s="13" t="str">
        <f>IFERROR(__xludf.DUMMYFUNCTION("""COMPUTED_VALUE"""),"MZT")</f>
        <v>MZT</v>
      </c>
      <c r="C175" s="14">
        <f>IFERROR(__xludf.DUMMYFUNCTION("""COMPUTED_VALUE"""),67.3)</f>
        <v>67.3</v>
      </c>
      <c r="D175" s="15">
        <f>IFERROR(__xludf.DUMMYFUNCTION("""COMPUTED_VALUE"""),-2.084526823367182)</f>
        <v>-2.084526823</v>
      </c>
      <c r="E175" s="15">
        <f>IFERROR(__xludf.DUMMYFUNCTION("""COMPUTED_VALUE"""),-0.9160059512001428)</f>
        <v>-0.9160059512</v>
      </c>
      <c r="F175" s="15">
        <f>IFERROR(__xludf.DUMMYFUNCTION("""COMPUTED_VALUE"""),-3.0005327745673247)</f>
        <v>-3.000532775</v>
      </c>
      <c r="G175" s="17">
        <f>IFERROR(__xludf.DUMMYFUNCTION("""COMPUTED_VALUE"""),-0.02071994195497331)</f>
        <v>-0.02071994195</v>
      </c>
      <c r="H175" s="4"/>
      <c r="I175" s="5" t="s">
        <v>1305</v>
      </c>
      <c r="J175" s="5" t="s">
        <v>1136</v>
      </c>
      <c r="K175" s="5">
        <v>67.0</v>
      </c>
      <c r="L175" s="5">
        <v>-2.08453</v>
      </c>
      <c r="M175" s="5">
        <v>-0.91601</v>
      </c>
      <c r="N175" s="5">
        <v>-3.00053</v>
      </c>
      <c r="O175" s="5">
        <v>-0.02072</v>
      </c>
    </row>
    <row r="176">
      <c r="A176" s="18" t="str">
        <f>IFERROR(__xludf.DUMMYFUNCTION("""COMPUTED_VALUE"""),"Filip Kraljevic")</f>
        <v>Filip Kraljevic</v>
      </c>
      <c r="B176" s="19" t="str">
        <f>IFERROR(__xludf.DUMMYFUNCTION("""COMPUTED_VALUE"""),"ZAD")</f>
        <v>ZAD</v>
      </c>
      <c r="C176" s="20">
        <f>IFERROR(__xludf.DUMMYFUNCTION("""COMPUTED_VALUE"""),190.6)</f>
        <v>190.6</v>
      </c>
      <c r="D176" s="21">
        <f>IFERROR(__xludf.DUMMYFUNCTION("""COMPUTED_VALUE"""),-4.44022253497417)</f>
        <v>-4.440222535</v>
      </c>
      <c r="E176" s="21">
        <f>IFERROR(__xludf.DUMMYFUNCTION("""COMPUTED_VALUE"""),1.184389599570372)</f>
        <v>1.1843896</v>
      </c>
      <c r="F176" s="21">
        <f>IFERROR(__xludf.DUMMYFUNCTION("""COMPUTED_VALUE"""),-3.2558329354037983)</f>
        <v>-3.255832935</v>
      </c>
      <c r="G176" s="23">
        <f>IFERROR(__xludf.DUMMYFUNCTION("""COMPUTED_VALUE"""),-0.07254745606250217)</f>
        <v>-0.07254745606</v>
      </c>
      <c r="H176" s="4"/>
      <c r="I176" s="5" t="s">
        <v>1306</v>
      </c>
      <c r="J176" s="5" t="s">
        <v>967</v>
      </c>
      <c r="K176" s="5">
        <v>191.0</v>
      </c>
      <c r="L176" s="5">
        <v>-4.44022</v>
      </c>
      <c r="M176" s="5">
        <v>1.18439</v>
      </c>
      <c r="N176" s="5">
        <v>-3.25583</v>
      </c>
      <c r="O176" s="5">
        <v>-0.07255</v>
      </c>
    </row>
    <row r="177">
      <c r="A177" s="12" t="str">
        <f>IFERROR(__xludf.DUMMYFUNCTION("""COMPUTED_VALUE"""),"Marko Calic")</f>
        <v>Marko Calic</v>
      </c>
      <c r="B177" s="13" t="str">
        <f>IFERROR(__xludf.DUMMYFUNCTION("""COMPUTED_VALUE"""),"MOR")</f>
        <v>MOR</v>
      </c>
      <c r="C177" s="14">
        <f>IFERROR(__xludf.DUMMYFUNCTION("""COMPUTED_VALUE"""),183.3)</f>
        <v>183.3</v>
      </c>
      <c r="D177" s="15">
        <f>IFERROR(__xludf.DUMMYFUNCTION("""COMPUTED_VALUE"""),-3.750288636119545)</f>
        <v>-3.750288636</v>
      </c>
      <c r="E177" s="15">
        <f>IFERROR(__xludf.DUMMYFUNCTION("""COMPUTED_VALUE"""),0.4876247475702189)</f>
        <v>0.4876247476</v>
      </c>
      <c r="F177" s="15">
        <f>IFERROR(__xludf.DUMMYFUNCTION("""COMPUTED_VALUE"""),-3.262663888549326)</f>
        <v>-3.262663889</v>
      </c>
      <c r="G177" s="17">
        <f>IFERROR(__xludf.DUMMYFUNCTION("""COMPUTED_VALUE"""),-0.07059395486791369)</f>
        <v>-0.07059395487</v>
      </c>
      <c r="H177" s="4"/>
      <c r="I177" s="5" t="s">
        <v>1309</v>
      </c>
      <c r="J177" s="5" t="s">
        <v>921</v>
      </c>
      <c r="K177" s="5">
        <v>183.0</v>
      </c>
      <c r="L177" s="5">
        <v>-3.75029</v>
      </c>
      <c r="M177" s="5">
        <v>0.48762</v>
      </c>
      <c r="N177" s="5">
        <v>-3.26266</v>
      </c>
      <c r="O177" s="5">
        <v>-0.07059</v>
      </c>
    </row>
    <row r="178">
      <c r="A178" s="18" t="str">
        <f>IFERROR(__xludf.DUMMYFUNCTION("""COMPUTED_VALUE"""),"Karlo Uljarevic")</f>
        <v>Karlo Uljarevic</v>
      </c>
      <c r="B178" s="19" t="str">
        <f>IFERROR(__xludf.DUMMYFUNCTION("""COMPUTED_VALUE"""),"CIB")</f>
        <v>CIB</v>
      </c>
      <c r="C178" s="20">
        <f>IFERROR(__xludf.DUMMYFUNCTION("""COMPUTED_VALUE"""),261.2)</f>
        <v>261.2</v>
      </c>
      <c r="D178" s="21">
        <f>IFERROR(__xludf.DUMMYFUNCTION("""COMPUTED_VALUE"""),0.24309810793383954)</f>
        <v>0.2430981079</v>
      </c>
      <c r="E178" s="21">
        <f>IFERROR(__xludf.DUMMYFUNCTION("""COMPUTED_VALUE"""),-3.7626270770339496)</f>
        <v>-3.762627077</v>
      </c>
      <c r="F178" s="21">
        <f>IFERROR(__xludf.DUMMYFUNCTION("""COMPUTED_VALUE"""),-3.51952896910011)</f>
        <v>-3.519528969</v>
      </c>
      <c r="G178" s="23">
        <f>IFERROR(__xludf.DUMMYFUNCTION("""COMPUTED_VALUE"""),-0.12067727246142551)</f>
        <v>-0.1206772725</v>
      </c>
      <c r="H178" s="4"/>
      <c r="I178" s="5" t="s">
        <v>1312</v>
      </c>
      <c r="J178" s="5" t="s">
        <v>1115</v>
      </c>
      <c r="K178" s="5">
        <v>261.0</v>
      </c>
      <c r="L178" s="5">
        <v>0.2431</v>
      </c>
      <c r="M178" s="5">
        <v>-3.76263</v>
      </c>
      <c r="N178" s="5">
        <v>-3.51953</v>
      </c>
      <c r="O178" s="5">
        <v>-0.12068</v>
      </c>
    </row>
    <row r="179">
      <c r="A179" s="12" t="str">
        <f>IFERROR(__xludf.DUMMYFUNCTION("""COMPUTED_VALUE"""),"Yordan Minchev")</f>
        <v>Yordan Minchev</v>
      </c>
      <c r="B179" s="13" t="str">
        <f>IFERROR(__xludf.DUMMYFUNCTION("""COMPUTED_VALUE"""),"MZT")</f>
        <v>MZT</v>
      </c>
      <c r="C179" s="14">
        <f>IFERROR(__xludf.DUMMYFUNCTION("""COMPUTED_VALUE"""),237.0)</f>
        <v>237</v>
      </c>
      <c r="D179" s="15">
        <f>IFERROR(__xludf.DUMMYFUNCTION("""COMPUTED_VALUE"""),-2.242083250740308)</f>
        <v>-2.242083251</v>
      </c>
      <c r="E179" s="15">
        <f>IFERROR(__xludf.DUMMYFUNCTION("""COMPUTED_VALUE"""),-1.3304807827394884)</f>
        <v>-1.330480783</v>
      </c>
      <c r="F179" s="15">
        <f>IFERROR(__xludf.DUMMYFUNCTION("""COMPUTED_VALUE"""),-3.5725640334797966)</f>
        <v>-3.572564033</v>
      </c>
      <c r="G179" s="17">
        <f>IFERROR(__xludf.DUMMYFUNCTION("""COMPUTED_VALUE"""),-0.11468294460043331)</f>
        <v>-0.1146829446</v>
      </c>
      <c r="H179" s="4"/>
      <c r="I179" s="5" t="s">
        <v>1315</v>
      </c>
      <c r="J179" s="5" t="s">
        <v>1136</v>
      </c>
      <c r="K179" s="5">
        <v>237.0</v>
      </c>
      <c r="L179" s="5">
        <v>-2.24208</v>
      </c>
      <c r="M179" s="5">
        <v>-1.33048</v>
      </c>
      <c r="N179" s="5">
        <v>-3.57256</v>
      </c>
      <c r="O179" s="5">
        <v>-0.11468</v>
      </c>
    </row>
    <row r="180">
      <c r="A180" s="18" t="str">
        <f>IFERROR(__xludf.DUMMYFUNCTION("""COMPUTED_VALUE"""),"Kevin Murphy")</f>
        <v>Kevin Murphy</v>
      </c>
      <c r="B180" s="19" t="str">
        <f>IFERROR(__xludf.DUMMYFUNCTION("""COMPUTED_VALUE"""),"CED")</f>
        <v>CED</v>
      </c>
      <c r="C180" s="20">
        <f>IFERROR(__xludf.DUMMYFUNCTION("""COMPUTED_VALUE"""),275.8)</f>
        <v>275.8</v>
      </c>
      <c r="D180" s="21">
        <f>IFERROR(__xludf.DUMMYFUNCTION("""COMPUTED_VALUE"""),-2.0105232505060284)</f>
        <v>-2.010523251</v>
      </c>
      <c r="E180" s="21">
        <f>IFERROR(__xludf.DUMMYFUNCTION("""COMPUTED_VALUE"""),-1.6763218709750123)</f>
        <v>-1.676321871</v>
      </c>
      <c r="F180" s="21">
        <f>IFERROR(__xludf.DUMMYFUNCTION("""COMPUTED_VALUE"""),-3.6868451214810407)</f>
        <v>-3.686845121</v>
      </c>
      <c r="G180" s="23">
        <f>IFERROR(__xludf.DUMMYFUNCTION("""COMPUTED_VALUE"""),-0.1404847165110261)</f>
        <v>-0.1404847165</v>
      </c>
      <c r="H180" s="4"/>
      <c r="I180" s="5" t="s">
        <v>1318</v>
      </c>
      <c r="J180" s="5" t="s">
        <v>928</v>
      </c>
      <c r="K180" s="5">
        <v>276.0</v>
      </c>
      <c r="L180" s="5">
        <v>-2.01052</v>
      </c>
      <c r="M180" s="5">
        <v>-1.67632</v>
      </c>
      <c r="N180" s="5">
        <v>-3.68685</v>
      </c>
      <c r="O180" s="5">
        <v>-0.14048</v>
      </c>
    </row>
    <row r="181">
      <c r="A181" s="12" t="str">
        <f>IFERROR(__xludf.DUMMYFUNCTION("""COMPUTED_VALUE"""),"Branislav Ratkovica")</f>
        <v>Branislav Ratkovica</v>
      </c>
      <c r="B181" s="13" t="str">
        <f>IFERROR(__xludf.DUMMYFUNCTION("""COMPUTED_VALUE"""),"CIB")</f>
        <v>CIB</v>
      </c>
      <c r="C181" s="14">
        <f>IFERROR(__xludf.DUMMYFUNCTION("""COMPUTED_VALUE"""),257.7)</f>
        <v>257.7</v>
      </c>
      <c r="D181" s="15">
        <f>IFERROR(__xludf.DUMMYFUNCTION("""COMPUTED_VALUE"""),-0.4774066355571205)</f>
        <v>-0.4774066356</v>
      </c>
      <c r="E181" s="15">
        <f>IFERROR(__xludf.DUMMYFUNCTION("""COMPUTED_VALUE"""),-3.428502329070334)</f>
        <v>-3.428502329</v>
      </c>
      <c r="F181" s="15">
        <f>IFERROR(__xludf.DUMMYFUNCTION("""COMPUTED_VALUE"""),-3.9059089646274545)</f>
        <v>-3.905908965</v>
      </c>
      <c r="G181" s="17">
        <f>IFERROR(__xludf.DUMMYFUNCTION("""COMPUTED_VALUE"""),-0.14933441340770862)</f>
        <v>-0.1493344134</v>
      </c>
      <c r="H181" s="4"/>
      <c r="I181" s="5" t="s">
        <v>1319</v>
      </c>
      <c r="J181" s="5" t="s">
        <v>1115</v>
      </c>
      <c r="K181" s="5">
        <v>258.0</v>
      </c>
      <c r="L181" s="5">
        <v>-0.47741</v>
      </c>
      <c r="M181" s="5">
        <v>-3.4285</v>
      </c>
      <c r="N181" s="5">
        <v>-3.90591</v>
      </c>
      <c r="O181" s="5">
        <v>-0.14933</v>
      </c>
    </row>
    <row r="182">
      <c r="A182" s="18" t="str">
        <f>IFERROR(__xludf.DUMMYFUNCTION("""COMPUTED_VALUE"""),"Desi Washington")</f>
        <v>Desi Washington</v>
      </c>
      <c r="B182" s="19" t="str">
        <f>IFERROR(__xludf.DUMMYFUNCTION("""COMPUTED_VALUE"""),"IGO")</f>
        <v>IGO</v>
      </c>
      <c r="C182" s="20">
        <f>IFERROR(__xludf.DUMMYFUNCTION("""COMPUTED_VALUE"""),140.1)</f>
        <v>140.1</v>
      </c>
      <c r="D182" s="21">
        <f>IFERROR(__xludf.DUMMYFUNCTION("""COMPUTED_VALUE"""),-2.4713613335673195)</f>
        <v>-2.471361334</v>
      </c>
      <c r="E182" s="21">
        <f>IFERROR(__xludf.DUMMYFUNCTION("""COMPUTED_VALUE"""),-1.4687096550978431)</f>
        <v>-1.468709655</v>
      </c>
      <c r="F182" s="21">
        <f>IFERROR(__xludf.DUMMYFUNCTION("""COMPUTED_VALUE"""),-3.9400709886651626)</f>
        <v>-3.940070989</v>
      </c>
      <c r="G182" s="23">
        <f>IFERROR(__xludf.DUMMYFUNCTION("""COMPUTED_VALUE"""),-0.08243054933139209)</f>
        <v>-0.08243054933</v>
      </c>
      <c r="H182" s="4"/>
      <c r="I182" s="5" t="s">
        <v>1321</v>
      </c>
      <c r="J182" s="5" t="s">
        <v>980</v>
      </c>
      <c r="K182" s="5">
        <v>140.0</v>
      </c>
      <c r="L182" s="5">
        <v>-2.47136</v>
      </c>
      <c r="M182" s="5">
        <v>-1.46871</v>
      </c>
      <c r="N182" s="5">
        <v>-3.94007</v>
      </c>
      <c r="O182" s="5">
        <v>-0.08243</v>
      </c>
    </row>
    <row r="183">
      <c r="A183" s="12" t="str">
        <f>IFERROR(__xludf.DUMMYFUNCTION("""COMPUTED_VALUE"""),"Eric Garcia")</f>
        <v>Eric Garcia</v>
      </c>
      <c r="B183" s="13" t="str">
        <f>IFERROR(__xludf.DUMMYFUNCTION("""COMPUTED_VALUE"""),"MZT")</f>
        <v>MZT</v>
      </c>
      <c r="C183" s="14">
        <f>IFERROR(__xludf.DUMMYFUNCTION("""COMPUTED_VALUE"""),199.2)</f>
        <v>199.2</v>
      </c>
      <c r="D183" s="15">
        <f>IFERROR(__xludf.DUMMYFUNCTION("""COMPUTED_VALUE"""),-0.7489832744015137)</f>
        <v>-0.7489832744</v>
      </c>
      <c r="E183" s="15">
        <f>IFERROR(__xludf.DUMMYFUNCTION("""COMPUTED_VALUE"""),-3.705515808472959)</f>
        <v>-3.705515808</v>
      </c>
      <c r="F183" s="15">
        <f>IFERROR(__xludf.DUMMYFUNCTION("""COMPUTED_VALUE"""),-4.454499082874473)</f>
        <v>-4.454499083</v>
      </c>
      <c r="G183" s="17">
        <f>IFERROR(__xludf.DUMMYFUNCTION("""COMPUTED_VALUE"""),-0.150450750684503)</f>
        <v>-0.1504507507</v>
      </c>
      <c r="H183" s="4"/>
      <c r="I183" s="5" t="s">
        <v>1323</v>
      </c>
      <c r="J183" s="5" t="s">
        <v>1136</v>
      </c>
      <c r="K183" s="5">
        <v>199.0</v>
      </c>
      <c r="L183" s="5">
        <v>-0.74898</v>
      </c>
      <c r="M183" s="5">
        <v>-3.70552</v>
      </c>
      <c r="N183" s="5">
        <v>-4.4545</v>
      </c>
      <c r="O183" s="5">
        <v>-0.15045</v>
      </c>
    </row>
    <row r="184">
      <c r="A184" s="18" t="str">
        <f>IFERROR(__xludf.DUMMYFUNCTION("""COMPUTED_VALUE"""),"Djoko Salic")</f>
        <v>Djoko Salic</v>
      </c>
      <c r="B184" s="19" t="str">
        <f>IFERROR(__xludf.DUMMYFUNCTION("""COMPUTED_VALUE"""),"PAR")</f>
        <v>PAR</v>
      </c>
      <c r="C184" s="20">
        <f>IFERROR(__xludf.DUMMYFUNCTION("""COMPUTED_VALUE"""),327.1)</f>
        <v>327.1</v>
      </c>
      <c r="D184" s="21">
        <f>IFERROR(__xludf.DUMMYFUNCTION("""COMPUTED_VALUE"""),-2.5453774045715445)</f>
        <v>-2.545377405</v>
      </c>
      <c r="E184" s="21">
        <f>IFERROR(__xludf.DUMMYFUNCTION("""COMPUTED_VALUE"""),-1.9684422311997212)</f>
        <v>-1.968442231</v>
      </c>
      <c r="F184" s="21">
        <f>IFERROR(__xludf.DUMMYFUNCTION("""COMPUTED_VALUE"""),-4.513819635771266)</f>
        <v>-4.513819636</v>
      </c>
      <c r="G184" s="23">
        <f>IFERROR(__xludf.DUMMYFUNCTION("""COMPUTED_VALUE"""),-0.24937729751632717)</f>
        <v>-0.2493772975</v>
      </c>
      <c r="H184" s="4"/>
      <c r="I184" s="5" t="s">
        <v>1325</v>
      </c>
      <c r="J184" s="5" t="s">
        <v>962</v>
      </c>
      <c r="K184" s="5">
        <v>327.0</v>
      </c>
      <c r="L184" s="5">
        <v>-2.54538</v>
      </c>
      <c r="M184" s="5">
        <v>-1.96844</v>
      </c>
      <c r="N184" s="5">
        <v>-4.51382</v>
      </c>
      <c r="O184" s="5">
        <v>-0.24938</v>
      </c>
    </row>
    <row r="185">
      <c r="A185" s="12" t="str">
        <f>IFERROR(__xludf.DUMMYFUNCTION("""COMPUTED_VALUE"""),"Darko Sokolov")</f>
        <v>Darko Sokolov</v>
      </c>
      <c r="B185" s="13" t="str">
        <f>IFERROR(__xludf.DUMMYFUNCTION("""COMPUTED_VALUE"""),"MZT")</f>
        <v>MZT</v>
      </c>
      <c r="C185" s="14">
        <f>IFERROR(__xludf.DUMMYFUNCTION("""COMPUTED_VALUE"""),152.8)</f>
        <v>152.8</v>
      </c>
      <c r="D185" s="15">
        <f>IFERROR(__xludf.DUMMYFUNCTION("""COMPUTED_VALUE"""),-1.8356320702278202)</f>
        <v>-1.83563207</v>
      </c>
      <c r="E185" s="15">
        <f>IFERROR(__xludf.DUMMYFUNCTION("""COMPUTED_VALUE"""),-2.7265446666917788)</f>
        <v>-2.726544667</v>
      </c>
      <c r="F185" s="15">
        <f>IFERROR(__xludf.DUMMYFUNCTION("""COMPUTED_VALUE"""),-4.562176736919599)</f>
        <v>-4.562176737</v>
      </c>
      <c r="G185" s="17">
        <f>IFERROR(__xludf.DUMMYFUNCTION("""COMPUTED_VALUE"""),-0.12046880122788926)</f>
        <v>-0.1204688012</v>
      </c>
      <c r="H185" s="4"/>
      <c r="I185" s="5" t="s">
        <v>1328</v>
      </c>
      <c r="J185" s="5" t="s">
        <v>1136</v>
      </c>
      <c r="K185" s="5">
        <v>153.0</v>
      </c>
      <c r="L185" s="5">
        <v>-1.83563</v>
      </c>
      <c r="M185" s="5">
        <v>-2.72654</v>
      </c>
      <c r="N185" s="5">
        <v>-4.56218</v>
      </c>
      <c r="O185" s="5">
        <v>-0.12047</v>
      </c>
    </row>
    <row r="186">
      <c r="A186" s="18" t="str">
        <f>IFERROR(__xludf.DUMMYFUNCTION("""COMPUTED_VALUE"""),"Lovre Basic")</f>
        <v>Lovre Basic</v>
      </c>
      <c r="B186" s="19" t="str">
        <f>IFERROR(__xludf.DUMMYFUNCTION("""COMPUTED_VALUE"""),"ZAD")</f>
        <v>ZAD</v>
      </c>
      <c r="C186" s="20">
        <f>IFERROR(__xludf.DUMMYFUNCTION("""COMPUTED_VALUE"""),364.6)</f>
        <v>364.6</v>
      </c>
      <c r="D186" s="21">
        <f>IFERROR(__xludf.DUMMYFUNCTION("""COMPUTED_VALUE"""),-1.9400241679508892)</f>
        <v>-1.940024168</v>
      </c>
      <c r="E186" s="21">
        <f>IFERROR(__xludf.DUMMYFUNCTION("""COMPUTED_VALUE"""),-3.0209145451674395)</f>
        <v>-3.020914545</v>
      </c>
      <c r="F186" s="21">
        <f>IFERROR(__xludf.DUMMYFUNCTION("""COMPUTED_VALUE"""),-4.9609387131183285)</f>
        <v>-4.960938713</v>
      </c>
      <c r="G186" s="23">
        <f>IFERROR(__xludf.DUMMYFUNCTION("""COMPUTED_VALUE"""),-0.3272001587854576)</f>
        <v>-0.3272001588</v>
      </c>
      <c r="H186" s="4"/>
      <c r="I186" s="5" t="s">
        <v>1330</v>
      </c>
      <c r="J186" s="5" t="s">
        <v>967</v>
      </c>
      <c r="K186" s="5">
        <v>365.0</v>
      </c>
      <c r="L186" s="5">
        <v>-1.94002</v>
      </c>
      <c r="M186" s="5">
        <v>-3.02091</v>
      </c>
      <c r="N186" s="5">
        <v>-4.96094</v>
      </c>
      <c r="O186" s="5">
        <v>-0.3272</v>
      </c>
    </row>
    <row r="187">
      <c r="A187" s="12" t="str">
        <f>IFERROR(__xludf.DUMMYFUNCTION("""COMPUTED_VALUE"""),"Danilo Sibalic")</f>
        <v>Danilo Sibalic</v>
      </c>
      <c r="B187" s="13" t="str">
        <f>IFERROR(__xludf.DUMMYFUNCTION("""COMPUTED_VALUE"""),"IGO")</f>
        <v>IGO</v>
      </c>
      <c r="C187" s="14">
        <f>IFERROR(__xludf.DUMMYFUNCTION("""COMPUTED_VALUE"""),494.1)</f>
        <v>494.1</v>
      </c>
      <c r="D187" s="15">
        <f>IFERROR(__xludf.DUMMYFUNCTION("""COMPUTED_VALUE"""),-2.564928717647039)</f>
        <v>-2.564928718</v>
      </c>
      <c r="E187" s="15">
        <f>IFERROR(__xludf.DUMMYFUNCTION("""COMPUTED_VALUE"""),-2.437292254119016)</f>
        <v>-2.437292254</v>
      </c>
      <c r="F187" s="15">
        <f>IFERROR(__xludf.DUMMYFUNCTION("""COMPUTED_VALUE"""),-5.002220971766055)</f>
        <v>-5.002220972</v>
      </c>
      <c r="G187" s="17">
        <f>IFERROR(__xludf.DUMMYFUNCTION("""COMPUTED_VALUE"""),-0.44987301732140395)</f>
        <v>-0.4498730173</v>
      </c>
      <c r="H187" s="4"/>
      <c r="I187" s="5" t="s">
        <v>1333</v>
      </c>
      <c r="J187" s="5" t="s">
        <v>980</v>
      </c>
      <c r="K187" s="5">
        <v>494.0</v>
      </c>
      <c r="L187" s="5">
        <v>-2.56493</v>
      </c>
      <c r="M187" s="5">
        <v>-2.43729</v>
      </c>
      <c r="N187" s="5">
        <v>-5.00222</v>
      </c>
      <c r="O187" s="5">
        <v>-0.44987</v>
      </c>
    </row>
    <row r="188">
      <c r="A188" s="18" t="str">
        <f>IFERROR(__xludf.DUMMYFUNCTION("""COMPUTED_VALUE"""),"Marko Simonovski")</f>
        <v>Marko Simonovski</v>
      </c>
      <c r="B188" s="19" t="str">
        <f>IFERROR(__xludf.DUMMYFUNCTION("""COMPUTED_VALUE"""),"MZT")</f>
        <v>MZT</v>
      </c>
      <c r="C188" s="20">
        <f>IFERROR(__xludf.DUMMYFUNCTION("""COMPUTED_VALUE"""),228.9)</f>
        <v>228.9</v>
      </c>
      <c r="D188" s="21">
        <f>IFERROR(__xludf.DUMMYFUNCTION("""COMPUTED_VALUE"""),-2.051824880559012)</f>
        <v>-2.051824881</v>
      </c>
      <c r="E188" s="21">
        <f>IFERROR(__xludf.DUMMYFUNCTION("""COMPUTED_VALUE"""),-3.0475906616704678)</f>
        <v>-3.047590662</v>
      </c>
      <c r="F188" s="21">
        <f>IFERROR(__xludf.DUMMYFUNCTION("""COMPUTED_VALUE"""),-5.09941554222948)</f>
        <v>-5.099415542</v>
      </c>
      <c r="G188" s="23">
        <f>IFERROR(__xludf.DUMMYFUNCTION("""COMPUTED_VALUE"""),-0.21830704443560622)</f>
        <v>-0.2183070444</v>
      </c>
      <c r="H188" s="4"/>
      <c r="I188" s="5" t="s">
        <v>1336</v>
      </c>
      <c r="J188" s="5" t="s">
        <v>1136</v>
      </c>
      <c r="K188" s="5">
        <v>229.0</v>
      </c>
      <c r="L188" s="5">
        <v>-2.05182</v>
      </c>
      <c r="M188" s="5">
        <v>-3.04759</v>
      </c>
      <c r="N188" s="5">
        <v>-5.09942</v>
      </c>
      <c r="O188" s="5">
        <v>-0.21831</v>
      </c>
    </row>
    <row r="189">
      <c r="A189" s="12" t="str">
        <f>IFERROR(__xludf.DUMMYFUNCTION("""COMPUTED_VALUE"""),"Bojan Radulovic")</f>
        <v>Bojan Radulovic</v>
      </c>
      <c r="B189" s="13" t="str">
        <f>IFERROR(__xludf.DUMMYFUNCTION("""COMPUTED_VALUE"""),"OLI")</f>
        <v>OLI</v>
      </c>
      <c r="C189" s="14">
        <f>IFERROR(__xludf.DUMMYFUNCTION("""COMPUTED_VALUE"""),205.6)</f>
        <v>205.6</v>
      </c>
      <c r="D189" s="15">
        <f>IFERROR(__xludf.DUMMYFUNCTION("""COMPUTED_VALUE"""),-5.35442044466501)</f>
        <v>-5.354420445</v>
      </c>
      <c r="E189" s="15">
        <f>IFERROR(__xludf.DUMMYFUNCTION("""COMPUTED_VALUE"""),-0.21724339734915787)</f>
        <v>-0.2172433973</v>
      </c>
      <c r="F189" s="15">
        <f>IFERROR(__xludf.DUMMYFUNCTION("""COMPUTED_VALUE"""),-5.571663842014168)</f>
        <v>-5.571663842</v>
      </c>
      <c r="G189" s="17">
        <f>IFERROR(__xludf.DUMMYFUNCTION("""COMPUTED_VALUE"""),-0.2214613678599754)</f>
        <v>-0.2214613679</v>
      </c>
      <c r="H189" s="4"/>
      <c r="I189" s="5" t="s">
        <v>1340</v>
      </c>
      <c r="J189" s="5" t="s">
        <v>711</v>
      </c>
      <c r="K189" s="5">
        <v>206.0</v>
      </c>
      <c r="L189" s="5">
        <v>-5.35442</v>
      </c>
      <c r="M189" s="5">
        <v>-0.21724</v>
      </c>
      <c r="N189" s="5">
        <v>-5.57166</v>
      </c>
      <c r="O189" s="5">
        <v>-0.22146</v>
      </c>
    </row>
    <row r="190">
      <c r="A190" s="18" t="str">
        <f>IFERROR(__xludf.DUMMYFUNCTION("""COMPUTED_VALUE"""),"Dorde Majstorovic")</f>
        <v>Dorde Majstorovic</v>
      </c>
      <c r="B190" s="19" t="str">
        <f>IFERROR(__xludf.DUMMYFUNCTION("""COMPUTED_VALUE"""),"MZT")</f>
        <v>MZT</v>
      </c>
      <c r="C190" s="20">
        <f>IFERROR(__xludf.DUMMYFUNCTION("""COMPUTED_VALUE"""),198.9)</f>
        <v>198.9</v>
      </c>
      <c r="D190" s="21">
        <f>IFERROR(__xludf.DUMMYFUNCTION("""COMPUTED_VALUE"""),-4.244455544476557)</f>
        <v>-4.244455544</v>
      </c>
      <c r="E190" s="21">
        <f>IFERROR(__xludf.DUMMYFUNCTION("""COMPUTED_VALUE"""),-1.4918663211362961)</f>
        <v>-1.491866321</v>
      </c>
      <c r="F190" s="21">
        <f>IFERROR(__xludf.DUMMYFUNCTION("""COMPUTED_VALUE"""),-5.736321865612853)</f>
        <v>-5.736321866</v>
      </c>
      <c r="G190" s="23">
        <f>IFERROR(__xludf.DUMMYFUNCTION("""COMPUTED_VALUE"""),-0.22867633091102868)</f>
        <v>-0.2286763309</v>
      </c>
      <c r="H190" s="4"/>
      <c r="I190" s="5" t="s">
        <v>1343</v>
      </c>
      <c r="J190" s="5" t="s">
        <v>1136</v>
      </c>
      <c r="K190" s="5">
        <v>199.0</v>
      </c>
      <c r="L190" s="5">
        <v>-4.24446</v>
      </c>
      <c r="M190" s="5">
        <v>-1.49187</v>
      </c>
      <c r="N190" s="5">
        <v>-5.73632</v>
      </c>
      <c r="O190" s="5">
        <v>-0.22868</v>
      </c>
    </row>
    <row r="191">
      <c r="A191" s="12" t="str">
        <f>IFERROR(__xludf.DUMMYFUNCTION("""COMPUTED_VALUE"""),"Drazen Bubnic")</f>
        <v>Drazen Bubnic</v>
      </c>
      <c r="B191" s="13" t="str">
        <f>IFERROR(__xludf.DUMMYFUNCTION("""COMPUTED_VALUE"""),"OLI")</f>
        <v>OLI</v>
      </c>
      <c r="C191" s="14">
        <f>IFERROR(__xludf.DUMMYFUNCTION("""COMPUTED_VALUE"""),196.6)</f>
        <v>196.6</v>
      </c>
      <c r="D191" s="15">
        <f>IFERROR(__xludf.DUMMYFUNCTION("""COMPUTED_VALUE"""),-4.78383567775585)</f>
        <v>-4.783835678</v>
      </c>
      <c r="E191" s="15">
        <f>IFERROR(__xludf.DUMMYFUNCTION("""COMPUTED_VALUE"""),-0.9720902373706579)</f>
        <v>-0.9720902374</v>
      </c>
      <c r="F191" s="15">
        <f>IFERROR(__xludf.DUMMYFUNCTION("""COMPUTED_VALUE"""),-5.755925915126508)</f>
        <v>-5.755925915</v>
      </c>
      <c r="G191" s="17">
        <f>IFERROR(__xludf.DUMMYFUNCTION("""COMPUTED_VALUE"""),-0.22269210542765552)</f>
        <v>-0.2226921054</v>
      </c>
      <c r="H191" s="4"/>
      <c r="I191" s="5" t="s">
        <v>1346</v>
      </c>
      <c r="J191" s="5" t="s">
        <v>711</v>
      </c>
      <c r="K191" s="5">
        <v>197.0</v>
      </c>
      <c r="L191" s="5">
        <v>-4.78384</v>
      </c>
      <c r="M191" s="5">
        <v>-0.97209</v>
      </c>
      <c r="N191" s="5">
        <v>-5.75593</v>
      </c>
      <c r="O191" s="5">
        <v>-0.22269</v>
      </c>
    </row>
    <row r="192">
      <c r="A192" s="18" t="str">
        <f>IFERROR(__xludf.DUMMYFUNCTION("""COMPUTED_VALUE"""),"Erjon Kastrati")</f>
        <v>Erjon Kastrati</v>
      </c>
      <c r="B192" s="19" t="str">
        <f>IFERROR(__xludf.DUMMYFUNCTION("""COMPUTED_VALUE"""),"OLI")</f>
        <v>OLI</v>
      </c>
      <c r="C192" s="20">
        <f>IFERROR(__xludf.DUMMYFUNCTION("""COMPUTED_VALUE"""),232.3)</f>
        <v>232.3</v>
      </c>
      <c r="D192" s="21">
        <f>IFERROR(__xludf.DUMMYFUNCTION("""COMPUTED_VALUE"""),-4.785751966123509)</f>
        <v>-4.785751966</v>
      </c>
      <c r="E192" s="21">
        <f>IFERROR(__xludf.DUMMYFUNCTION("""COMPUTED_VALUE"""),-1.2830614801535942)</f>
        <v>-1.28306148</v>
      </c>
      <c r="F192" s="21">
        <f>IFERROR(__xludf.DUMMYFUNCTION("""COMPUTED_VALUE"""),-6.068813446277103)</f>
        <v>-6.068813446</v>
      </c>
      <c r="G192" s="23">
        <f>IFERROR(__xludf.DUMMYFUNCTION("""COMPUTED_VALUE"""),-0.28505015293654795)</f>
        <v>-0.2850501529</v>
      </c>
      <c r="H192" s="4"/>
      <c r="I192" s="5" t="s">
        <v>1350</v>
      </c>
      <c r="J192" s="5" t="s">
        <v>711</v>
      </c>
      <c r="K192" s="5">
        <v>232.0</v>
      </c>
      <c r="L192" s="5">
        <v>-4.78575</v>
      </c>
      <c r="M192" s="5">
        <v>-1.28306</v>
      </c>
      <c r="N192" s="5">
        <v>-6.06881</v>
      </c>
      <c r="O192" s="5">
        <v>-0.28505</v>
      </c>
    </row>
    <row r="193">
      <c r="A193" s="12" t="str">
        <f>IFERROR(__xludf.DUMMYFUNCTION("""COMPUTED_VALUE"""),"Stefan Glogovac")</f>
        <v>Stefan Glogovac</v>
      </c>
      <c r="B193" s="13" t="str">
        <f>IFERROR(__xludf.DUMMYFUNCTION("""COMPUTED_VALUE"""),"IGO")</f>
        <v>IGO</v>
      </c>
      <c r="C193" s="14">
        <f>IFERROR(__xludf.DUMMYFUNCTION("""COMPUTED_VALUE"""),246.4)</f>
        <v>246.4</v>
      </c>
      <c r="D193" s="15">
        <f>IFERROR(__xludf.DUMMYFUNCTION("""COMPUTED_VALUE"""),-3.8346696309974715)</f>
        <v>-3.834669631</v>
      </c>
      <c r="E193" s="15">
        <f>IFERROR(__xludf.DUMMYFUNCTION("""COMPUTED_VALUE"""),-2.3455792697628044)</f>
        <v>-2.34557927</v>
      </c>
      <c r="F193" s="15">
        <f>IFERROR(__xludf.DUMMYFUNCTION("""COMPUTED_VALUE"""),-6.180248900760276)</f>
        <v>-6.180248901</v>
      </c>
      <c r="G193" s="17">
        <f>IFERROR(__xludf.DUMMYFUNCTION("""COMPUTED_VALUE"""),-0.3123742901536556)</f>
        <v>-0.3123742902</v>
      </c>
      <c r="H193" s="4"/>
      <c r="I193" s="5" t="s">
        <v>1353</v>
      </c>
      <c r="J193" s="5" t="s">
        <v>980</v>
      </c>
      <c r="K193" s="5">
        <v>246.0</v>
      </c>
      <c r="L193" s="5">
        <v>-3.83467</v>
      </c>
      <c r="M193" s="5">
        <v>-2.34558</v>
      </c>
      <c r="N193" s="5">
        <v>-6.18025</v>
      </c>
      <c r="O193" s="5">
        <v>-0.31237</v>
      </c>
    </row>
    <row r="194">
      <c r="A194" s="18" t="str">
        <f>IFERROR(__xludf.DUMMYFUNCTION("""COMPUTED_VALUE"""),"Radosav Spasojevic")</f>
        <v>Radosav Spasojevic</v>
      </c>
      <c r="B194" s="19" t="str">
        <f>IFERROR(__xludf.DUMMYFUNCTION("""COMPUTED_VALUE"""),"MZT")</f>
        <v>MZT</v>
      </c>
      <c r="C194" s="20">
        <f>IFERROR(__xludf.DUMMYFUNCTION("""COMPUTED_VALUE"""),310.2)</f>
        <v>310.2</v>
      </c>
      <c r="D194" s="21">
        <f>IFERROR(__xludf.DUMMYFUNCTION("""COMPUTED_VALUE"""),-2.0389400528661743)</f>
        <v>-2.038940053</v>
      </c>
      <c r="E194" s="21">
        <f>IFERROR(__xludf.DUMMYFUNCTION("""COMPUTED_VALUE"""),-4.222598587624917)</f>
        <v>-4.222598588</v>
      </c>
      <c r="F194" s="21">
        <f>IFERROR(__xludf.DUMMYFUNCTION("""COMPUTED_VALUE"""),-6.261538640491092)</f>
        <v>-6.26153864</v>
      </c>
      <c r="G194" s="23">
        <f>IFERROR(__xludf.DUMMYFUNCTION("""COMPUTED_VALUE"""),-0.4067713669637575)</f>
        <v>-0.406771367</v>
      </c>
      <c r="H194" s="4"/>
      <c r="I194" s="5" t="s">
        <v>1357</v>
      </c>
      <c r="J194" s="5" t="s">
        <v>1136</v>
      </c>
      <c r="K194" s="5">
        <v>310.0</v>
      </c>
      <c r="L194" s="5">
        <v>-2.03894</v>
      </c>
      <c r="M194" s="5">
        <v>-4.2226</v>
      </c>
      <c r="N194" s="5">
        <v>-6.26154</v>
      </c>
      <c r="O194" s="5">
        <v>-0.40677</v>
      </c>
    </row>
    <row r="195">
      <c r="A195" s="12" t="str">
        <f>IFERROR(__xludf.DUMMYFUNCTION("""COMPUTED_VALUE"""),"Igor Penov")</f>
        <v>Igor Penov</v>
      </c>
      <c r="B195" s="13" t="str">
        <f>IFERROR(__xludf.DUMMYFUNCTION("""COMPUTED_VALUE"""),"MZT")</f>
        <v>MZT</v>
      </c>
      <c r="C195" s="14">
        <f>IFERROR(__xludf.DUMMYFUNCTION("""COMPUTED_VALUE"""),221.2)</f>
        <v>221.2</v>
      </c>
      <c r="D195" s="15">
        <f>IFERROR(__xludf.DUMMYFUNCTION("""COMPUTED_VALUE"""),-5.297340804798091)</f>
        <v>-5.297340805</v>
      </c>
      <c r="E195" s="15">
        <f>IFERROR(__xludf.DUMMYFUNCTION("""COMPUTED_VALUE"""),-1.932802753083748)</f>
        <v>-1.932802753</v>
      </c>
      <c r="F195" s="15">
        <f>IFERROR(__xludf.DUMMYFUNCTION("""COMPUTED_VALUE"""),-7.230143557881839)</f>
        <v>-7.230143558</v>
      </c>
      <c r="G195" s="17">
        <f>IFERROR(__xludf.DUMMYFUNCTION("""COMPUTED_VALUE"""),-0.3559925283733616)</f>
        <v>-0.3559925284</v>
      </c>
      <c r="H195" s="4"/>
      <c r="I195" s="5" t="s">
        <v>1361</v>
      </c>
      <c r="J195" s="5" t="s">
        <v>1136</v>
      </c>
      <c r="K195" s="5">
        <v>221.0</v>
      </c>
      <c r="L195" s="5">
        <v>-5.29734</v>
      </c>
      <c r="M195" s="5">
        <v>-1.9328</v>
      </c>
      <c r="N195" s="5">
        <v>-7.23014</v>
      </c>
      <c r="O195" s="5">
        <v>-0.35599</v>
      </c>
    </row>
    <row r="196">
      <c r="A196" s="18" t="str">
        <f>IFERROR(__xludf.DUMMYFUNCTION("""COMPUTED_VALUE"""),"Bojan Trajkovski")</f>
        <v>Bojan Trajkovski</v>
      </c>
      <c r="B196" s="19" t="str">
        <f>IFERROR(__xludf.DUMMYFUNCTION("""COMPUTED_VALUE"""),"MZT")</f>
        <v>MZT</v>
      </c>
      <c r="C196" s="20">
        <f>IFERROR(__xludf.DUMMYFUNCTION("""COMPUTED_VALUE"""),497.9)</f>
        <v>497.9</v>
      </c>
      <c r="D196" s="21">
        <f>IFERROR(__xludf.DUMMYFUNCTION("""COMPUTED_VALUE"""),-6.10975814679054)</f>
        <v>-6.109758147</v>
      </c>
      <c r="E196" s="21">
        <f>IFERROR(__xludf.DUMMYFUNCTION("""COMPUTED_VALUE"""),-3.593001514751066)</f>
        <v>-3.593001515</v>
      </c>
      <c r="F196" s="21">
        <f>IFERROR(__xludf.DUMMYFUNCTION("""COMPUTED_VALUE"""),-9.702759661541606)</f>
        <v>-9.702759662</v>
      </c>
      <c r="G196" s="23">
        <f>IFERROR(__xludf.DUMMYFUNCTION("""COMPUTED_VALUE"""),-1.1801321025933615)</f>
        <v>-1.180132103</v>
      </c>
      <c r="H196" s="4"/>
      <c r="I196" s="5" t="s">
        <v>1362</v>
      </c>
      <c r="J196" s="5" t="s">
        <v>1136</v>
      </c>
      <c r="K196" s="5">
        <v>498.0</v>
      </c>
      <c r="L196" s="5">
        <v>-6.10976</v>
      </c>
      <c r="M196" s="5">
        <v>-3.593</v>
      </c>
      <c r="N196" s="5">
        <v>-9.70276</v>
      </c>
      <c r="O196" s="5">
        <v>-1.18013</v>
      </c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/>
      <c r="J197" s="5"/>
      <c r="K197" s="5"/>
      <c r="L197" s="5"/>
      <c r="M197" s="5"/>
      <c r="N197" s="5"/>
      <c r="O197" s="5"/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/>
      <c r="J198" s="5"/>
      <c r="K198" s="24"/>
      <c r="L198" s="5"/>
      <c r="M198" s="5"/>
      <c r="N198" s="5"/>
      <c r="O198" s="5"/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/>
      <c r="J199" s="5"/>
      <c r="K199" s="5"/>
      <c r="L199" s="5"/>
      <c r="M199" s="5"/>
      <c r="N199" s="5"/>
      <c r="O199" s="5"/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/>
      <c r="J200" s="5"/>
      <c r="K200" s="5"/>
      <c r="L200" s="5"/>
      <c r="M200" s="5"/>
      <c r="N200" s="5"/>
      <c r="O200" s="5"/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/>
      <c r="J201" s="5"/>
      <c r="K201" s="5"/>
      <c r="L201" s="5"/>
      <c r="M201" s="5"/>
      <c r="N201" s="5"/>
      <c r="O201" s="5"/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/>
      <c r="J202" s="5"/>
      <c r="K202" s="5"/>
      <c r="L202" s="5"/>
      <c r="M202" s="5"/>
      <c r="N202" s="5"/>
      <c r="O202" s="5"/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/>
      <c r="J203" s="5"/>
      <c r="K203" s="5"/>
      <c r="L203" s="5"/>
      <c r="M203" s="5"/>
      <c r="N203" s="5"/>
      <c r="O203" s="5"/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/>
      <c r="J204" s="5"/>
      <c r="K204" s="5"/>
      <c r="L204" s="5"/>
      <c r="M204" s="5"/>
      <c r="N204" s="5"/>
      <c r="O204" s="5"/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/>
      <c r="J205" s="5"/>
      <c r="K205" s="5"/>
      <c r="L205" s="5"/>
      <c r="M205" s="5"/>
      <c r="N205" s="5"/>
      <c r="O205" s="5"/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/>
      <c r="J206" s="5"/>
      <c r="K206" s="5"/>
      <c r="L206" s="5"/>
      <c r="M206" s="5"/>
      <c r="N206" s="5"/>
      <c r="O206" s="5"/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/>
      <c r="J207" s="5"/>
      <c r="K207" s="5"/>
      <c r="L207" s="5"/>
      <c r="M207" s="5"/>
      <c r="N207" s="5"/>
      <c r="O207" s="5"/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/>
      <c r="J208" s="5"/>
      <c r="K208" s="5"/>
      <c r="L208" s="5"/>
      <c r="M208" s="5"/>
      <c r="N208" s="5"/>
      <c r="O208" s="5"/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/>
      <c r="J209" s="5"/>
      <c r="K209" s="5"/>
      <c r="L209" s="5"/>
      <c r="M209" s="5"/>
      <c r="N209" s="5"/>
      <c r="O209" s="5"/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/>
      <c r="J210" s="5"/>
      <c r="K210" s="5"/>
      <c r="L210" s="5"/>
      <c r="M210" s="5"/>
      <c r="N210" s="5"/>
      <c r="O210" s="5"/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/>
      <c r="J211" s="5"/>
      <c r="K211" s="5"/>
      <c r="L211" s="5"/>
      <c r="M211" s="5"/>
      <c r="N211" s="5"/>
      <c r="O211" s="5"/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/>
      <c r="J212" s="5"/>
      <c r="K212" s="5"/>
      <c r="L212" s="5"/>
      <c r="M212" s="5"/>
      <c r="N212" s="5"/>
      <c r="O212" s="5"/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/>
      <c r="J213" s="5"/>
      <c r="K213" s="5"/>
      <c r="L213" s="5"/>
      <c r="M213" s="5"/>
      <c r="N213" s="5"/>
      <c r="O213" s="5"/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/>
      <c r="J214" s="5"/>
      <c r="K214" s="5"/>
      <c r="L214" s="5"/>
      <c r="M214" s="5"/>
      <c r="N214" s="5"/>
      <c r="O214" s="5"/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/>
      <c r="J215" s="5"/>
      <c r="K215" s="5"/>
      <c r="L215" s="5"/>
      <c r="M215" s="5"/>
      <c r="N215" s="5"/>
      <c r="O215" s="5"/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/>
      <c r="J216" s="5"/>
      <c r="K216" s="5"/>
      <c r="L216" s="5"/>
      <c r="M216" s="5"/>
      <c r="N216" s="5"/>
      <c r="O216" s="5"/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/>
      <c r="J217" s="5"/>
      <c r="K217" s="5"/>
      <c r="L217" s="5"/>
      <c r="M217" s="5"/>
      <c r="N217" s="5"/>
      <c r="O217" s="5"/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/>
      <c r="J218" s="5"/>
      <c r="K218" s="5"/>
      <c r="L218" s="5"/>
      <c r="M218" s="5"/>
      <c r="N218" s="5"/>
      <c r="O218" s="5"/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/>
      <c r="J219" s="5"/>
      <c r="K219" s="5"/>
      <c r="L219" s="5"/>
      <c r="M219" s="5"/>
      <c r="N219" s="5"/>
      <c r="O219" s="5"/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/>
      <c r="J220" s="5"/>
      <c r="K220" s="5"/>
      <c r="L220" s="5"/>
      <c r="M220" s="5"/>
      <c r="N220" s="5"/>
      <c r="O220" s="5"/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/>
      <c r="J221" s="5"/>
      <c r="K221" s="5"/>
      <c r="L221" s="5"/>
      <c r="M221" s="5"/>
      <c r="N221" s="5"/>
      <c r="O221" s="5"/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/>
      <c r="J222" s="5"/>
      <c r="K222" s="5"/>
      <c r="L222" s="5"/>
      <c r="M222" s="5"/>
      <c r="N222" s="5"/>
      <c r="O222" s="5"/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/>
      <c r="J223" s="5"/>
      <c r="K223" s="5"/>
      <c r="L223" s="5"/>
      <c r="M223" s="5"/>
      <c r="N223" s="5"/>
      <c r="O223" s="5"/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/>
      <c r="J224" s="5"/>
      <c r="K224" s="5"/>
      <c r="L224" s="5"/>
      <c r="M224" s="5"/>
      <c r="N224" s="5"/>
      <c r="O224" s="5"/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/>
      <c r="J225" s="5"/>
      <c r="K225" s="5"/>
      <c r="L225" s="5"/>
      <c r="M225" s="5"/>
      <c r="N225" s="5"/>
      <c r="O225" s="5"/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/>
      <c r="J226" s="5"/>
      <c r="K226" s="5"/>
      <c r="L226" s="5"/>
      <c r="M226" s="5"/>
      <c r="N226" s="5"/>
      <c r="O226" s="5"/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/>
      <c r="J227" s="5"/>
      <c r="K227" s="5"/>
      <c r="L227" s="5"/>
      <c r="M227" s="5"/>
      <c r="N227" s="5"/>
      <c r="O227" s="5"/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/>
      <c r="J228" s="5"/>
      <c r="K228" s="5"/>
      <c r="L228" s="5"/>
      <c r="M228" s="5"/>
      <c r="N228" s="5"/>
      <c r="O228" s="5"/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/>
      <c r="J229" s="5"/>
      <c r="K229" s="5"/>
      <c r="L229" s="5"/>
      <c r="M229" s="5"/>
      <c r="N229" s="5"/>
      <c r="O229" s="5"/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/>
      <c r="J230" s="5"/>
      <c r="K230" s="5"/>
      <c r="L230" s="5"/>
      <c r="M230" s="5"/>
      <c r="N230" s="5"/>
      <c r="O230" s="5"/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/>
      <c r="J231" s="5"/>
      <c r="K231" s="5"/>
      <c r="L231" s="5"/>
      <c r="M231" s="5"/>
      <c r="N231" s="5"/>
      <c r="O231" s="5"/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/>
      <c r="J232" s="5"/>
      <c r="K232" s="5"/>
      <c r="L232" s="5"/>
      <c r="M232" s="5"/>
      <c r="N232" s="5"/>
      <c r="O232" s="5"/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/>
      <c r="J233" s="5"/>
      <c r="K233" s="24"/>
      <c r="L233" s="5"/>
      <c r="M233" s="5"/>
      <c r="N233" s="5"/>
      <c r="O233" s="5"/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5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5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5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5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5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D517" s="25"/>
      <c r="E517" s="25"/>
      <c r="F517" s="25"/>
      <c r="G517" s="26"/>
      <c r="H517" s="4"/>
    </row>
    <row r="518">
      <c r="D518" s="25"/>
      <c r="E518" s="25"/>
      <c r="F518" s="25"/>
      <c r="G518" s="26"/>
      <c r="H518" s="4"/>
    </row>
    <row r="519">
      <c r="D519" s="25"/>
      <c r="E519" s="25"/>
      <c r="F519" s="25"/>
      <c r="G519" s="26"/>
      <c r="H519" s="4"/>
    </row>
    <row r="520">
      <c r="D520" s="25"/>
      <c r="E520" s="25"/>
      <c r="F520" s="25"/>
      <c r="G520" s="26"/>
      <c r="H520" s="4"/>
    </row>
    <row r="521">
      <c r="D521" s="25"/>
      <c r="E521" s="25"/>
      <c r="F521" s="25"/>
      <c r="G521" s="26"/>
      <c r="H521" s="4"/>
    </row>
    <row r="522">
      <c r="D522" s="25"/>
      <c r="E522" s="25"/>
      <c r="F522" s="25"/>
      <c r="G522" s="26"/>
      <c r="H522" s="4"/>
    </row>
    <row r="523">
      <c r="D523" s="25"/>
      <c r="E523" s="25"/>
      <c r="F523" s="25"/>
      <c r="G523" s="26"/>
      <c r="H523" s="4"/>
    </row>
    <row r="524">
      <c r="D524" s="25"/>
      <c r="E524" s="25"/>
      <c r="F524" s="25"/>
      <c r="G524" s="26"/>
      <c r="H524" s="4"/>
    </row>
    <row r="525">
      <c r="D525" s="25"/>
      <c r="E525" s="25"/>
      <c r="F525" s="25"/>
      <c r="G525" s="26"/>
      <c r="H525" s="4"/>
    </row>
    <row r="526">
      <c r="D526" s="25"/>
      <c r="E526" s="25"/>
      <c r="F526" s="25"/>
      <c r="G526" s="26"/>
      <c r="H526" s="4"/>
    </row>
    <row r="527">
      <c r="D527" s="25"/>
      <c r="E527" s="25"/>
      <c r="F527" s="25"/>
      <c r="G527" s="26"/>
      <c r="H527" s="4"/>
    </row>
    <row r="528">
      <c r="D528" s="25"/>
      <c r="E528" s="25"/>
      <c r="F528" s="25"/>
      <c r="G528" s="26"/>
      <c r="H528" s="4"/>
    </row>
    <row r="529">
      <c r="D529" s="25"/>
      <c r="E529" s="25"/>
      <c r="F529" s="25"/>
      <c r="G529" s="26"/>
      <c r="H529" s="4"/>
    </row>
    <row r="530">
      <c r="D530" s="25"/>
      <c r="E530" s="25"/>
      <c r="F530" s="25"/>
      <c r="G530" s="26"/>
      <c r="H530" s="4"/>
    </row>
    <row r="531">
      <c r="D531" s="25"/>
      <c r="E531" s="25"/>
      <c r="F531" s="25"/>
      <c r="G531" s="26"/>
      <c r="H531" s="4"/>
    </row>
    <row r="532">
      <c r="D532" s="25"/>
      <c r="E532" s="25"/>
      <c r="F532" s="25"/>
      <c r="G532" s="26"/>
      <c r="H532" s="4"/>
    </row>
    <row r="533">
      <c r="D533" s="25"/>
      <c r="E533" s="25"/>
      <c r="F533" s="25"/>
      <c r="G533" s="26"/>
      <c r="H533" s="4"/>
    </row>
    <row r="534">
      <c r="D534" s="25"/>
      <c r="E534" s="25"/>
      <c r="F534" s="25"/>
      <c r="G534" s="26"/>
      <c r="H534" s="4"/>
    </row>
    <row r="535">
      <c r="D535" s="25"/>
      <c r="E535" s="25"/>
      <c r="F535" s="25"/>
      <c r="G535" s="26"/>
      <c r="H535" s="4"/>
    </row>
    <row r="536">
      <c r="D536" s="25"/>
      <c r="E536" s="25"/>
      <c r="F536" s="25"/>
      <c r="G536" s="26"/>
      <c r="H536" s="4"/>
    </row>
    <row r="537">
      <c r="D537" s="25"/>
      <c r="E537" s="25"/>
      <c r="F537" s="25"/>
      <c r="G537" s="26"/>
      <c r="H537" s="4"/>
    </row>
    <row r="538">
      <c r="D538" s="25"/>
      <c r="E538" s="25"/>
      <c r="F538" s="25"/>
      <c r="G538" s="26"/>
      <c r="H538" s="4"/>
    </row>
    <row r="539">
      <c r="D539" s="25"/>
      <c r="E539" s="25"/>
      <c r="F539" s="25"/>
      <c r="G539" s="26"/>
      <c r="H539" s="4"/>
    </row>
    <row r="540">
      <c r="D540" s="25"/>
      <c r="E540" s="25"/>
      <c r="F540" s="25"/>
      <c r="G540" s="26"/>
      <c r="H540" s="4"/>
    </row>
    <row r="541">
      <c r="D541" s="25"/>
      <c r="E541" s="25"/>
      <c r="F541" s="25"/>
      <c r="G541" s="26"/>
      <c r="H541" s="4"/>
    </row>
    <row r="542">
      <c r="D542" s="25"/>
      <c r="E542" s="25"/>
      <c r="F542" s="25"/>
      <c r="G542" s="26"/>
      <c r="H542" s="4"/>
    </row>
    <row r="543">
      <c r="D543" s="25"/>
      <c r="E543" s="25"/>
      <c r="F543" s="25"/>
      <c r="G543" s="26"/>
      <c r="H543" s="4"/>
    </row>
    <row r="544">
      <c r="D544" s="25"/>
      <c r="E544" s="25"/>
      <c r="F544" s="25"/>
      <c r="G544" s="26"/>
      <c r="H544" s="4"/>
    </row>
    <row r="545">
      <c r="D545" s="25"/>
      <c r="E545" s="25"/>
      <c r="F545" s="25"/>
      <c r="G545" s="26"/>
      <c r="H545" s="4"/>
    </row>
    <row r="546">
      <c r="D546" s="25"/>
      <c r="E546" s="25"/>
      <c r="F546" s="25"/>
      <c r="G546" s="26"/>
      <c r="H546" s="4"/>
    </row>
    <row r="547">
      <c r="D547" s="25"/>
      <c r="E547" s="25"/>
      <c r="F547" s="25"/>
      <c r="G547" s="26"/>
      <c r="H547" s="4"/>
    </row>
    <row r="548">
      <c r="D548" s="25"/>
      <c r="E548" s="25"/>
      <c r="F548" s="25"/>
      <c r="G548" s="26"/>
      <c r="H548" s="4"/>
    </row>
    <row r="549">
      <c r="D549" s="25"/>
      <c r="E549" s="25"/>
      <c r="F549" s="25"/>
      <c r="G549" s="26"/>
      <c r="H549" s="4"/>
    </row>
    <row r="550">
      <c r="D550" s="25"/>
      <c r="E550" s="25"/>
      <c r="F550" s="25"/>
      <c r="G550" s="26"/>
      <c r="H550" s="4"/>
    </row>
    <row r="551">
      <c r="D551" s="25"/>
      <c r="E551" s="25"/>
      <c r="F551" s="25"/>
      <c r="G551" s="26"/>
      <c r="H551" s="4"/>
    </row>
    <row r="552">
      <c r="D552" s="25"/>
      <c r="E552" s="25"/>
      <c r="F552" s="25"/>
      <c r="G552" s="26"/>
      <c r="H552" s="4"/>
    </row>
    <row r="553">
      <c r="D553" s="25"/>
      <c r="E553" s="25"/>
      <c r="F553" s="25"/>
      <c r="G553" s="26"/>
      <c r="H553" s="4"/>
    </row>
    <row r="554">
      <c r="D554" s="25"/>
      <c r="E554" s="25"/>
      <c r="F554" s="25"/>
      <c r="G554" s="26"/>
      <c r="H554" s="4"/>
    </row>
    <row r="555">
      <c r="D555" s="25"/>
      <c r="E555" s="25"/>
      <c r="F555" s="25"/>
      <c r="G555" s="26"/>
      <c r="H555" s="4"/>
    </row>
    <row r="556">
      <c r="D556" s="25"/>
      <c r="E556" s="25"/>
      <c r="F556" s="25"/>
      <c r="G556" s="26"/>
      <c r="H556" s="4"/>
    </row>
    <row r="557">
      <c r="D557" s="25"/>
      <c r="E557" s="25"/>
      <c r="F557" s="25"/>
      <c r="G557" s="26"/>
      <c r="H557" s="4"/>
    </row>
    <row r="558">
      <c r="D558" s="25"/>
      <c r="E558" s="25"/>
      <c r="F558" s="25"/>
      <c r="G558" s="26"/>
      <c r="H558" s="4"/>
    </row>
    <row r="559">
      <c r="D559" s="25"/>
      <c r="E559" s="25"/>
      <c r="F559" s="25"/>
      <c r="G559" s="26"/>
      <c r="H559" s="4"/>
    </row>
    <row r="560">
      <c r="D560" s="25"/>
      <c r="E560" s="25"/>
      <c r="F560" s="25"/>
      <c r="G560" s="26"/>
      <c r="H560" s="4"/>
    </row>
    <row r="561">
      <c r="D561" s="25"/>
      <c r="E561" s="25"/>
      <c r="F561" s="25"/>
      <c r="G561" s="26"/>
      <c r="H561" s="4"/>
    </row>
    <row r="562">
      <c r="D562" s="25"/>
      <c r="E562" s="25"/>
      <c r="F562" s="25"/>
      <c r="G562" s="26"/>
      <c r="H562" s="4"/>
    </row>
    <row r="563">
      <c r="D563" s="25"/>
      <c r="E563" s="25"/>
      <c r="F563" s="25"/>
      <c r="G563" s="26"/>
      <c r="H563" s="4"/>
    </row>
    <row r="564">
      <c r="D564" s="25"/>
      <c r="E564" s="25"/>
      <c r="F564" s="25"/>
      <c r="G564" s="26"/>
      <c r="H564" s="4"/>
    </row>
    <row r="565">
      <c r="D565" s="25"/>
      <c r="E565" s="25"/>
      <c r="F565" s="25"/>
      <c r="G565" s="26"/>
      <c r="H565" s="4"/>
    </row>
    <row r="566">
      <c r="D566" s="25"/>
      <c r="E566" s="25"/>
      <c r="F566" s="25"/>
      <c r="G566" s="26"/>
      <c r="H566" s="4"/>
    </row>
    <row r="567">
      <c r="D567" s="25"/>
      <c r="E567" s="25"/>
      <c r="F567" s="25"/>
      <c r="G567" s="26"/>
      <c r="H567" s="4"/>
    </row>
    <row r="568">
      <c r="D568" s="25"/>
      <c r="E568" s="25"/>
      <c r="F568" s="25"/>
      <c r="G568" s="26"/>
      <c r="H568" s="4"/>
    </row>
    <row r="569">
      <c r="D569" s="25"/>
      <c r="E569" s="25"/>
      <c r="F569" s="25"/>
      <c r="G569" s="26"/>
      <c r="H569" s="4"/>
    </row>
    <row r="570">
      <c r="D570" s="25"/>
      <c r="E570" s="25"/>
      <c r="F570" s="25"/>
      <c r="G570" s="26"/>
      <c r="H570" s="4"/>
    </row>
    <row r="571">
      <c r="D571" s="25"/>
      <c r="E571" s="25"/>
      <c r="F571" s="25"/>
      <c r="G571" s="26"/>
      <c r="H571" s="4"/>
    </row>
    <row r="572">
      <c r="D572" s="25"/>
      <c r="E572" s="25"/>
      <c r="F572" s="25"/>
      <c r="G572" s="26"/>
      <c r="H572" s="4"/>
    </row>
    <row r="573">
      <c r="D573" s="25"/>
      <c r="E573" s="25"/>
      <c r="F573" s="25"/>
      <c r="G573" s="26"/>
      <c r="H573" s="4"/>
    </row>
    <row r="574">
      <c r="D574" s="25"/>
      <c r="E574" s="25"/>
      <c r="F574" s="25"/>
      <c r="G574" s="26"/>
      <c r="H574" s="4"/>
    </row>
    <row r="575">
      <c r="D575" s="25"/>
      <c r="E575" s="25"/>
      <c r="F575" s="25"/>
      <c r="G575" s="26"/>
      <c r="H575" s="4"/>
    </row>
    <row r="576">
      <c r="D576" s="25"/>
      <c r="E576" s="25"/>
      <c r="F576" s="25"/>
      <c r="G576" s="26"/>
      <c r="H576" s="4"/>
    </row>
    <row r="577">
      <c r="D577" s="25"/>
      <c r="E577" s="25"/>
      <c r="F577" s="25"/>
      <c r="G577" s="26"/>
      <c r="H577" s="4"/>
    </row>
    <row r="578">
      <c r="D578" s="25"/>
      <c r="E578" s="25"/>
      <c r="F578" s="25"/>
      <c r="G578" s="26"/>
      <c r="H578" s="4"/>
    </row>
    <row r="579">
      <c r="D579" s="25"/>
      <c r="E579" s="25"/>
      <c r="F579" s="25"/>
      <c r="G579" s="26"/>
      <c r="H579" s="4"/>
    </row>
    <row r="580">
      <c r="D580" s="25"/>
      <c r="E580" s="25"/>
      <c r="F580" s="25"/>
      <c r="G580" s="26"/>
      <c r="H580" s="4"/>
    </row>
    <row r="581">
      <c r="D581" s="25"/>
      <c r="E581" s="25"/>
      <c r="F581" s="25"/>
      <c r="G581" s="26"/>
      <c r="H581" s="4"/>
    </row>
    <row r="582">
      <c r="D582" s="25"/>
      <c r="E582" s="25"/>
      <c r="F582" s="25"/>
      <c r="G582" s="26"/>
      <c r="H582" s="4"/>
    </row>
    <row r="583">
      <c r="D583" s="25"/>
      <c r="E583" s="25"/>
      <c r="F583" s="25"/>
      <c r="G583" s="26"/>
      <c r="H583" s="4"/>
    </row>
    <row r="584">
      <c r="D584" s="25"/>
      <c r="E584" s="25"/>
      <c r="F584" s="25"/>
      <c r="G584" s="26"/>
      <c r="H584" s="4"/>
    </row>
    <row r="585">
      <c r="D585" s="25"/>
      <c r="E585" s="25"/>
      <c r="F585" s="25"/>
      <c r="G585" s="26"/>
      <c r="H585" s="4"/>
    </row>
    <row r="586">
      <c r="D586" s="25"/>
      <c r="E586" s="25"/>
      <c r="F586" s="25"/>
      <c r="G586" s="26"/>
      <c r="H586" s="4"/>
    </row>
    <row r="587">
      <c r="D587" s="25"/>
      <c r="E587" s="25"/>
      <c r="F587" s="25"/>
      <c r="G587" s="26"/>
      <c r="H587" s="4"/>
    </row>
    <row r="588">
      <c r="D588" s="25"/>
      <c r="E588" s="25"/>
      <c r="F588" s="25"/>
      <c r="G588" s="26"/>
      <c r="H588" s="4"/>
    </row>
    <row r="589">
      <c r="D589" s="25"/>
      <c r="E589" s="25"/>
      <c r="F589" s="25"/>
      <c r="G589" s="26"/>
      <c r="H589" s="4"/>
    </row>
    <row r="590">
      <c r="D590" s="25"/>
      <c r="E590" s="25"/>
      <c r="F590" s="25"/>
      <c r="G590" s="26"/>
      <c r="H590" s="4"/>
    </row>
    <row r="591">
      <c r="D591" s="25"/>
      <c r="E591" s="25"/>
      <c r="F591" s="25"/>
      <c r="G591" s="26"/>
      <c r="H591" s="4"/>
    </row>
    <row r="592">
      <c r="D592" s="25"/>
      <c r="E592" s="25"/>
      <c r="F592" s="25"/>
      <c r="G592" s="26"/>
      <c r="H592" s="4"/>
    </row>
    <row r="593">
      <c r="D593" s="25"/>
      <c r="E593" s="25"/>
      <c r="F593" s="25"/>
      <c r="G593" s="26"/>
      <c r="H593" s="4"/>
    </row>
    <row r="594">
      <c r="D594" s="25"/>
      <c r="E594" s="25"/>
      <c r="F594" s="25"/>
      <c r="G594" s="26"/>
      <c r="H594" s="4"/>
    </row>
    <row r="595">
      <c r="D595" s="25"/>
      <c r="E595" s="25"/>
      <c r="F595" s="25"/>
      <c r="G595" s="26"/>
      <c r="H595" s="4"/>
    </row>
    <row r="596">
      <c r="D596" s="25"/>
      <c r="E596" s="25"/>
      <c r="F596" s="25"/>
      <c r="G596" s="26"/>
      <c r="H596" s="4"/>
    </row>
    <row r="597">
      <c r="D597" s="25"/>
      <c r="E597" s="25"/>
      <c r="F597" s="25"/>
      <c r="G597" s="26"/>
      <c r="H597" s="4"/>
    </row>
    <row r="598">
      <c r="D598" s="25"/>
      <c r="E598" s="25"/>
      <c r="F598" s="25"/>
      <c r="G598" s="26"/>
      <c r="H598" s="4"/>
    </row>
    <row r="599">
      <c r="D599" s="25"/>
      <c r="E599" s="25"/>
      <c r="F599" s="25"/>
      <c r="G599" s="26"/>
      <c r="H599" s="4"/>
    </row>
    <row r="600">
      <c r="D600" s="25"/>
      <c r="E600" s="25"/>
      <c r="F600" s="25"/>
      <c r="G600" s="26"/>
      <c r="H600" s="4"/>
    </row>
    <row r="601">
      <c r="D601" s="25"/>
      <c r="E601" s="25"/>
      <c r="F601" s="25"/>
      <c r="G601" s="26"/>
      <c r="H601" s="4"/>
    </row>
    <row r="602">
      <c r="D602" s="25"/>
      <c r="E602" s="25"/>
      <c r="F602" s="25"/>
      <c r="G602" s="26"/>
      <c r="H602" s="4"/>
    </row>
    <row r="603">
      <c r="D603" s="25"/>
      <c r="E603" s="25"/>
      <c r="F603" s="25"/>
      <c r="G603" s="26"/>
      <c r="H603" s="4"/>
    </row>
    <row r="604">
      <c r="D604" s="25"/>
      <c r="E604" s="25"/>
      <c r="F604" s="25"/>
      <c r="G604" s="26"/>
      <c r="H604" s="4"/>
    </row>
    <row r="605">
      <c r="D605" s="25"/>
      <c r="E605" s="25"/>
      <c r="F605" s="25"/>
      <c r="G605" s="26"/>
      <c r="H605" s="4"/>
    </row>
    <row r="606">
      <c r="D606" s="25"/>
      <c r="E606" s="25"/>
      <c r="F606" s="25"/>
      <c r="G606" s="26"/>
      <c r="H606" s="4"/>
    </row>
    <row r="607">
      <c r="D607" s="25"/>
      <c r="E607" s="25"/>
      <c r="F607" s="25"/>
      <c r="G607" s="26"/>
      <c r="H607" s="4"/>
    </row>
    <row r="608">
      <c r="D608" s="25"/>
      <c r="E608" s="25"/>
      <c r="F608" s="25"/>
      <c r="G608" s="26"/>
      <c r="H608" s="4"/>
    </row>
    <row r="609">
      <c r="D609" s="25"/>
      <c r="E609" s="25"/>
      <c r="F609" s="25"/>
      <c r="G609" s="26"/>
      <c r="H609" s="4"/>
    </row>
    <row r="610">
      <c r="D610" s="25"/>
      <c r="E610" s="25"/>
      <c r="F610" s="25"/>
      <c r="G610" s="26"/>
      <c r="H610" s="4"/>
    </row>
    <row r="611">
      <c r="D611" s="25"/>
      <c r="E611" s="25"/>
      <c r="F611" s="25"/>
      <c r="G611" s="26"/>
      <c r="H611" s="4"/>
    </row>
    <row r="612">
      <c r="D612" s="25"/>
      <c r="E612" s="25"/>
      <c r="F612" s="25"/>
      <c r="G612" s="26"/>
      <c r="H612" s="4"/>
    </row>
    <row r="613">
      <c r="D613" s="25"/>
      <c r="E613" s="25"/>
      <c r="F613" s="25"/>
      <c r="G613" s="26"/>
      <c r="H613" s="4"/>
    </row>
    <row r="614">
      <c r="D614" s="25"/>
      <c r="E614" s="25"/>
      <c r="F614" s="25"/>
      <c r="G614" s="26"/>
      <c r="H614" s="4"/>
    </row>
    <row r="615">
      <c r="D615" s="25"/>
      <c r="E615" s="25"/>
      <c r="F615" s="25"/>
      <c r="G615" s="26"/>
      <c r="H615" s="4"/>
    </row>
    <row r="616">
      <c r="D616" s="25"/>
      <c r="E616" s="25"/>
      <c r="F616" s="25"/>
      <c r="G616" s="26"/>
      <c r="H616" s="4"/>
    </row>
    <row r="617">
      <c r="D617" s="25"/>
      <c r="E617" s="25"/>
      <c r="F617" s="25"/>
      <c r="G617" s="26"/>
      <c r="H617" s="4"/>
    </row>
    <row r="618">
      <c r="D618" s="25"/>
      <c r="E618" s="25"/>
      <c r="F618" s="25"/>
      <c r="G618" s="26"/>
      <c r="H618" s="4"/>
    </row>
    <row r="619">
      <c r="D619" s="25"/>
      <c r="E619" s="25"/>
      <c r="F619" s="25"/>
      <c r="G619" s="26"/>
      <c r="H619" s="4"/>
    </row>
    <row r="620">
      <c r="D620" s="25"/>
      <c r="E620" s="25"/>
      <c r="F620" s="25"/>
      <c r="G620" s="26"/>
      <c r="H620" s="4"/>
    </row>
    <row r="621">
      <c r="D621" s="25"/>
      <c r="E621" s="25"/>
      <c r="F621" s="25"/>
      <c r="G621" s="26"/>
      <c r="H621" s="4"/>
    </row>
    <row r="622">
      <c r="D622" s="25"/>
      <c r="E622" s="25"/>
      <c r="F622" s="25"/>
      <c r="G622" s="26"/>
      <c r="H622" s="4"/>
    </row>
    <row r="623">
      <c r="D623" s="25"/>
      <c r="E623" s="25"/>
      <c r="F623" s="25"/>
      <c r="G623" s="26"/>
      <c r="H623" s="4"/>
    </row>
    <row r="624">
      <c r="D624" s="25"/>
      <c r="E624" s="25"/>
      <c r="F624" s="25"/>
      <c r="G624" s="26"/>
      <c r="H624" s="4"/>
    </row>
    <row r="625">
      <c r="D625" s="25"/>
      <c r="E625" s="25"/>
      <c r="F625" s="25"/>
      <c r="G625" s="26"/>
      <c r="H625" s="4"/>
    </row>
    <row r="626">
      <c r="D626" s="25"/>
      <c r="E626" s="25"/>
      <c r="F626" s="25"/>
      <c r="G626" s="26"/>
      <c r="H626" s="4"/>
    </row>
    <row r="627">
      <c r="D627" s="25"/>
      <c r="E627" s="25"/>
      <c r="F627" s="25"/>
      <c r="G627" s="26"/>
      <c r="H627" s="4"/>
    </row>
    <row r="628">
      <c r="D628" s="25"/>
      <c r="E628" s="25"/>
      <c r="F628" s="25"/>
      <c r="G628" s="26"/>
      <c r="H628" s="4"/>
    </row>
    <row r="629">
      <c r="D629" s="25"/>
      <c r="E629" s="25"/>
      <c r="F629" s="25"/>
      <c r="G629" s="26"/>
      <c r="H629" s="4"/>
    </row>
    <row r="630">
      <c r="D630" s="25"/>
      <c r="E630" s="25"/>
      <c r="F630" s="25"/>
      <c r="G630" s="26"/>
      <c r="H630" s="4"/>
    </row>
    <row r="631">
      <c r="D631" s="25"/>
      <c r="E631" s="25"/>
      <c r="F631" s="25"/>
      <c r="G631" s="26"/>
      <c r="H631" s="4"/>
    </row>
    <row r="632">
      <c r="D632" s="25"/>
      <c r="E632" s="25"/>
      <c r="F632" s="25"/>
      <c r="G632" s="26"/>
      <c r="H632" s="4"/>
    </row>
    <row r="633">
      <c r="D633" s="25"/>
      <c r="E633" s="25"/>
      <c r="F633" s="25"/>
      <c r="G633" s="26"/>
      <c r="H633" s="4"/>
    </row>
    <row r="634">
      <c r="D634" s="25"/>
      <c r="E634" s="25"/>
      <c r="F634" s="25"/>
      <c r="G634" s="26"/>
      <c r="H634" s="4"/>
    </row>
    <row r="635">
      <c r="D635" s="25"/>
      <c r="E635" s="25"/>
      <c r="F635" s="25"/>
      <c r="G635" s="26"/>
      <c r="H635" s="4"/>
    </row>
    <row r="636">
      <c r="D636" s="25"/>
      <c r="E636" s="25"/>
      <c r="F636" s="25"/>
      <c r="G636" s="26"/>
      <c r="H636" s="4"/>
    </row>
    <row r="637">
      <c r="D637" s="25"/>
      <c r="E637" s="25"/>
      <c r="F637" s="25"/>
      <c r="G637" s="26"/>
      <c r="H637" s="4"/>
    </row>
    <row r="638">
      <c r="D638" s="25"/>
      <c r="E638" s="25"/>
      <c r="F638" s="25"/>
      <c r="G638" s="26"/>
      <c r="H638" s="4"/>
    </row>
    <row r="639">
      <c r="D639" s="25"/>
      <c r="E639" s="25"/>
      <c r="F639" s="25"/>
      <c r="G639" s="26"/>
      <c r="H639" s="4"/>
    </row>
    <row r="640">
      <c r="D640" s="25"/>
      <c r="E640" s="25"/>
      <c r="F640" s="25"/>
      <c r="G640" s="26"/>
      <c r="H640" s="4"/>
    </row>
    <row r="641">
      <c r="D641" s="25"/>
      <c r="E641" s="25"/>
      <c r="F641" s="25"/>
      <c r="G641" s="26"/>
      <c r="H641" s="4"/>
    </row>
    <row r="642">
      <c r="D642" s="25"/>
      <c r="E642" s="25"/>
      <c r="F642" s="25"/>
      <c r="G642" s="26"/>
      <c r="H642" s="4"/>
    </row>
    <row r="643">
      <c r="D643" s="25"/>
      <c r="E643" s="25"/>
      <c r="F643" s="25"/>
      <c r="G643" s="26"/>
      <c r="H643" s="4"/>
    </row>
    <row r="644">
      <c r="D644" s="25"/>
      <c r="E644" s="25"/>
      <c r="F644" s="25"/>
      <c r="G644" s="26"/>
      <c r="H644" s="4"/>
    </row>
    <row r="645">
      <c r="D645" s="25"/>
      <c r="E645" s="25"/>
      <c r="F645" s="25"/>
      <c r="G645" s="26"/>
      <c r="H645" s="4"/>
    </row>
    <row r="646">
      <c r="D646" s="25"/>
      <c r="E646" s="25"/>
      <c r="F646" s="25"/>
      <c r="G646" s="26"/>
      <c r="H646" s="4"/>
    </row>
    <row r="647">
      <c r="D647" s="25"/>
      <c r="E647" s="25"/>
      <c r="F647" s="25"/>
      <c r="G647" s="26"/>
      <c r="H647" s="4"/>
    </row>
    <row r="648">
      <c r="D648" s="25"/>
      <c r="E648" s="25"/>
      <c r="F648" s="25"/>
      <c r="G648" s="26"/>
      <c r="H648" s="4"/>
    </row>
    <row r="649">
      <c r="D649" s="25"/>
      <c r="E649" s="25"/>
      <c r="F649" s="25"/>
      <c r="G649" s="26"/>
      <c r="H649" s="4"/>
    </row>
    <row r="650">
      <c r="D650" s="25"/>
      <c r="E650" s="25"/>
      <c r="F650" s="25"/>
      <c r="G650" s="26"/>
      <c r="H650" s="4"/>
    </row>
    <row r="651">
      <c r="D651" s="25"/>
      <c r="E651" s="25"/>
      <c r="F651" s="25"/>
      <c r="G651" s="26"/>
      <c r="H651" s="4"/>
    </row>
    <row r="652">
      <c r="D652" s="25"/>
      <c r="E652" s="25"/>
      <c r="F652" s="25"/>
      <c r="G652" s="26"/>
      <c r="H652" s="4"/>
    </row>
    <row r="653">
      <c r="D653" s="25"/>
      <c r="E653" s="25"/>
      <c r="F653" s="25"/>
      <c r="G653" s="26"/>
      <c r="H653" s="4"/>
    </row>
    <row r="654">
      <c r="D654" s="25"/>
      <c r="E654" s="25"/>
      <c r="F654" s="25"/>
      <c r="G654" s="26"/>
      <c r="H654" s="4"/>
    </row>
    <row r="655">
      <c r="D655" s="25"/>
      <c r="E655" s="25"/>
      <c r="F655" s="25"/>
      <c r="G655" s="26"/>
      <c r="H655" s="4"/>
    </row>
    <row r="656">
      <c r="D656" s="25"/>
      <c r="E656" s="25"/>
      <c r="F656" s="25"/>
      <c r="G656" s="26"/>
      <c r="H656" s="4"/>
    </row>
    <row r="657">
      <c r="D657" s="25"/>
      <c r="E657" s="25"/>
      <c r="F657" s="25"/>
      <c r="G657" s="26"/>
      <c r="H657" s="4"/>
    </row>
    <row r="658">
      <c r="D658" s="25"/>
      <c r="E658" s="25"/>
      <c r="F658" s="25"/>
      <c r="G658" s="26"/>
      <c r="H658" s="4"/>
    </row>
    <row r="659">
      <c r="D659" s="25"/>
      <c r="E659" s="25"/>
      <c r="F659" s="25"/>
      <c r="G659" s="26"/>
      <c r="H659" s="4"/>
    </row>
    <row r="660">
      <c r="D660" s="25"/>
      <c r="E660" s="25"/>
      <c r="F660" s="25"/>
      <c r="G660" s="26"/>
      <c r="H660" s="4"/>
    </row>
    <row r="661">
      <c r="D661" s="25"/>
      <c r="E661" s="25"/>
      <c r="F661" s="25"/>
      <c r="G661" s="26"/>
      <c r="H661" s="4"/>
    </row>
    <row r="662">
      <c r="D662" s="25"/>
      <c r="E662" s="25"/>
      <c r="F662" s="25"/>
      <c r="G662" s="26"/>
      <c r="H662" s="4"/>
    </row>
    <row r="663">
      <c r="D663" s="25"/>
      <c r="E663" s="25"/>
      <c r="F663" s="25"/>
      <c r="G663" s="26"/>
      <c r="H663" s="4"/>
    </row>
    <row r="664">
      <c r="D664" s="25"/>
      <c r="E664" s="25"/>
      <c r="F664" s="25"/>
      <c r="G664" s="26"/>
      <c r="H664" s="4"/>
    </row>
    <row r="665">
      <c r="D665" s="25"/>
      <c r="E665" s="25"/>
      <c r="F665" s="25"/>
      <c r="G665" s="26"/>
      <c r="H665" s="4"/>
    </row>
    <row r="666">
      <c r="D666" s="25"/>
      <c r="E666" s="25"/>
      <c r="F666" s="25"/>
      <c r="G666" s="26"/>
      <c r="H666" s="4"/>
    </row>
    <row r="667">
      <c r="D667" s="25"/>
      <c r="E667" s="25"/>
      <c r="F667" s="25"/>
      <c r="G667" s="26"/>
      <c r="H667" s="4"/>
    </row>
    <row r="668">
      <c r="D668" s="25"/>
      <c r="E668" s="25"/>
      <c r="F668" s="25"/>
      <c r="G668" s="26"/>
      <c r="H668" s="4"/>
    </row>
    <row r="669">
      <c r="D669" s="25"/>
      <c r="E669" s="25"/>
      <c r="F669" s="25"/>
      <c r="G669" s="26"/>
      <c r="H669" s="4"/>
    </row>
    <row r="670">
      <c r="D670" s="25"/>
      <c r="E670" s="25"/>
      <c r="F670" s="25"/>
      <c r="G670" s="26"/>
      <c r="H670" s="4"/>
    </row>
    <row r="671">
      <c r="D671" s="25"/>
      <c r="E671" s="25"/>
      <c r="F671" s="25"/>
      <c r="G671" s="26"/>
      <c r="H671" s="4"/>
    </row>
    <row r="672">
      <c r="D672" s="25"/>
      <c r="E672" s="25"/>
      <c r="F672" s="25"/>
      <c r="G672" s="26"/>
      <c r="H672" s="4"/>
    </row>
    <row r="673">
      <c r="D673" s="25"/>
      <c r="E673" s="25"/>
      <c r="F673" s="25"/>
      <c r="G673" s="26"/>
      <c r="H673" s="4"/>
    </row>
    <row r="674">
      <c r="D674" s="25"/>
      <c r="E674" s="25"/>
      <c r="F674" s="25"/>
      <c r="G674" s="26"/>
      <c r="H674" s="4"/>
    </row>
    <row r="675">
      <c r="D675" s="25"/>
      <c r="E675" s="25"/>
      <c r="F675" s="25"/>
      <c r="G675" s="26"/>
      <c r="H675" s="4"/>
    </row>
    <row r="676">
      <c r="D676" s="25"/>
      <c r="E676" s="25"/>
      <c r="F676" s="25"/>
      <c r="G676" s="26"/>
      <c r="H676" s="4"/>
    </row>
    <row r="677">
      <c r="D677" s="25"/>
      <c r="E677" s="25"/>
      <c r="F677" s="25"/>
      <c r="G677" s="26"/>
      <c r="H677" s="4"/>
    </row>
    <row r="678">
      <c r="D678" s="25"/>
      <c r="E678" s="25"/>
      <c r="F678" s="25"/>
      <c r="G678" s="26"/>
      <c r="H678" s="4"/>
    </row>
    <row r="679">
      <c r="D679" s="25"/>
      <c r="E679" s="25"/>
      <c r="F679" s="25"/>
      <c r="G679" s="26"/>
      <c r="H679" s="4"/>
    </row>
    <row r="680">
      <c r="D680" s="25"/>
      <c r="E680" s="25"/>
      <c r="F680" s="25"/>
      <c r="G680" s="26"/>
      <c r="H680" s="4"/>
    </row>
    <row r="681">
      <c r="D681" s="25"/>
      <c r="E681" s="25"/>
      <c r="F681" s="25"/>
      <c r="G681" s="26"/>
      <c r="H681" s="4"/>
    </row>
    <row r="682">
      <c r="D682" s="25"/>
      <c r="E682" s="25"/>
      <c r="F682" s="25"/>
      <c r="G682" s="26"/>
      <c r="H682" s="4"/>
    </row>
    <row r="683">
      <c r="D683" s="25"/>
      <c r="E683" s="25"/>
      <c r="F683" s="25"/>
      <c r="G683" s="26"/>
      <c r="H683" s="4"/>
    </row>
    <row r="684">
      <c r="D684" s="25"/>
      <c r="E684" s="25"/>
      <c r="F684" s="25"/>
      <c r="G684" s="26"/>
      <c r="H684" s="4"/>
    </row>
    <row r="685">
      <c r="D685" s="25"/>
      <c r="E685" s="25"/>
      <c r="F685" s="25"/>
      <c r="G685" s="26"/>
      <c r="H685" s="4"/>
    </row>
    <row r="686">
      <c r="D686" s="25"/>
      <c r="E686" s="25"/>
      <c r="F686" s="25"/>
      <c r="G686" s="26"/>
      <c r="H686" s="4"/>
    </row>
    <row r="687">
      <c r="D687" s="25"/>
      <c r="E687" s="25"/>
      <c r="F687" s="25"/>
      <c r="G687" s="26"/>
      <c r="H687" s="4"/>
    </row>
    <row r="688">
      <c r="D688" s="25"/>
      <c r="E688" s="25"/>
      <c r="F688" s="25"/>
      <c r="G688" s="26"/>
      <c r="H688" s="4"/>
    </row>
    <row r="689">
      <c r="D689" s="25"/>
      <c r="E689" s="25"/>
      <c r="F689" s="25"/>
      <c r="G689" s="26"/>
      <c r="H689" s="4"/>
    </row>
    <row r="690">
      <c r="D690" s="25"/>
      <c r="E690" s="25"/>
      <c r="F690" s="25"/>
      <c r="G690" s="26"/>
      <c r="H690" s="4"/>
    </row>
    <row r="691">
      <c r="D691" s="25"/>
      <c r="E691" s="25"/>
      <c r="F691" s="25"/>
      <c r="G691" s="26"/>
      <c r="H691" s="4"/>
    </row>
    <row r="692">
      <c r="D692" s="25"/>
      <c r="E692" s="25"/>
      <c r="F692" s="25"/>
      <c r="G692" s="26"/>
      <c r="H692" s="4"/>
    </row>
    <row r="693">
      <c r="D693" s="25"/>
      <c r="E693" s="25"/>
      <c r="F693" s="25"/>
      <c r="G693" s="26"/>
      <c r="H693" s="4"/>
    </row>
    <row r="694">
      <c r="D694" s="25"/>
      <c r="E694" s="25"/>
      <c r="F694" s="25"/>
      <c r="G694" s="26"/>
      <c r="H694" s="4"/>
    </row>
    <row r="695">
      <c r="D695" s="25"/>
      <c r="E695" s="25"/>
      <c r="F695" s="25"/>
      <c r="G695" s="26"/>
      <c r="H695" s="4"/>
    </row>
    <row r="696">
      <c r="D696" s="25"/>
      <c r="E696" s="25"/>
      <c r="F696" s="25"/>
      <c r="G696" s="26"/>
      <c r="H696" s="4"/>
    </row>
    <row r="697">
      <c r="D697" s="25"/>
      <c r="E697" s="25"/>
      <c r="F697" s="25"/>
      <c r="G697" s="26"/>
      <c r="H697" s="4"/>
    </row>
    <row r="698">
      <c r="D698" s="25"/>
      <c r="E698" s="25"/>
      <c r="F698" s="25"/>
      <c r="G698" s="26"/>
      <c r="H698" s="4"/>
    </row>
    <row r="699">
      <c r="D699" s="25"/>
      <c r="E699" s="25"/>
      <c r="F699" s="25"/>
      <c r="G699" s="26"/>
      <c r="H699" s="4"/>
    </row>
    <row r="700">
      <c r="D700" s="25"/>
      <c r="E700" s="25"/>
      <c r="F700" s="25"/>
      <c r="G700" s="26"/>
      <c r="H700" s="4"/>
    </row>
    <row r="701">
      <c r="D701" s="25"/>
      <c r="E701" s="25"/>
      <c r="F701" s="25"/>
      <c r="G701" s="26"/>
      <c r="H701" s="4"/>
    </row>
    <row r="702">
      <c r="D702" s="25"/>
      <c r="E702" s="25"/>
      <c r="F702" s="25"/>
      <c r="G702" s="26"/>
      <c r="H702" s="4"/>
    </row>
    <row r="703">
      <c r="D703" s="25"/>
      <c r="E703" s="25"/>
      <c r="F703" s="25"/>
      <c r="G703" s="26"/>
      <c r="H703" s="4"/>
    </row>
    <row r="704">
      <c r="D704" s="25"/>
      <c r="E704" s="25"/>
      <c r="F704" s="25"/>
      <c r="G704" s="26"/>
      <c r="H704" s="4"/>
    </row>
    <row r="705">
      <c r="D705" s="25"/>
      <c r="E705" s="25"/>
      <c r="F705" s="25"/>
      <c r="G705" s="26"/>
      <c r="H705" s="4"/>
    </row>
    <row r="706">
      <c r="D706" s="25"/>
      <c r="E706" s="25"/>
      <c r="F706" s="25"/>
      <c r="G706" s="26"/>
      <c r="H706" s="4"/>
    </row>
    <row r="707">
      <c r="D707" s="25"/>
      <c r="E707" s="25"/>
      <c r="F707" s="25"/>
      <c r="G707" s="26"/>
      <c r="H707" s="4"/>
    </row>
    <row r="708">
      <c r="D708" s="25"/>
      <c r="E708" s="25"/>
      <c r="F708" s="25"/>
      <c r="G708" s="26"/>
      <c r="H708" s="4"/>
    </row>
    <row r="709">
      <c r="D709" s="25"/>
      <c r="E709" s="25"/>
      <c r="F709" s="25"/>
      <c r="G709" s="26"/>
      <c r="H709" s="4"/>
    </row>
    <row r="710">
      <c r="D710" s="25"/>
      <c r="E710" s="25"/>
      <c r="F710" s="25"/>
      <c r="G710" s="26"/>
      <c r="H710" s="4"/>
    </row>
    <row r="711">
      <c r="D711" s="25"/>
      <c r="E711" s="25"/>
      <c r="F711" s="25"/>
      <c r="G711" s="26"/>
      <c r="H711" s="4"/>
    </row>
    <row r="712">
      <c r="D712" s="25"/>
      <c r="E712" s="25"/>
      <c r="F712" s="25"/>
      <c r="G712" s="26"/>
      <c r="H712" s="4"/>
    </row>
    <row r="713">
      <c r="D713" s="25"/>
      <c r="E713" s="25"/>
      <c r="F713" s="25"/>
      <c r="G713" s="26"/>
      <c r="H713" s="4"/>
    </row>
    <row r="714">
      <c r="D714" s="25"/>
      <c r="E714" s="25"/>
      <c r="F714" s="25"/>
      <c r="G714" s="26"/>
      <c r="H714" s="4"/>
    </row>
    <row r="715">
      <c r="D715" s="25"/>
      <c r="E715" s="25"/>
      <c r="F715" s="25"/>
      <c r="G715" s="26"/>
      <c r="H715" s="4"/>
    </row>
    <row r="716">
      <c r="D716" s="25"/>
      <c r="E716" s="25"/>
      <c r="F716" s="25"/>
      <c r="G716" s="26"/>
      <c r="H716" s="4"/>
    </row>
    <row r="717">
      <c r="D717" s="25"/>
      <c r="E717" s="25"/>
      <c r="F717" s="25"/>
      <c r="G717" s="26"/>
      <c r="H717" s="4"/>
    </row>
    <row r="718">
      <c r="D718" s="25"/>
      <c r="E718" s="25"/>
      <c r="F718" s="25"/>
      <c r="G718" s="26"/>
      <c r="H718" s="4"/>
    </row>
    <row r="719">
      <c r="D719" s="25"/>
      <c r="E719" s="25"/>
      <c r="F719" s="25"/>
      <c r="G719" s="26"/>
      <c r="H719" s="4"/>
    </row>
    <row r="720">
      <c r="D720" s="25"/>
      <c r="E720" s="25"/>
      <c r="F720" s="25"/>
      <c r="G720" s="26"/>
      <c r="H720" s="4"/>
    </row>
    <row r="721">
      <c r="D721" s="25"/>
      <c r="E721" s="25"/>
      <c r="F721" s="25"/>
      <c r="G721" s="26"/>
      <c r="H721" s="4"/>
    </row>
    <row r="722">
      <c r="D722" s="25"/>
      <c r="E722" s="25"/>
      <c r="F722" s="25"/>
      <c r="G722" s="26"/>
      <c r="H722" s="4"/>
    </row>
    <row r="723">
      <c r="D723" s="25"/>
      <c r="E723" s="25"/>
      <c r="F723" s="25"/>
      <c r="G723" s="26"/>
      <c r="H723" s="4"/>
    </row>
    <row r="724">
      <c r="D724" s="25"/>
      <c r="E724" s="25"/>
      <c r="F724" s="25"/>
      <c r="G724" s="26"/>
      <c r="H724" s="4"/>
    </row>
    <row r="725">
      <c r="D725" s="25"/>
      <c r="E725" s="25"/>
      <c r="F725" s="25"/>
      <c r="G725" s="26"/>
      <c r="H725" s="4"/>
    </row>
    <row r="726">
      <c r="D726" s="25"/>
      <c r="E726" s="25"/>
      <c r="F726" s="25"/>
      <c r="G726" s="26"/>
      <c r="H726" s="4"/>
    </row>
    <row r="727">
      <c r="D727" s="25"/>
      <c r="E727" s="25"/>
      <c r="F727" s="25"/>
      <c r="G727" s="26"/>
      <c r="H727" s="4"/>
    </row>
    <row r="728">
      <c r="D728" s="25"/>
      <c r="E728" s="25"/>
      <c r="F728" s="25"/>
      <c r="G728" s="26"/>
      <c r="H728" s="4"/>
    </row>
    <row r="729">
      <c r="D729" s="25"/>
      <c r="E729" s="25"/>
      <c r="F729" s="25"/>
      <c r="G729" s="26"/>
      <c r="H729" s="4"/>
    </row>
    <row r="730">
      <c r="D730" s="25"/>
      <c r="E730" s="25"/>
      <c r="F730" s="25"/>
      <c r="G730" s="26"/>
      <c r="H730" s="4"/>
    </row>
    <row r="731">
      <c r="D731" s="25"/>
      <c r="E731" s="25"/>
      <c r="F731" s="25"/>
      <c r="G731" s="26"/>
      <c r="H731" s="4"/>
    </row>
    <row r="732">
      <c r="D732" s="25"/>
      <c r="E732" s="25"/>
      <c r="F732" s="25"/>
      <c r="G732" s="26"/>
      <c r="H732" s="4"/>
    </row>
    <row r="733">
      <c r="D733" s="25"/>
      <c r="E733" s="25"/>
      <c r="F733" s="25"/>
      <c r="G733" s="26"/>
      <c r="H733" s="4"/>
    </row>
    <row r="734">
      <c r="D734" s="25"/>
      <c r="E734" s="25"/>
      <c r="F734" s="25"/>
      <c r="G734" s="26"/>
      <c r="H734" s="4"/>
    </row>
    <row r="735">
      <c r="D735" s="25"/>
      <c r="E735" s="25"/>
      <c r="F735" s="25"/>
      <c r="G735" s="26"/>
      <c r="H735" s="4"/>
    </row>
    <row r="736">
      <c r="D736" s="25"/>
      <c r="E736" s="25"/>
      <c r="F736" s="25"/>
      <c r="G736" s="26"/>
      <c r="H736" s="4"/>
    </row>
    <row r="737">
      <c r="D737" s="25"/>
      <c r="E737" s="25"/>
      <c r="F737" s="25"/>
      <c r="G737" s="26"/>
      <c r="H737" s="4"/>
    </row>
    <row r="738">
      <c r="D738" s="25"/>
      <c r="E738" s="25"/>
      <c r="F738" s="25"/>
      <c r="G738" s="26"/>
      <c r="H738" s="4"/>
    </row>
    <row r="739">
      <c r="D739" s="25"/>
      <c r="E739" s="25"/>
      <c r="F739" s="25"/>
      <c r="G739" s="26"/>
      <c r="H739" s="4"/>
    </row>
    <row r="740">
      <c r="D740" s="25"/>
      <c r="E740" s="25"/>
      <c r="F740" s="25"/>
      <c r="G740" s="26"/>
      <c r="H740" s="4"/>
    </row>
    <row r="741">
      <c r="D741" s="25"/>
      <c r="E741" s="25"/>
      <c r="F741" s="25"/>
      <c r="G741" s="26"/>
      <c r="H741" s="4"/>
    </row>
    <row r="742">
      <c r="D742" s="25"/>
      <c r="E742" s="25"/>
      <c r="F742" s="25"/>
      <c r="G742" s="26"/>
      <c r="H742" s="4"/>
    </row>
    <row r="743">
      <c r="D743" s="25"/>
      <c r="E743" s="25"/>
      <c r="F743" s="25"/>
      <c r="G743" s="26"/>
      <c r="H743" s="4"/>
    </row>
    <row r="744">
      <c r="D744" s="25"/>
      <c r="E744" s="25"/>
      <c r="F744" s="25"/>
      <c r="G744" s="26"/>
      <c r="H744" s="4"/>
    </row>
    <row r="745">
      <c r="D745" s="25"/>
      <c r="E745" s="25"/>
      <c r="F745" s="25"/>
      <c r="G745" s="26"/>
      <c r="H745" s="4"/>
    </row>
    <row r="746">
      <c r="D746" s="25"/>
      <c r="E746" s="25"/>
      <c r="F746" s="25"/>
      <c r="G746" s="26"/>
      <c r="H746" s="4"/>
    </row>
    <row r="747">
      <c r="D747" s="25"/>
      <c r="E747" s="25"/>
      <c r="F747" s="25"/>
      <c r="G747" s="26"/>
      <c r="H747" s="4"/>
    </row>
    <row r="748">
      <c r="D748" s="25"/>
      <c r="E748" s="25"/>
      <c r="F748" s="25"/>
      <c r="G748" s="26"/>
      <c r="H748" s="4"/>
    </row>
    <row r="749">
      <c r="D749" s="25"/>
      <c r="E749" s="25"/>
      <c r="F749" s="25"/>
      <c r="G749" s="26"/>
      <c r="H749" s="4"/>
    </row>
    <row r="750">
      <c r="D750" s="25"/>
      <c r="E750" s="25"/>
      <c r="F750" s="25"/>
      <c r="G750" s="26"/>
      <c r="H750" s="4"/>
    </row>
    <row r="751">
      <c r="D751" s="25"/>
      <c r="E751" s="25"/>
      <c r="F751" s="25"/>
      <c r="G751" s="26"/>
      <c r="H751" s="4"/>
    </row>
    <row r="752">
      <c r="D752" s="25"/>
      <c r="E752" s="25"/>
      <c r="F752" s="25"/>
      <c r="G752" s="26"/>
      <c r="H752" s="4"/>
    </row>
    <row r="753">
      <c r="D753" s="25"/>
      <c r="E753" s="25"/>
      <c r="F753" s="25"/>
      <c r="G753" s="26"/>
      <c r="H753" s="4"/>
    </row>
    <row r="754">
      <c r="D754" s="25"/>
      <c r="E754" s="25"/>
      <c r="F754" s="25"/>
      <c r="G754" s="26"/>
      <c r="H754" s="4"/>
    </row>
    <row r="755">
      <c r="D755" s="25"/>
      <c r="E755" s="25"/>
      <c r="F755" s="25"/>
      <c r="G755" s="26"/>
      <c r="H755" s="4"/>
    </row>
    <row r="756">
      <c r="D756" s="25"/>
      <c r="E756" s="25"/>
      <c r="F756" s="25"/>
      <c r="G756" s="26"/>
      <c r="H756" s="4"/>
    </row>
    <row r="757">
      <c r="D757" s="25"/>
      <c r="E757" s="25"/>
      <c r="F757" s="25"/>
      <c r="G757" s="26"/>
      <c r="H757" s="4"/>
    </row>
    <row r="758">
      <c r="D758" s="25"/>
      <c r="E758" s="25"/>
      <c r="F758" s="25"/>
      <c r="G758" s="26"/>
      <c r="H758" s="4"/>
    </row>
    <row r="759">
      <c r="D759" s="25"/>
      <c r="E759" s="25"/>
      <c r="F759" s="25"/>
      <c r="G759" s="26"/>
      <c r="H759" s="4"/>
    </row>
    <row r="760">
      <c r="D760" s="25"/>
      <c r="E760" s="25"/>
      <c r="F760" s="25"/>
      <c r="G760" s="26"/>
      <c r="H760" s="4"/>
    </row>
    <row r="761">
      <c r="D761" s="25"/>
      <c r="E761" s="25"/>
      <c r="F761" s="25"/>
      <c r="G761" s="26"/>
      <c r="H761" s="4"/>
    </row>
    <row r="762">
      <c r="D762" s="25"/>
      <c r="E762" s="25"/>
      <c r="F762" s="25"/>
      <c r="G762" s="26"/>
      <c r="H762" s="4"/>
    </row>
    <row r="763">
      <c r="D763" s="25"/>
      <c r="E763" s="25"/>
      <c r="F763" s="25"/>
      <c r="G763" s="26"/>
      <c r="H763" s="4"/>
    </row>
    <row r="764">
      <c r="D764" s="25"/>
      <c r="E764" s="25"/>
      <c r="F764" s="25"/>
      <c r="G764" s="26"/>
      <c r="H764" s="4"/>
    </row>
    <row r="765">
      <c r="D765" s="25"/>
      <c r="E765" s="25"/>
      <c r="F765" s="25"/>
      <c r="G765" s="26"/>
      <c r="H765" s="4"/>
    </row>
    <row r="766">
      <c r="D766" s="25"/>
      <c r="E766" s="25"/>
      <c r="F766" s="25"/>
      <c r="G766" s="26"/>
      <c r="H766" s="4"/>
    </row>
    <row r="767">
      <c r="D767" s="25"/>
      <c r="E767" s="25"/>
      <c r="F767" s="25"/>
      <c r="G767" s="26"/>
      <c r="H767" s="4"/>
    </row>
    <row r="768">
      <c r="D768" s="25"/>
      <c r="E768" s="25"/>
      <c r="F768" s="25"/>
      <c r="G768" s="26"/>
      <c r="H768" s="4"/>
    </row>
    <row r="769">
      <c r="D769" s="25"/>
      <c r="E769" s="25"/>
      <c r="F769" s="25"/>
      <c r="G769" s="26"/>
      <c r="H769" s="4"/>
    </row>
    <row r="770">
      <c r="D770" s="25"/>
      <c r="E770" s="25"/>
      <c r="F770" s="25"/>
      <c r="G770" s="26"/>
      <c r="H770" s="4"/>
    </row>
    <row r="771">
      <c r="D771" s="25"/>
      <c r="E771" s="25"/>
      <c r="F771" s="25"/>
      <c r="G771" s="26"/>
      <c r="H771" s="4"/>
    </row>
    <row r="772">
      <c r="D772" s="25"/>
      <c r="E772" s="25"/>
      <c r="F772" s="25"/>
      <c r="G772" s="26"/>
      <c r="H772" s="4"/>
    </row>
    <row r="773">
      <c r="D773" s="25"/>
      <c r="E773" s="25"/>
      <c r="F773" s="25"/>
      <c r="G773" s="26"/>
      <c r="H773" s="4"/>
    </row>
    <row r="774">
      <c r="D774" s="25"/>
      <c r="E774" s="25"/>
      <c r="F774" s="25"/>
      <c r="G774" s="26"/>
      <c r="H774" s="4"/>
    </row>
    <row r="775">
      <c r="D775" s="25"/>
      <c r="E775" s="25"/>
      <c r="F775" s="25"/>
      <c r="G775" s="26"/>
      <c r="H775" s="4"/>
    </row>
    <row r="776">
      <c r="D776" s="25"/>
      <c r="E776" s="25"/>
      <c r="F776" s="25"/>
      <c r="G776" s="26"/>
      <c r="H776" s="4"/>
    </row>
    <row r="777">
      <c r="D777" s="25"/>
      <c r="E777" s="25"/>
      <c r="F777" s="25"/>
      <c r="G777" s="26"/>
      <c r="H777" s="4"/>
    </row>
    <row r="778">
      <c r="D778" s="25"/>
      <c r="E778" s="25"/>
      <c r="F778" s="25"/>
      <c r="G778" s="26"/>
      <c r="H778" s="4"/>
    </row>
    <row r="779">
      <c r="D779" s="25"/>
      <c r="E779" s="25"/>
      <c r="F779" s="25"/>
      <c r="G779" s="26"/>
      <c r="H779" s="4"/>
    </row>
    <row r="780">
      <c r="D780" s="25"/>
      <c r="E780" s="25"/>
      <c r="F780" s="25"/>
      <c r="G780" s="26"/>
      <c r="H780" s="4"/>
    </row>
    <row r="781">
      <c r="D781" s="25"/>
      <c r="E781" s="25"/>
      <c r="F781" s="25"/>
      <c r="G781" s="26"/>
      <c r="H781" s="4"/>
    </row>
    <row r="782">
      <c r="D782" s="25"/>
      <c r="E782" s="25"/>
      <c r="F782" s="25"/>
      <c r="G782" s="26"/>
      <c r="H782" s="4"/>
    </row>
    <row r="783">
      <c r="D783" s="25"/>
      <c r="E783" s="25"/>
      <c r="F783" s="25"/>
      <c r="G783" s="26"/>
      <c r="H783" s="4"/>
    </row>
    <row r="784">
      <c r="D784" s="25"/>
      <c r="E784" s="25"/>
      <c r="F784" s="25"/>
      <c r="G784" s="26"/>
      <c r="H784" s="4"/>
    </row>
    <row r="785">
      <c r="D785" s="25"/>
      <c r="E785" s="25"/>
      <c r="F785" s="25"/>
      <c r="G785" s="26"/>
      <c r="H785" s="4"/>
    </row>
    <row r="786">
      <c r="D786" s="25"/>
      <c r="E786" s="25"/>
      <c r="F786" s="25"/>
      <c r="G786" s="26"/>
      <c r="H786" s="4"/>
    </row>
    <row r="787">
      <c r="D787" s="25"/>
      <c r="E787" s="25"/>
      <c r="F787" s="25"/>
      <c r="G787" s="26"/>
      <c r="H787" s="4"/>
    </row>
    <row r="788">
      <c r="D788" s="25"/>
      <c r="E788" s="25"/>
      <c r="F788" s="25"/>
      <c r="G788" s="26"/>
      <c r="H788" s="4"/>
    </row>
    <row r="789">
      <c r="D789" s="25"/>
      <c r="E789" s="25"/>
      <c r="F789" s="25"/>
      <c r="G789" s="26"/>
      <c r="H789" s="4"/>
    </row>
    <row r="790">
      <c r="D790" s="25"/>
      <c r="E790" s="25"/>
      <c r="F790" s="25"/>
      <c r="G790" s="26"/>
      <c r="H790" s="4"/>
    </row>
    <row r="791">
      <c r="D791" s="25"/>
      <c r="E791" s="25"/>
      <c r="F791" s="25"/>
      <c r="G791" s="26"/>
      <c r="H791" s="4"/>
    </row>
    <row r="792">
      <c r="D792" s="25"/>
      <c r="E792" s="25"/>
      <c r="F792" s="25"/>
      <c r="G792" s="26"/>
      <c r="H792" s="4"/>
    </row>
    <row r="793">
      <c r="D793" s="25"/>
      <c r="E793" s="25"/>
      <c r="F793" s="25"/>
      <c r="G793" s="26"/>
      <c r="H793" s="4"/>
    </row>
    <row r="794">
      <c r="D794" s="25"/>
      <c r="E794" s="25"/>
      <c r="F794" s="25"/>
      <c r="G794" s="26"/>
      <c r="H794" s="4"/>
    </row>
    <row r="795">
      <c r="D795" s="25"/>
      <c r="E795" s="25"/>
      <c r="F795" s="25"/>
      <c r="G795" s="26"/>
      <c r="H795" s="4"/>
    </row>
    <row r="796">
      <c r="D796" s="25"/>
      <c r="E796" s="25"/>
      <c r="F796" s="25"/>
      <c r="G796" s="26"/>
      <c r="H796" s="4"/>
    </row>
    <row r="797">
      <c r="D797" s="25"/>
      <c r="E797" s="25"/>
      <c r="F797" s="25"/>
      <c r="G797" s="26"/>
      <c r="H797" s="4"/>
    </row>
    <row r="798">
      <c r="D798" s="25"/>
      <c r="E798" s="25"/>
      <c r="F798" s="25"/>
      <c r="G798" s="26"/>
      <c r="H798" s="4"/>
    </row>
    <row r="799">
      <c r="D799" s="25"/>
      <c r="E799" s="25"/>
      <c r="F799" s="25"/>
      <c r="G799" s="26"/>
      <c r="H799" s="4"/>
    </row>
    <row r="800">
      <c r="D800" s="25"/>
      <c r="E800" s="25"/>
      <c r="F800" s="25"/>
      <c r="G800" s="26"/>
      <c r="H800" s="4"/>
    </row>
    <row r="801">
      <c r="D801" s="25"/>
      <c r="E801" s="25"/>
      <c r="F801" s="25"/>
      <c r="G801" s="26"/>
      <c r="H801" s="4"/>
    </row>
    <row r="802">
      <c r="D802" s="25"/>
      <c r="E802" s="25"/>
      <c r="F802" s="25"/>
      <c r="G802" s="26"/>
      <c r="H802" s="4"/>
    </row>
    <row r="803">
      <c r="D803" s="25"/>
      <c r="E803" s="25"/>
      <c r="F803" s="25"/>
      <c r="G803" s="26"/>
      <c r="H803" s="4"/>
    </row>
    <row r="804">
      <c r="D804" s="25"/>
      <c r="E804" s="25"/>
      <c r="F804" s="25"/>
      <c r="G804" s="26"/>
      <c r="H804" s="4"/>
    </row>
    <row r="805">
      <c r="D805" s="25"/>
      <c r="E805" s="25"/>
      <c r="F805" s="25"/>
      <c r="G805" s="26"/>
      <c r="H805" s="4"/>
    </row>
    <row r="806">
      <c r="D806" s="25"/>
      <c r="E806" s="25"/>
      <c r="F806" s="25"/>
      <c r="G806" s="26"/>
      <c r="H806" s="4"/>
    </row>
    <row r="807">
      <c r="D807" s="25"/>
      <c r="E807" s="25"/>
      <c r="F807" s="25"/>
      <c r="G807" s="26"/>
      <c r="H807" s="4"/>
    </row>
    <row r="808">
      <c r="D808" s="25"/>
      <c r="E808" s="25"/>
      <c r="F808" s="25"/>
      <c r="G808" s="26"/>
      <c r="H808" s="4"/>
    </row>
    <row r="809">
      <c r="D809" s="25"/>
      <c r="E809" s="25"/>
      <c r="F809" s="25"/>
      <c r="G809" s="26"/>
      <c r="H809" s="4"/>
    </row>
    <row r="810">
      <c r="D810" s="25"/>
      <c r="E810" s="25"/>
      <c r="F810" s="25"/>
      <c r="G810" s="26"/>
      <c r="H810" s="4"/>
    </row>
    <row r="811">
      <c r="D811" s="25"/>
      <c r="E811" s="25"/>
      <c r="F811" s="25"/>
      <c r="G811" s="26"/>
      <c r="H811" s="4"/>
    </row>
    <row r="812">
      <c r="D812" s="25"/>
      <c r="E812" s="25"/>
      <c r="F812" s="25"/>
      <c r="G812" s="26"/>
      <c r="H812" s="4"/>
    </row>
    <row r="813">
      <c r="D813" s="25"/>
      <c r="E813" s="25"/>
      <c r="F813" s="25"/>
      <c r="G813" s="26"/>
      <c r="H813" s="4"/>
    </row>
    <row r="814">
      <c r="D814" s="25"/>
      <c r="E814" s="25"/>
      <c r="F814" s="25"/>
      <c r="G814" s="26"/>
      <c r="H814" s="4"/>
    </row>
    <row r="815">
      <c r="D815" s="25"/>
      <c r="E815" s="25"/>
      <c r="F815" s="25"/>
      <c r="G815" s="26"/>
      <c r="H815" s="4"/>
    </row>
    <row r="816">
      <c r="D816" s="25"/>
      <c r="E816" s="25"/>
      <c r="F816" s="25"/>
      <c r="G816" s="26"/>
      <c r="H816" s="4"/>
    </row>
    <row r="817">
      <c r="D817" s="25"/>
      <c r="E817" s="25"/>
      <c r="F817" s="25"/>
      <c r="G817" s="26"/>
      <c r="H817" s="4"/>
    </row>
    <row r="818">
      <c r="D818" s="25"/>
      <c r="E818" s="25"/>
      <c r="F818" s="25"/>
      <c r="G818" s="26"/>
      <c r="H818" s="4"/>
    </row>
    <row r="819">
      <c r="D819" s="25"/>
      <c r="E819" s="25"/>
      <c r="F819" s="25"/>
      <c r="G819" s="26"/>
      <c r="H819" s="4"/>
    </row>
    <row r="820">
      <c r="D820" s="25"/>
      <c r="E820" s="25"/>
      <c r="F820" s="25"/>
      <c r="G820" s="26"/>
      <c r="H820" s="4"/>
    </row>
    <row r="821">
      <c r="D821" s="25"/>
      <c r="E821" s="25"/>
      <c r="F821" s="25"/>
      <c r="G821" s="26"/>
      <c r="H821" s="4"/>
    </row>
    <row r="822">
      <c r="D822" s="25"/>
      <c r="E822" s="25"/>
      <c r="F822" s="25"/>
      <c r="G822" s="26"/>
      <c r="H822" s="4"/>
    </row>
    <row r="823">
      <c r="D823" s="25"/>
      <c r="E823" s="25"/>
      <c r="F823" s="25"/>
      <c r="G823" s="26"/>
      <c r="H823" s="4"/>
    </row>
    <row r="824">
      <c r="D824" s="25"/>
      <c r="E824" s="25"/>
      <c r="F824" s="25"/>
      <c r="G824" s="26"/>
      <c r="H824" s="4"/>
    </row>
    <row r="825">
      <c r="D825" s="25"/>
      <c r="E825" s="25"/>
      <c r="F825" s="25"/>
      <c r="G825" s="26"/>
      <c r="H825" s="4"/>
    </row>
    <row r="826">
      <c r="D826" s="25"/>
      <c r="E826" s="25"/>
      <c r="F826" s="25"/>
      <c r="G826" s="26"/>
      <c r="H826" s="4"/>
    </row>
    <row r="827">
      <c r="D827" s="25"/>
      <c r="E827" s="25"/>
      <c r="F827" s="25"/>
      <c r="G827" s="26"/>
      <c r="H827" s="4"/>
    </row>
    <row r="828">
      <c r="D828" s="25"/>
      <c r="E828" s="25"/>
      <c r="F828" s="25"/>
      <c r="G828" s="26"/>
      <c r="H828" s="4"/>
    </row>
    <row r="829">
      <c r="D829" s="25"/>
      <c r="E829" s="25"/>
      <c r="F829" s="25"/>
      <c r="G829" s="26"/>
      <c r="H829" s="4"/>
    </row>
    <row r="830">
      <c r="D830" s="25"/>
      <c r="E830" s="25"/>
      <c r="F830" s="25"/>
      <c r="G830" s="26"/>
      <c r="H830" s="4"/>
    </row>
    <row r="831">
      <c r="D831" s="25"/>
      <c r="E831" s="25"/>
      <c r="F831" s="25"/>
      <c r="G831" s="26"/>
      <c r="H831" s="4"/>
    </row>
    <row r="832">
      <c r="D832" s="25"/>
      <c r="E832" s="25"/>
      <c r="F832" s="25"/>
      <c r="G832" s="26"/>
      <c r="H832" s="4"/>
    </row>
    <row r="833">
      <c r="D833" s="25"/>
      <c r="E833" s="25"/>
      <c r="F833" s="25"/>
      <c r="G833" s="26"/>
      <c r="H833" s="4"/>
    </row>
    <row r="834">
      <c r="D834" s="25"/>
      <c r="E834" s="25"/>
      <c r="F834" s="25"/>
      <c r="G834" s="26"/>
      <c r="H834" s="4"/>
    </row>
    <row r="835">
      <c r="D835" s="25"/>
      <c r="E835" s="25"/>
      <c r="F835" s="25"/>
      <c r="G835" s="26"/>
      <c r="H835" s="4"/>
    </row>
    <row r="836">
      <c r="D836" s="25"/>
      <c r="E836" s="25"/>
      <c r="F836" s="25"/>
      <c r="G836" s="26"/>
      <c r="H836" s="4"/>
    </row>
    <row r="837">
      <c r="D837" s="25"/>
      <c r="E837" s="25"/>
      <c r="F837" s="25"/>
      <c r="G837" s="26"/>
      <c r="H837" s="4"/>
    </row>
    <row r="838">
      <c r="D838" s="25"/>
      <c r="E838" s="25"/>
      <c r="F838" s="25"/>
      <c r="G838" s="26"/>
      <c r="H838" s="4"/>
    </row>
    <row r="839">
      <c r="D839" s="25"/>
      <c r="E839" s="25"/>
      <c r="F839" s="25"/>
      <c r="G839" s="26"/>
      <c r="H839" s="4"/>
    </row>
    <row r="840">
      <c r="D840" s="25"/>
      <c r="E840" s="25"/>
      <c r="F840" s="25"/>
      <c r="G840" s="26"/>
      <c r="H840" s="4"/>
    </row>
    <row r="841">
      <c r="D841" s="25"/>
      <c r="E841" s="25"/>
      <c r="F841" s="25"/>
      <c r="G841" s="26"/>
      <c r="H841" s="4"/>
    </row>
    <row r="842">
      <c r="D842" s="25"/>
      <c r="E842" s="25"/>
      <c r="F842" s="25"/>
      <c r="G842" s="26"/>
      <c r="H842" s="4"/>
    </row>
    <row r="843">
      <c r="D843" s="25"/>
      <c r="E843" s="25"/>
      <c r="F843" s="25"/>
      <c r="G843" s="26"/>
      <c r="H843" s="4"/>
    </row>
    <row r="844">
      <c r="D844" s="25"/>
      <c r="E844" s="25"/>
      <c r="F844" s="25"/>
      <c r="G844" s="26"/>
      <c r="H844" s="4"/>
    </row>
    <row r="845">
      <c r="D845" s="25"/>
      <c r="E845" s="25"/>
      <c r="F845" s="25"/>
      <c r="G845" s="26"/>
      <c r="H845" s="4"/>
    </row>
    <row r="846">
      <c r="D846" s="25"/>
      <c r="E846" s="25"/>
      <c r="F846" s="25"/>
      <c r="G846" s="26"/>
      <c r="H846" s="4"/>
    </row>
    <row r="847">
      <c r="D847" s="25"/>
      <c r="E847" s="25"/>
      <c r="F847" s="25"/>
      <c r="G847" s="26"/>
      <c r="H847" s="4"/>
    </row>
    <row r="848">
      <c r="D848" s="25"/>
      <c r="E848" s="25"/>
      <c r="F848" s="25"/>
      <c r="G848" s="26"/>
      <c r="H848" s="4"/>
    </row>
    <row r="849">
      <c r="D849" s="25"/>
      <c r="E849" s="25"/>
      <c r="F849" s="25"/>
      <c r="G849" s="26"/>
      <c r="H849" s="4"/>
    </row>
    <row r="850">
      <c r="D850" s="25"/>
      <c r="E850" s="25"/>
      <c r="F850" s="25"/>
      <c r="G850" s="26"/>
      <c r="H850" s="4"/>
    </row>
    <row r="851">
      <c r="D851" s="25"/>
      <c r="E851" s="25"/>
      <c r="F851" s="25"/>
      <c r="G851" s="26"/>
      <c r="H851" s="4"/>
    </row>
    <row r="852">
      <c r="D852" s="25"/>
      <c r="E852" s="25"/>
      <c r="F852" s="25"/>
      <c r="G852" s="26"/>
      <c r="H852" s="4"/>
    </row>
    <row r="853">
      <c r="D853" s="25"/>
      <c r="E853" s="25"/>
      <c r="F853" s="25"/>
      <c r="G853" s="26"/>
      <c r="H853" s="4"/>
    </row>
    <row r="854">
      <c r="D854" s="25"/>
      <c r="E854" s="25"/>
      <c r="F854" s="25"/>
      <c r="G854" s="26"/>
      <c r="H854" s="4"/>
    </row>
    <row r="855">
      <c r="D855" s="25"/>
      <c r="E855" s="25"/>
      <c r="F855" s="25"/>
      <c r="G855" s="26"/>
      <c r="H855" s="4"/>
    </row>
    <row r="856">
      <c r="D856" s="25"/>
      <c r="E856" s="25"/>
      <c r="F856" s="25"/>
      <c r="G856" s="26"/>
      <c r="H856" s="4"/>
    </row>
    <row r="857">
      <c r="D857" s="25"/>
      <c r="E857" s="25"/>
      <c r="F857" s="25"/>
      <c r="G857" s="26"/>
      <c r="H857" s="4"/>
    </row>
    <row r="858">
      <c r="D858" s="25"/>
      <c r="E858" s="25"/>
      <c r="F858" s="25"/>
      <c r="G858" s="26"/>
      <c r="H858" s="4"/>
    </row>
    <row r="859">
      <c r="D859" s="25"/>
      <c r="E859" s="25"/>
      <c r="F859" s="25"/>
      <c r="G859" s="26"/>
      <c r="H859" s="4"/>
    </row>
    <row r="860">
      <c r="D860" s="25"/>
      <c r="E860" s="25"/>
      <c r="F860" s="25"/>
      <c r="G860" s="26"/>
      <c r="H860" s="4"/>
    </row>
    <row r="861">
      <c r="D861" s="25"/>
      <c r="E861" s="25"/>
      <c r="F861" s="25"/>
      <c r="G861" s="26"/>
      <c r="H861" s="4"/>
    </row>
    <row r="862">
      <c r="D862" s="25"/>
      <c r="E862" s="25"/>
      <c r="F862" s="25"/>
      <c r="G862" s="26"/>
      <c r="H862" s="4"/>
    </row>
    <row r="863">
      <c r="D863" s="25"/>
      <c r="E863" s="25"/>
      <c r="F863" s="25"/>
      <c r="G863" s="26"/>
      <c r="H863" s="4"/>
    </row>
    <row r="864">
      <c r="D864" s="25"/>
      <c r="E864" s="25"/>
      <c r="F864" s="25"/>
      <c r="G864" s="26"/>
      <c r="H864" s="4"/>
    </row>
    <row r="865">
      <c r="D865" s="25"/>
      <c r="E865" s="25"/>
      <c r="F865" s="25"/>
      <c r="G865" s="26"/>
      <c r="H865" s="4"/>
    </row>
    <row r="866">
      <c r="D866" s="25"/>
      <c r="E866" s="25"/>
      <c r="F866" s="25"/>
      <c r="G866" s="26"/>
      <c r="H866" s="4"/>
    </row>
    <row r="867">
      <c r="D867" s="25"/>
      <c r="E867" s="25"/>
      <c r="F867" s="25"/>
      <c r="G867" s="26"/>
      <c r="H867" s="4"/>
    </row>
    <row r="868">
      <c r="D868" s="25"/>
      <c r="E868" s="25"/>
      <c r="F868" s="25"/>
      <c r="G868" s="26"/>
      <c r="H868" s="4"/>
    </row>
    <row r="869">
      <c r="D869" s="25"/>
      <c r="E869" s="25"/>
      <c r="F869" s="25"/>
      <c r="G869" s="26"/>
      <c r="H869" s="4"/>
    </row>
    <row r="870">
      <c r="D870" s="25"/>
      <c r="E870" s="25"/>
      <c r="F870" s="25"/>
      <c r="G870" s="26"/>
      <c r="H870" s="4"/>
    </row>
    <row r="871">
      <c r="D871" s="25"/>
      <c r="E871" s="25"/>
      <c r="F871" s="25"/>
      <c r="G871" s="26"/>
      <c r="H871" s="4"/>
    </row>
    <row r="872">
      <c r="D872" s="25"/>
      <c r="E872" s="25"/>
      <c r="F872" s="25"/>
      <c r="G872" s="26"/>
      <c r="H872" s="4"/>
    </row>
    <row r="873">
      <c r="D873" s="25"/>
      <c r="E873" s="25"/>
      <c r="F873" s="25"/>
      <c r="G873" s="26"/>
      <c r="H873" s="4"/>
    </row>
    <row r="874">
      <c r="D874" s="25"/>
      <c r="E874" s="25"/>
      <c r="F874" s="25"/>
      <c r="G874" s="26"/>
      <c r="H874" s="4"/>
    </row>
    <row r="875">
      <c r="D875" s="25"/>
      <c r="E875" s="25"/>
      <c r="F875" s="25"/>
      <c r="G875" s="26"/>
      <c r="H875" s="4"/>
    </row>
    <row r="876">
      <c r="D876" s="25"/>
      <c r="E876" s="25"/>
      <c r="F876" s="25"/>
      <c r="G876" s="26"/>
      <c r="H876" s="4"/>
    </row>
    <row r="877">
      <c r="D877" s="25"/>
      <c r="E877" s="25"/>
      <c r="F877" s="25"/>
      <c r="G877" s="26"/>
      <c r="H877" s="4"/>
    </row>
    <row r="878">
      <c r="D878" s="25"/>
      <c r="E878" s="25"/>
      <c r="F878" s="25"/>
      <c r="G878" s="26"/>
      <c r="H878" s="4"/>
    </row>
    <row r="879">
      <c r="D879" s="25"/>
      <c r="E879" s="25"/>
      <c r="F879" s="25"/>
      <c r="G879" s="26"/>
      <c r="H879" s="4"/>
    </row>
    <row r="880">
      <c r="D880" s="25"/>
      <c r="E880" s="25"/>
      <c r="F880" s="25"/>
      <c r="G880" s="26"/>
      <c r="H880" s="4"/>
    </row>
    <row r="881">
      <c r="D881" s="25"/>
      <c r="E881" s="25"/>
      <c r="F881" s="25"/>
      <c r="G881" s="26"/>
      <c r="H881" s="4"/>
    </row>
    <row r="882">
      <c r="D882" s="25"/>
      <c r="E882" s="25"/>
      <c r="F882" s="25"/>
      <c r="G882" s="26"/>
      <c r="H882" s="4"/>
    </row>
    <row r="883">
      <c r="D883" s="25"/>
      <c r="E883" s="25"/>
      <c r="F883" s="25"/>
      <c r="G883" s="26"/>
      <c r="H883" s="4"/>
    </row>
    <row r="884">
      <c r="D884" s="25"/>
      <c r="E884" s="25"/>
      <c r="F884" s="25"/>
      <c r="G884" s="26"/>
      <c r="H884" s="4"/>
    </row>
    <row r="885">
      <c r="D885" s="25"/>
      <c r="E885" s="25"/>
      <c r="F885" s="25"/>
      <c r="G885" s="26"/>
      <c r="H885" s="4"/>
    </row>
    <row r="886">
      <c r="D886" s="25"/>
      <c r="E886" s="25"/>
      <c r="F886" s="25"/>
      <c r="G886" s="26"/>
      <c r="H886" s="4"/>
    </row>
    <row r="887">
      <c r="D887" s="25"/>
      <c r="E887" s="25"/>
      <c r="F887" s="25"/>
      <c r="G887" s="26"/>
      <c r="H887" s="4"/>
    </row>
    <row r="888">
      <c r="D888" s="25"/>
      <c r="E888" s="25"/>
      <c r="F888" s="25"/>
      <c r="G888" s="26"/>
      <c r="H888" s="4"/>
    </row>
    <row r="889">
      <c r="D889" s="25"/>
      <c r="E889" s="25"/>
      <c r="F889" s="25"/>
      <c r="G889" s="26"/>
      <c r="H889" s="4"/>
    </row>
    <row r="890">
      <c r="D890" s="25"/>
      <c r="E890" s="25"/>
      <c r="F890" s="25"/>
      <c r="G890" s="26"/>
      <c r="H890" s="4"/>
    </row>
    <row r="891">
      <c r="D891" s="25"/>
      <c r="E891" s="25"/>
      <c r="F891" s="25"/>
      <c r="G891" s="26"/>
      <c r="H891" s="4"/>
    </row>
    <row r="892">
      <c r="D892" s="25"/>
      <c r="E892" s="25"/>
      <c r="F892" s="25"/>
      <c r="G892" s="26"/>
      <c r="H892" s="4"/>
    </row>
    <row r="893">
      <c r="D893" s="25"/>
      <c r="E893" s="25"/>
      <c r="F893" s="25"/>
      <c r="G893" s="26"/>
      <c r="H893" s="4"/>
    </row>
    <row r="894">
      <c r="D894" s="25"/>
      <c r="E894" s="25"/>
      <c r="F894" s="25"/>
      <c r="G894" s="26"/>
      <c r="H894" s="4"/>
    </row>
    <row r="895">
      <c r="D895" s="25"/>
      <c r="E895" s="25"/>
      <c r="F895" s="25"/>
      <c r="G895" s="26"/>
      <c r="H895" s="4"/>
    </row>
    <row r="896">
      <c r="D896" s="25"/>
      <c r="E896" s="25"/>
      <c r="F896" s="25"/>
      <c r="G896" s="26"/>
      <c r="H896" s="4"/>
    </row>
    <row r="897">
      <c r="D897" s="25"/>
      <c r="E897" s="25"/>
      <c r="F897" s="25"/>
      <c r="G897" s="26"/>
      <c r="H897" s="4"/>
    </row>
    <row r="898">
      <c r="D898" s="25"/>
      <c r="E898" s="25"/>
      <c r="F898" s="25"/>
      <c r="G898" s="26"/>
      <c r="H898" s="4"/>
    </row>
    <row r="899">
      <c r="D899" s="25"/>
      <c r="E899" s="25"/>
      <c r="F899" s="25"/>
      <c r="G899" s="26"/>
      <c r="H899" s="4"/>
    </row>
    <row r="900">
      <c r="D900" s="25"/>
      <c r="E900" s="25"/>
      <c r="F900" s="25"/>
      <c r="G900" s="26"/>
      <c r="H900" s="4"/>
    </row>
    <row r="901">
      <c r="D901" s="25"/>
      <c r="E901" s="25"/>
      <c r="F901" s="25"/>
      <c r="G901" s="26"/>
      <c r="H901" s="4"/>
    </row>
    <row r="902">
      <c r="D902" s="25"/>
      <c r="E902" s="25"/>
      <c r="F902" s="25"/>
      <c r="G902" s="26"/>
      <c r="H902" s="4"/>
    </row>
    <row r="903">
      <c r="D903" s="25"/>
      <c r="E903" s="25"/>
      <c r="F903" s="25"/>
      <c r="G903" s="26"/>
      <c r="H903" s="4"/>
    </row>
    <row r="904">
      <c r="D904" s="25"/>
      <c r="E904" s="25"/>
      <c r="F904" s="25"/>
      <c r="G904" s="26"/>
      <c r="H904" s="4"/>
    </row>
    <row r="905">
      <c r="D905" s="25"/>
      <c r="E905" s="25"/>
      <c r="F905" s="25"/>
      <c r="G905" s="26"/>
      <c r="H905" s="4"/>
    </row>
    <row r="906">
      <c r="D906" s="25"/>
      <c r="E906" s="25"/>
      <c r="F906" s="25"/>
      <c r="G906" s="26"/>
      <c r="H906" s="4"/>
    </row>
    <row r="907">
      <c r="D907" s="25"/>
      <c r="E907" s="25"/>
      <c r="F907" s="25"/>
      <c r="G907" s="26"/>
      <c r="H907" s="4"/>
    </row>
    <row r="908">
      <c r="D908" s="25"/>
      <c r="E908" s="25"/>
      <c r="F908" s="25"/>
      <c r="G908" s="26"/>
      <c r="H908" s="4"/>
    </row>
    <row r="909">
      <c r="D909" s="25"/>
      <c r="E909" s="25"/>
      <c r="F909" s="25"/>
      <c r="G909" s="26"/>
      <c r="H909" s="4"/>
    </row>
    <row r="910">
      <c r="D910" s="25"/>
      <c r="E910" s="25"/>
      <c r="F910" s="25"/>
      <c r="G910" s="26"/>
      <c r="H910" s="4"/>
    </row>
    <row r="911">
      <c r="D911" s="25"/>
      <c r="E911" s="25"/>
      <c r="F911" s="25"/>
      <c r="G911" s="26"/>
      <c r="H911" s="4"/>
    </row>
    <row r="912">
      <c r="D912" s="25"/>
      <c r="E912" s="25"/>
      <c r="F912" s="25"/>
      <c r="G912" s="26"/>
      <c r="H912" s="4"/>
    </row>
    <row r="913">
      <c r="D913" s="25"/>
      <c r="E913" s="25"/>
      <c r="F913" s="25"/>
      <c r="G913" s="26"/>
      <c r="H913" s="4"/>
    </row>
    <row r="914">
      <c r="D914" s="25"/>
      <c r="E914" s="25"/>
      <c r="F914" s="25"/>
      <c r="G914" s="26"/>
      <c r="H914" s="4"/>
    </row>
    <row r="915">
      <c r="D915" s="25"/>
      <c r="E915" s="25"/>
      <c r="F915" s="25"/>
      <c r="G915" s="26"/>
      <c r="H915" s="4"/>
    </row>
    <row r="916">
      <c r="D916" s="25"/>
      <c r="E916" s="25"/>
      <c r="F916" s="25"/>
      <c r="G916" s="26"/>
      <c r="H916" s="4"/>
    </row>
    <row r="917">
      <c r="D917" s="25"/>
      <c r="E917" s="25"/>
      <c r="F917" s="25"/>
      <c r="G917" s="26"/>
      <c r="H917" s="4"/>
    </row>
    <row r="918">
      <c r="D918" s="25"/>
      <c r="E918" s="25"/>
      <c r="F918" s="25"/>
      <c r="G918" s="26"/>
      <c r="H918" s="4"/>
    </row>
    <row r="919">
      <c r="D919" s="25"/>
      <c r="E919" s="25"/>
      <c r="F919" s="25"/>
      <c r="G919" s="26"/>
      <c r="H919" s="4"/>
    </row>
    <row r="920">
      <c r="D920" s="25"/>
      <c r="E920" s="25"/>
      <c r="F920" s="25"/>
      <c r="G920" s="26"/>
      <c r="H920" s="4"/>
    </row>
    <row r="921">
      <c r="D921" s="25"/>
      <c r="E921" s="25"/>
      <c r="F921" s="25"/>
      <c r="G921" s="26"/>
      <c r="H921" s="4"/>
    </row>
    <row r="922">
      <c r="D922" s="25"/>
      <c r="E922" s="25"/>
      <c r="F922" s="25"/>
      <c r="G922" s="26"/>
      <c r="H922" s="4"/>
    </row>
    <row r="923">
      <c r="D923" s="25"/>
      <c r="E923" s="25"/>
      <c r="F923" s="25"/>
      <c r="G923" s="26"/>
      <c r="H923" s="4"/>
    </row>
    <row r="924">
      <c r="D924" s="25"/>
      <c r="E924" s="25"/>
      <c r="F924" s="25"/>
      <c r="G924" s="26"/>
      <c r="H924" s="4"/>
    </row>
    <row r="925">
      <c r="D925" s="25"/>
      <c r="E925" s="25"/>
      <c r="F925" s="25"/>
      <c r="G925" s="26"/>
      <c r="H925" s="4"/>
    </row>
    <row r="926">
      <c r="D926" s="25"/>
      <c r="E926" s="25"/>
      <c r="F926" s="25"/>
      <c r="G926" s="26"/>
      <c r="H926" s="4"/>
    </row>
    <row r="927">
      <c r="D927" s="25"/>
      <c r="E927" s="25"/>
      <c r="F927" s="25"/>
      <c r="G927" s="26"/>
      <c r="H927" s="4"/>
    </row>
    <row r="928">
      <c r="D928" s="25"/>
      <c r="E928" s="25"/>
      <c r="F928" s="25"/>
      <c r="G928" s="26"/>
      <c r="H928" s="4"/>
    </row>
    <row r="929">
      <c r="D929" s="25"/>
      <c r="E929" s="25"/>
      <c r="F929" s="25"/>
      <c r="G929" s="26"/>
      <c r="H929" s="4"/>
    </row>
    <row r="930">
      <c r="D930" s="25"/>
      <c r="E930" s="25"/>
      <c r="F930" s="25"/>
      <c r="G930" s="26"/>
      <c r="H930" s="4"/>
    </row>
    <row r="931">
      <c r="D931" s="25"/>
      <c r="E931" s="25"/>
      <c r="F931" s="25"/>
      <c r="G931" s="26"/>
      <c r="H931" s="4"/>
    </row>
    <row r="932">
      <c r="D932" s="25"/>
      <c r="E932" s="25"/>
      <c r="F932" s="25"/>
      <c r="G932" s="26"/>
      <c r="H932" s="4"/>
    </row>
    <row r="933">
      <c r="D933" s="25"/>
      <c r="E933" s="25"/>
      <c r="F933" s="25"/>
      <c r="G933" s="26"/>
      <c r="H933" s="4"/>
    </row>
    <row r="934">
      <c r="D934" s="25"/>
      <c r="E934" s="25"/>
      <c r="F934" s="25"/>
      <c r="G934" s="26"/>
      <c r="H934" s="4"/>
    </row>
    <row r="935">
      <c r="D935" s="25"/>
      <c r="E935" s="25"/>
      <c r="F935" s="25"/>
      <c r="G935" s="26"/>
      <c r="H935" s="4"/>
    </row>
    <row r="936">
      <c r="D936" s="25"/>
      <c r="E936" s="25"/>
      <c r="F936" s="25"/>
      <c r="G936" s="26"/>
      <c r="H936" s="4"/>
    </row>
    <row r="937">
      <c r="D937" s="25"/>
      <c r="E937" s="25"/>
      <c r="F937" s="25"/>
      <c r="G937" s="26"/>
      <c r="H937" s="4"/>
    </row>
    <row r="938">
      <c r="D938" s="25"/>
      <c r="E938" s="25"/>
      <c r="F938" s="25"/>
      <c r="G938" s="26"/>
      <c r="H938" s="4"/>
    </row>
    <row r="939">
      <c r="D939" s="25"/>
      <c r="E939" s="25"/>
      <c r="F939" s="25"/>
      <c r="G939" s="26"/>
      <c r="H939" s="4"/>
    </row>
    <row r="940">
      <c r="D940" s="25"/>
      <c r="E940" s="25"/>
      <c r="F940" s="25"/>
      <c r="G940" s="26"/>
      <c r="H940" s="4"/>
    </row>
    <row r="941">
      <c r="D941" s="25"/>
      <c r="E941" s="25"/>
      <c r="F941" s="25"/>
      <c r="G941" s="26"/>
      <c r="H941" s="4"/>
    </row>
    <row r="942">
      <c r="D942" s="25"/>
      <c r="E942" s="25"/>
      <c r="F942" s="25"/>
      <c r="G942" s="26"/>
      <c r="H942" s="4"/>
    </row>
    <row r="943">
      <c r="D943" s="25"/>
      <c r="E943" s="25"/>
      <c r="F943" s="25"/>
      <c r="G943" s="26"/>
      <c r="H943" s="4"/>
    </row>
    <row r="944">
      <c r="D944" s="25"/>
      <c r="E944" s="25"/>
      <c r="F944" s="25"/>
      <c r="G944" s="26"/>
      <c r="H944" s="4"/>
    </row>
    <row r="945">
      <c r="D945" s="25"/>
      <c r="E945" s="25"/>
      <c r="F945" s="25"/>
      <c r="G945" s="26"/>
      <c r="H945" s="4"/>
    </row>
    <row r="946">
      <c r="D946" s="25"/>
      <c r="E946" s="25"/>
      <c r="F946" s="25"/>
      <c r="G946" s="26"/>
      <c r="H946" s="4"/>
    </row>
    <row r="947">
      <c r="D947" s="25"/>
      <c r="E947" s="25"/>
      <c r="F947" s="25"/>
      <c r="G947" s="26"/>
      <c r="H947" s="4"/>
    </row>
    <row r="948">
      <c r="D948" s="25"/>
      <c r="E948" s="25"/>
      <c r="F948" s="25"/>
      <c r="G948" s="26"/>
      <c r="H948" s="4"/>
    </row>
    <row r="949">
      <c r="D949" s="25"/>
      <c r="E949" s="25"/>
      <c r="F949" s="25"/>
      <c r="G949" s="26"/>
      <c r="H949" s="4"/>
    </row>
    <row r="950">
      <c r="D950" s="25"/>
      <c r="E950" s="25"/>
      <c r="F950" s="25"/>
      <c r="G950" s="26"/>
      <c r="H950" s="4"/>
    </row>
    <row r="951">
      <c r="D951" s="25"/>
      <c r="E951" s="25"/>
      <c r="F951" s="25"/>
      <c r="G951" s="26"/>
      <c r="H951" s="4"/>
    </row>
    <row r="952">
      <c r="D952" s="25"/>
      <c r="E952" s="25"/>
      <c r="F952" s="25"/>
      <c r="G952" s="26"/>
      <c r="H952" s="4"/>
    </row>
    <row r="953">
      <c r="D953" s="25"/>
      <c r="E953" s="25"/>
      <c r="F953" s="25"/>
      <c r="G953" s="26"/>
      <c r="H953" s="4"/>
    </row>
    <row r="954">
      <c r="D954" s="25"/>
      <c r="E954" s="25"/>
      <c r="F954" s="25"/>
      <c r="G954" s="26"/>
      <c r="H954" s="4"/>
    </row>
    <row r="955">
      <c r="D955" s="25"/>
      <c r="E955" s="25"/>
      <c r="F955" s="25"/>
      <c r="G955" s="26"/>
      <c r="H955" s="4"/>
    </row>
    <row r="956">
      <c r="D956" s="25"/>
      <c r="E956" s="25"/>
      <c r="F956" s="25"/>
      <c r="G956" s="26"/>
      <c r="H956" s="4"/>
    </row>
    <row r="957">
      <c r="D957" s="25"/>
      <c r="E957" s="25"/>
      <c r="F957" s="25"/>
      <c r="G957" s="26"/>
      <c r="H957" s="4"/>
    </row>
    <row r="958">
      <c r="D958" s="25"/>
      <c r="E958" s="25"/>
      <c r="F958" s="25"/>
      <c r="G958" s="26"/>
      <c r="H958" s="4"/>
    </row>
    <row r="959">
      <c r="D959" s="25"/>
      <c r="E959" s="25"/>
      <c r="F959" s="25"/>
      <c r="G959" s="26"/>
      <c r="H959" s="4"/>
    </row>
    <row r="960">
      <c r="D960" s="25"/>
      <c r="E960" s="25"/>
      <c r="F960" s="25"/>
      <c r="G960" s="26"/>
      <c r="H960" s="4"/>
    </row>
    <row r="961">
      <c r="D961" s="25"/>
      <c r="E961" s="25"/>
      <c r="F961" s="25"/>
      <c r="G961" s="26"/>
      <c r="H961" s="4"/>
    </row>
    <row r="962">
      <c r="D962" s="25"/>
      <c r="E962" s="25"/>
      <c r="F962" s="25"/>
      <c r="G962" s="26"/>
      <c r="H962" s="4"/>
    </row>
    <row r="963">
      <c r="D963" s="25"/>
      <c r="E963" s="25"/>
      <c r="F963" s="25"/>
      <c r="G963" s="26"/>
      <c r="H963" s="4"/>
    </row>
    <row r="964">
      <c r="D964" s="25"/>
      <c r="E964" s="25"/>
      <c r="F964" s="25"/>
      <c r="G964" s="26"/>
      <c r="H964" s="4"/>
    </row>
    <row r="965">
      <c r="D965" s="25"/>
      <c r="E965" s="25"/>
      <c r="F965" s="25"/>
      <c r="G965" s="26"/>
      <c r="H965" s="4"/>
    </row>
    <row r="966">
      <c r="D966" s="25"/>
      <c r="E966" s="25"/>
      <c r="F966" s="25"/>
      <c r="G966" s="26"/>
      <c r="H966" s="4"/>
    </row>
    <row r="967">
      <c r="D967" s="25"/>
      <c r="E967" s="25"/>
      <c r="F967" s="25"/>
      <c r="G967" s="26"/>
      <c r="H967" s="4"/>
    </row>
    <row r="968">
      <c r="D968" s="25"/>
      <c r="E968" s="25"/>
      <c r="F968" s="25"/>
      <c r="G968" s="26"/>
      <c r="H968" s="4"/>
    </row>
    <row r="969">
      <c r="D969" s="25"/>
      <c r="E969" s="25"/>
      <c r="F969" s="25"/>
      <c r="G969" s="26"/>
      <c r="H969" s="4"/>
    </row>
    <row r="970">
      <c r="D970" s="25"/>
      <c r="E970" s="25"/>
      <c r="F970" s="25"/>
      <c r="G970" s="26"/>
      <c r="H970" s="4"/>
    </row>
    <row r="971">
      <c r="D971" s="25"/>
      <c r="E971" s="25"/>
      <c r="F971" s="25"/>
      <c r="G971" s="26"/>
      <c r="H971" s="4"/>
    </row>
    <row r="972">
      <c r="D972" s="25"/>
      <c r="E972" s="25"/>
      <c r="F972" s="25"/>
      <c r="G972" s="26"/>
      <c r="H972" s="4"/>
    </row>
    <row r="973">
      <c r="D973" s="25"/>
      <c r="E973" s="25"/>
      <c r="F973" s="25"/>
      <c r="G973" s="26"/>
      <c r="H973" s="4"/>
    </row>
    <row r="974">
      <c r="D974" s="25"/>
      <c r="E974" s="25"/>
      <c r="F974" s="25"/>
      <c r="G974" s="26"/>
      <c r="H974" s="4"/>
    </row>
    <row r="975">
      <c r="D975" s="25"/>
      <c r="E975" s="25"/>
      <c r="F975" s="25"/>
      <c r="G975" s="26"/>
      <c r="H975" s="4"/>
    </row>
    <row r="976">
      <c r="D976" s="25"/>
      <c r="E976" s="25"/>
      <c r="F976" s="25"/>
      <c r="G976" s="26"/>
      <c r="H976" s="4"/>
    </row>
    <row r="977">
      <c r="D977" s="25"/>
      <c r="E977" s="25"/>
      <c r="F977" s="25"/>
      <c r="G977" s="26"/>
      <c r="H977" s="4"/>
    </row>
    <row r="978">
      <c r="D978" s="25"/>
      <c r="E978" s="25"/>
      <c r="F978" s="25"/>
      <c r="G978" s="26"/>
      <c r="H978" s="4"/>
    </row>
    <row r="979">
      <c r="D979" s="25"/>
      <c r="E979" s="25"/>
      <c r="F979" s="25"/>
      <c r="G979" s="26"/>
      <c r="H979" s="4"/>
    </row>
    <row r="980">
      <c r="D980" s="25"/>
      <c r="E980" s="25"/>
      <c r="F980" s="25"/>
      <c r="G980" s="26"/>
      <c r="H980" s="4"/>
    </row>
    <row r="981">
      <c r="D981" s="25"/>
      <c r="E981" s="25"/>
      <c r="F981" s="25"/>
      <c r="G981" s="26"/>
      <c r="H981" s="4"/>
    </row>
    <row r="982">
      <c r="D982" s="25"/>
      <c r="E982" s="25"/>
      <c r="F982" s="25"/>
      <c r="G982" s="26"/>
      <c r="H982" s="4"/>
    </row>
    <row r="983">
      <c r="D983" s="25"/>
      <c r="E983" s="25"/>
      <c r="F983" s="25"/>
      <c r="G983" s="26"/>
      <c r="H983" s="4"/>
    </row>
    <row r="984">
      <c r="D984" s="25"/>
      <c r="E984" s="25"/>
      <c r="F984" s="25"/>
      <c r="G984" s="26"/>
      <c r="H984" s="4"/>
    </row>
    <row r="985">
      <c r="D985" s="25"/>
      <c r="E985" s="25"/>
      <c r="F985" s="25"/>
      <c r="G985" s="26"/>
      <c r="H985" s="4"/>
    </row>
    <row r="986">
      <c r="D986" s="25"/>
      <c r="E986" s="25"/>
      <c r="F986" s="25"/>
      <c r="G986" s="26"/>
      <c r="H986" s="4"/>
    </row>
    <row r="987">
      <c r="D987" s="25"/>
      <c r="E987" s="25"/>
      <c r="F987" s="25"/>
      <c r="G987" s="26"/>
      <c r="H987" s="4"/>
    </row>
    <row r="988">
      <c r="D988" s="25"/>
      <c r="E988" s="25"/>
      <c r="F988" s="25"/>
      <c r="G988" s="26"/>
      <c r="H988" s="4"/>
    </row>
    <row r="989">
      <c r="D989" s="25"/>
      <c r="E989" s="25"/>
      <c r="F989" s="25"/>
      <c r="G989" s="26"/>
      <c r="H989" s="4"/>
    </row>
    <row r="990">
      <c r="D990" s="25"/>
      <c r="E990" s="25"/>
      <c r="F990" s="25"/>
      <c r="G990" s="26"/>
      <c r="H990" s="4"/>
    </row>
    <row r="991">
      <c r="D991" s="25"/>
      <c r="E991" s="25"/>
      <c r="F991" s="25"/>
      <c r="G991" s="26"/>
      <c r="H991" s="4"/>
    </row>
    <row r="992">
      <c r="D992" s="25"/>
      <c r="E992" s="25"/>
      <c r="F992" s="25"/>
      <c r="G992" s="26"/>
      <c r="H992" s="4"/>
    </row>
    <row r="993">
      <c r="D993" s="25"/>
      <c r="E993" s="25"/>
      <c r="F993" s="25"/>
      <c r="G993" s="26"/>
      <c r="H993" s="4"/>
    </row>
    <row r="994">
      <c r="D994" s="25"/>
      <c r="E994" s="25"/>
      <c r="F994" s="25"/>
      <c r="G994" s="26"/>
      <c r="H994" s="4"/>
    </row>
    <row r="995">
      <c r="D995" s="25"/>
      <c r="E995" s="25"/>
      <c r="F995" s="25"/>
      <c r="G995" s="26"/>
      <c r="H995" s="4"/>
    </row>
    <row r="996">
      <c r="D996" s="25"/>
      <c r="E996" s="25"/>
      <c r="F996" s="25"/>
      <c r="G996" s="26"/>
      <c r="H996" s="4"/>
    </row>
    <row r="997">
      <c r="D997" s="25"/>
      <c r="E997" s="25"/>
      <c r="F997" s="25"/>
      <c r="G997" s="26"/>
      <c r="H997" s="4"/>
    </row>
    <row r="998">
      <c r="D998" s="25"/>
      <c r="E998" s="25"/>
      <c r="F998" s="25"/>
      <c r="G998" s="26"/>
      <c r="H998" s="4"/>
    </row>
    <row r="999">
      <c r="D999" s="25"/>
      <c r="E999" s="25"/>
      <c r="F999" s="25"/>
      <c r="G999" s="26"/>
      <c r="H999" s="4"/>
    </row>
    <row r="1000"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C78D8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1303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IFERROR(__xludf.DUMMYFUNCTION("IMPORTRANGE(""https://docs.google.com/spreadsheets/d/1uhHS5Yp6Ee7CSthAKZs9elHxkd-OC30dUcG37eAqY30/edit#gid=1120027332"",""Leaders!A3:G502"")"),"Jacques Alingue")</f>
        <v>Jacques Alingue</v>
      </c>
      <c r="B3" s="13" t="str">
        <f>IFERROR(__xludf.DUMMYFUNCTION("""COMPUTED_VALUE"""),"DIJ")</f>
        <v>DIJ</v>
      </c>
      <c r="C3" s="14">
        <f>IFERROR(__xludf.DUMMYFUNCTION("""COMPUTED_VALUE"""),834.0)</f>
        <v>834</v>
      </c>
      <c r="D3" s="15">
        <f>IFERROR(__xludf.DUMMYFUNCTION("""COMPUTED_VALUE"""),3.871562434262846)</f>
        <v>3.871562434</v>
      </c>
      <c r="E3" s="15">
        <f>IFERROR(__xludf.DUMMYFUNCTION("""COMPUTED_VALUE"""),4.629812979933718)</f>
        <v>4.62981298</v>
      </c>
      <c r="F3" s="15">
        <f>IFERROR(__xludf.DUMMYFUNCTION("""COMPUTED_VALUE"""),8.501375414196565)</f>
        <v>8.501375414</v>
      </c>
      <c r="G3" s="17">
        <f>IFERROR(__xludf.DUMMYFUNCTION("""COMPUTED_VALUE"""),2.6848964375685513)</f>
        <v>2.684896438</v>
      </c>
      <c r="H3" s="4"/>
      <c r="I3" s="5" t="s">
        <v>1307</v>
      </c>
      <c r="J3" s="5" t="s">
        <v>1308</v>
      </c>
      <c r="K3" s="24">
        <v>834.0</v>
      </c>
      <c r="L3" s="5">
        <v>3.91927</v>
      </c>
      <c r="M3" s="5">
        <v>4.76895</v>
      </c>
      <c r="N3" s="5">
        <v>8.68822</v>
      </c>
      <c r="O3" s="5">
        <v>2.72839</v>
      </c>
    </row>
    <row r="4">
      <c r="A4" s="18" t="str">
        <f>IFERROR(__xludf.DUMMYFUNCTION("""COMPUTED_VALUE"""),"Zack Wright")</f>
        <v>Zack Wright</v>
      </c>
      <c r="B4" s="19" t="str">
        <f>IFERROR(__xludf.DUMMYFUNCTION("""COMPUTED_VALUE"""),"STR")</f>
        <v>STR</v>
      </c>
      <c r="C4" s="20">
        <f>IFERROR(__xludf.DUMMYFUNCTION("""COMPUTED_VALUE"""),1024.0)</f>
        <v>1024</v>
      </c>
      <c r="D4" s="21">
        <f>IFERROR(__xludf.DUMMYFUNCTION("""COMPUTED_VALUE"""),2.4431898880696012)</f>
        <v>2.443189888</v>
      </c>
      <c r="E4" s="21">
        <f>IFERROR(__xludf.DUMMYFUNCTION("""COMPUTED_VALUE"""),3.931399701818931)</f>
        <v>3.931399702</v>
      </c>
      <c r="F4" s="21">
        <f>IFERROR(__xludf.DUMMYFUNCTION("""COMPUTED_VALUE"""),6.374589589888532)</f>
        <v>6.37458959</v>
      </c>
      <c r="G4" s="23">
        <f>IFERROR(__xludf.DUMMYFUNCTION("""COMPUTED_VALUE"""),2.685807821178424)</f>
        <v>2.685807821</v>
      </c>
      <c r="H4" s="4"/>
      <c r="I4" s="5" t="s">
        <v>1310</v>
      </c>
      <c r="J4" s="5" t="s">
        <v>1311</v>
      </c>
      <c r="K4" s="24">
        <v>846.0</v>
      </c>
      <c r="L4" s="5">
        <v>2.85514</v>
      </c>
      <c r="M4" s="5">
        <v>3.88745</v>
      </c>
      <c r="N4" s="5">
        <v>6.74259</v>
      </c>
      <c r="O4" s="5">
        <v>2.27346</v>
      </c>
    </row>
    <row r="5">
      <c r="A5" s="12" t="str">
        <f>IFERROR(__xludf.DUMMYFUNCTION("""COMPUTED_VALUE"""),"Taylor Smith")</f>
        <v>Taylor Smith</v>
      </c>
      <c r="B5" s="13" t="str">
        <f>IFERROR(__xludf.DUMMYFUNCTION("""COMPUTED_VALUE"""),"GRV")</f>
        <v>GRV</v>
      </c>
      <c r="C5" s="14">
        <f>IFERROR(__xludf.DUMMYFUNCTION("""COMPUTED_VALUE"""),863.0)</f>
        <v>863</v>
      </c>
      <c r="D5" s="15">
        <f>IFERROR(__xludf.DUMMYFUNCTION("""COMPUTED_VALUE"""),-0.13307518071768465)</f>
        <v>-0.1330751807</v>
      </c>
      <c r="E5" s="15">
        <f>IFERROR(__xludf.DUMMYFUNCTION("""COMPUTED_VALUE"""),6.404472047653403)</f>
        <v>6.404472048</v>
      </c>
      <c r="F5" s="15">
        <f>IFERROR(__xludf.DUMMYFUNCTION("""COMPUTED_VALUE"""),6.271396866935718)</f>
        <v>6.271396867</v>
      </c>
      <c r="G5" s="17">
        <f>IFERROR(__xludf.DUMMYFUNCTION("""COMPUTED_VALUE"""),2.2800264140865236)</f>
        <v>2.280026414</v>
      </c>
      <c r="H5" s="4"/>
      <c r="I5" s="5" t="s">
        <v>1313</v>
      </c>
      <c r="J5" s="5" t="s">
        <v>1314</v>
      </c>
      <c r="K5" s="5">
        <v>863.0</v>
      </c>
      <c r="L5" s="5">
        <v>-0.15904</v>
      </c>
      <c r="M5" s="5">
        <v>6.45149</v>
      </c>
      <c r="N5" s="5">
        <v>6.29245</v>
      </c>
      <c r="O5" s="5">
        <v>2.28583</v>
      </c>
    </row>
    <row r="6">
      <c r="A6" s="18" t="str">
        <f>IFERROR(__xludf.DUMMYFUNCTION("""COMPUTED_VALUE"""),"Dee Bost")</f>
        <v>Dee Bost</v>
      </c>
      <c r="B6" s="19" t="str">
        <f>IFERROR(__xludf.DUMMYFUNCTION("""COMPUTED_VALUE"""),"STR")</f>
        <v>STR</v>
      </c>
      <c r="C6" s="20">
        <f>IFERROR(__xludf.DUMMYFUNCTION("""COMPUTED_VALUE"""),729.0)</f>
        <v>729</v>
      </c>
      <c r="D6" s="21">
        <f>IFERROR(__xludf.DUMMYFUNCTION("""COMPUTED_VALUE"""),4.4717446950060085)</f>
        <v>4.471744695</v>
      </c>
      <c r="E6" s="21">
        <f>IFERROR(__xludf.DUMMYFUNCTION("""COMPUTED_VALUE"""),0.9930823673990359)</f>
        <v>0.9930823674</v>
      </c>
      <c r="F6" s="21">
        <f>IFERROR(__xludf.DUMMYFUNCTION("""COMPUTED_VALUE"""),5.464827062405044)</f>
        <v>5.464827062</v>
      </c>
      <c r="G6" s="23">
        <f>IFERROR(__xludf.DUMMYFUNCTION("""COMPUTED_VALUE"""),1.7043497600103625)</f>
        <v>1.70434976</v>
      </c>
      <c r="H6" s="4"/>
      <c r="I6" s="5" t="s">
        <v>1316</v>
      </c>
      <c r="J6" s="5" t="s">
        <v>1317</v>
      </c>
      <c r="K6" s="5">
        <v>835.0</v>
      </c>
      <c r="L6" s="5">
        <v>5.68626</v>
      </c>
      <c r="M6" s="5">
        <v>0.09419</v>
      </c>
      <c r="N6" s="5">
        <v>5.78044</v>
      </c>
      <c r="O6" s="5">
        <v>2.12163</v>
      </c>
    </row>
    <row r="7">
      <c r="A7" s="12" t="str">
        <f>IFERROR(__xludf.DUMMYFUNCTION("""COMPUTED_VALUE"""),"Chris Johnson")</f>
        <v>Chris Johnson</v>
      </c>
      <c r="B7" s="13" t="str">
        <f>IFERROR(__xludf.DUMMYFUNCTION("""COMPUTED_VALUE"""),"GRV")</f>
        <v>GRV</v>
      </c>
      <c r="C7" s="14">
        <f>IFERROR(__xludf.DUMMYFUNCTION("""COMPUTED_VALUE"""),750.0)</f>
        <v>750</v>
      </c>
      <c r="D7" s="15">
        <f>IFERROR(__xludf.DUMMYFUNCTION("""COMPUTED_VALUE"""),4.216288275763285)</f>
        <v>4.216288276</v>
      </c>
      <c r="E7" s="15">
        <f>IFERROR(__xludf.DUMMYFUNCTION("""COMPUTED_VALUE"""),1.2432875970126949)</f>
        <v>1.243287597</v>
      </c>
      <c r="F7" s="15">
        <f>IFERROR(__xludf.DUMMYFUNCTION("""COMPUTED_VALUE"""),5.4595758727759796)</f>
        <v>5.459575873</v>
      </c>
      <c r="G7" s="17">
        <f>IFERROR(__xludf.DUMMYFUNCTION("""COMPUTED_VALUE"""),1.7870044029507162)</f>
        <v>1.787004403</v>
      </c>
      <c r="H7" s="4"/>
      <c r="I7" s="5" t="s">
        <v>1108</v>
      </c>
      <c r="J7" s="5" t="s">
        <v>1314</v>
      </c>
      <c r="K7" s="24">
        <v>750.0</v>
      </c>
      <c r="L7" s="5">
        <v>4.18775</v>
      </c>
      <c r="M7" s="5">
        <v>1.29076</v>
      </c>
      <c r="N7" s="5">
        <v>5.47851</v>
      </c>
      <c r="O7" s="5">
        <v>1.79154</v>
      </c>
    </row>
    <row r="8">
      <c r="A8" s="18" t="str">
        <f>IFERROR(__xludf.DUMMYFUNCTION("""COMPUTED_VALUE"""),"Miro Bilan")</f>
        <v>Miro Bilan</v>
      </c>
      <c r="B8" s="19" t="str">
        <f>IFERROR(__xludf.DUMMYFUNCTION("""COMPUTED_VALUE"""),"STR")</f>
        <v>STR</v>
      </c>
      <c r="C8" s="20">
        <f>IFERROR(__xludf.DUMMYFUNCTION("""COMPUTED_VALUE"""),810.0)</f>
        <v>810</v>
      </c>
      <c r="D8" s="21">
        <f>IFERROR(__xludf.DUMMYFUNCTION("""COMPUTED_VALUE"""),3.542646034092429)</f>
        <v>3.542646034</v>
      </c>
      <c r="E8" s="21">
        <f>IFERROR(__xludf.DUMMYFUNCTION("""COMPUTED_VALUE"""),1.6688103491081874)</f>
        <v>1.668810349</v>
      </c>
      <c r="F8" s="21">
        <f>IFERROR(__xludf.DUMMYFUNCTION("""COMPUTED_VALUE"""),5.211456383200616)</f>
        <v>5.211456383</v>
      </c>
      <c r="G8" s="23">
        <f>IFERROR(__xludf.DUMMYFUNCTION("""COMPUTED_VALUE"""),1.829445366960906)</f>
        <v>1.829445367</v>
      </c>
      <c r="H8" s="4"/>
      <c r="I8" s="5" t="s">
        <v>1320</v>
      </c>
      <c r="J8" s="5" t="s">
        <v>1311</v>
      </c>
      <c r="K8" s="5">
        <v>841.0</v>
      </c>
      <c r="L8" s="5">
        <v>3.6495</v>
      </c>
      <c r="M8" s="5">
        <v>1.73463</v>
      </c>
      <c r="N8" s="5">
        <v>5.38413</v>
      </c>
      <c r="O8" s="5">
        <v>1.90885</v>
      </c>
    </row>
    <row r="9">
      <c r="A9" s="12" t="str">
        <f>IFERROR(__xludf.DUMMYFUNCTION("""COMPUTED_VALUE"""),"Louis Labeyrie")</f>
        <v>Louis Labeyrie</v>
      </c>
      <c r="B9" s="13" t="str">
        <f>IFERROR(__xludf.DUMMYFUNCTION("""COMPUTED_VALUE"""),"STR")</f>
        <v>STR</v>
      </c>
      <c r="C9" s="14">
        <f>IFERROR(__xludf.DUMMYFUNCTION("""COMPUTED_VALUE"""),841.0)</f>
        <v>841</v>
      </c>
      <c r="D9" s="15">
        <f>IFERROR(__xludf.DUMMYFUNCTION("""COMPUTED_VALUE"""),3.5801916647889227)</f>
        <v>3.580191665</v>
      </c>
      <c r="E9" s="15">
        <f>IFERROR(__xludf.DUMMYFUNCTION("""COMPUTED_VALUE"""),1.4707153302824691)</f>
        <v>1.47071533</v>
      </c>
      <c r="F9" s="15">
        <f>IFERROR(__xludf.DUMMYFUNCTION("""COMPUTED_VALUE"""),5.050906995071392)</f>
        <v>5.050906995</v>
      </c>
      <c r="G9" s="17">
        <f>IFERROR(__xludf.DUMMYFUNCTION("""COMPUTED_VALUE"""),1.8571732796027505)</f>
        <v>1.85717328</v>
      </c>
      <c r="H9" s="4"/>
      <c r="I9" s="5" t="s">
        <v>1322</v>
      </c>
      <c r="J9" s="5" t="s">
        <v>1311</v>
      </c>
      <c r="K9" s="5">
        <v>655.0</v>
      </c>
      <c r="L9" s="5">
        <v>3.28989</v>
      </c>
      <c r="M9" s="5">
        <v>1.96525</v>
      </c>
      <c r="N9" s="5">
        <v>5.25514</v>
      </c>
      <c r="O9" s="5">
        <v>1.46071</v>
      </c>
    </row>
    <row r="10">
      <c r="A10" s="18" t="str">
        <f>IFERROR(__xludf.DUMMYFUNCTION("""COMPUTED_VALUE"""),"Chris Lofton")</f>
        <v>Chris Lofton</v>
      </c>
      <c r="B10" s="19" t="str">
        <f>IFERROR(__xludf.DUMMYFUNCTION("""COMPUTED_VALUE"""),"LEM")</f>
        <v>LEM</v>
      </c>
      <c r="C10" s="20">
        <f>IFERROR(__xludf.DUMMYFUNCTION("""COMPUTED_VALUE"""),733.0)</f>
        <v>733</v>
      </c>
      <c r="D10" s="21">
        <f>IFERROR(__xludf.DUMMYFUNCTION("""COMPUTED_VALUE"""),4.466247518740046)</f>
        <v>4.466247519</v>
      </c>
      <c r="E10" s="21">
        <f>IFERROR(__xludf.DUMMYFUNCTION("""COMPUTED_VALUE"""),0.21250824727771445)</f>
        <v>0.2125082473</v>
      </c>
      <c r="F10" s="21">
        <f>IFERROR(__xludf.DUMMYFUNCTION("""COMPUTED_VALUE"""),4.67875576601776)</f>
        <v>4.678755766</v>
      </c>
      <c r="G10" s="23">
        <f>IFERROR(__xludf.DUMMYFUNCTION("""COMPUTED_VALUE"""),1.480724724210553)</f>
        <v>1.480724724</v>
      </c>
      <c r="H10" s="4"/>
      <c r="I10" s="5" t="s">
        <v>1324</v>
      </c>
      <c r="J10" s="5" t="s">
        <v>1317</v>
      </c>
      <c r="K10" s="24">
        <v>759.0</v>
      </c>
      <c r="L10" s="5">
        <v>0.441</v>
      </c>
      <c r="M10" s="5">
        <v>4.33604</v>
      </c>
      <c r="N10" s="5">
        <v>4.77704</v>
      </c>
      <c r="O10" s="5">
        <v>1.67981</v>
      </c>
    </row>
    <row r="11">
      <c r="A11" s="12" t="str">
        <f>IFERROR(__xludf.DUMMYFUNCTION("""COMPUTED_VALUE"""),"Alpha Kaba")</f>
        <v>Alpha Kaba</v>
      </c>
      <c r="B11" s="13" t="str">
        <f>IFERROR(__xludf.DUMMYFUNCTION("""COMPUTED_VALUE"""),"LYV")</f>
        <v>LYV</v>
      </c>
      <c r="C11" s="14">
        <f>IFERROR(__xludf.DUMMYFUNCTION("""COMPUTED_VALUE"""),417.0)</f>
        <v>417</v>
      </c>
      <c r="D11" s="15">
        <f>IFERROR(__xludf.DUMMYFUNCTION("""COMPUTED_VALUE"""),0.5706776617864662)</f>
        <v>0.5706776618</v>
      </c>
      <c r="E11" s="15">
        <f>IFERROR(__xludf.DUMMYFUNCTION("""COMPUTED_VALUE"""),3.9816500118048923)</f>
        <v>3.981650012</v>
      </c>
      <c r="F11" s="15">
        <f>IFERROR(__xludf.DUMMYFUNCTION("""COMPUTED_VALUE"""),4.552327673591359)</f>
        <v>4.552327674</v>
      </c>
      <c r="G11" s="17">
        <f>IFERROR(__xludf.DUMMYFUNCTION("""COMPUTED_VALUE"""),0.8274338163025133)</f>
        <v>0.8274338163</v>
      </c>
      <c r="H11" s="4"/>
      <c r="I11" s="5" t="s">
        <v>1326</v>
      </c>
      <c r="J11" s="5" t="s">
        <v>1327</v>
      </c>
      <c r="K11" s="5">
        <v>710.0</v>
      </c>
      <c r="L11" s="5">
        <v>3.44595</v>
      </c>
      <c r="M11" s="5">
        <v>1.21524</v>
      </c>
      <c r="N11" s="5">
        <v>4.66119</v>
      </c>
      <c r="O11" s="5">
        <v>1.50894</v>
      </c>
    </row>
    <row r="12">
      <c r="A12" s="18" t="str">
        <f>IFERROR(__xludf.DUMMYFUNCTION("""COMPUTED_VALUE"""),"William Howard")</f>
        <v>William Howard</v>
      </c>
      <c r="B12" s="19" t="str">
        <f>IFERROR(__xludf.DUMMYFUNCTION("""COMPUTED_VALUE"""),"CSP")</f>
        <v>CSP</v>
      </c>
      <c r="C12" s="20">
        <f>IFERROR(__xludf.DUMMYFUNCTION("""COMPUTED_VALUE"""),843.0)</f>
        <v>843</v>
      </c>
      <c r="D12" s="21">
        <f>IFERROR(__xludf.DUMMYFUNCTION("""COMPUTED_VALUE"""),3.3585899445805896)</f>
        <v>3.358589945</v>
      </c>
      <c r="E12" s="21">
        <f>IFERROR(__xludf.DUMMYFUNCTION("""COMPUTED_VALUE"""),1.1030202518771426)</f>
        <v>1.103020252</v>
      </c>
      <c r="F12" s="21">
        <f>IFERROR(__xludf.DUMMYFUNCTION("""COMPUTED_VALUE"""),4.461610196457732)</f>
        <v>4.461610196</v>
      </c>
      <c r="G12" s="23">
        <f>IFERROR(__xludf.DUMMYFUNCTION("""COMPUTED_VALUE"""),1.740446841542133)</f>
        <v>1.740446842</v>
      </c>
      <c r="H12" s="4"/>
      <c r="I12" s="5" t="s">
        <v>1329</v>
      </c>
      <c r="J12" s="5" t="s">
        <v>1317</v>
      </c>
      <c r="K12" s="24">
        <v>782.0</v>
      </c>
      <c r="L12" s="5">
        <v>1.39979</v>
      </c>
      <c r="M12" s="5">
        <v>3.17935</v>
      </c>
      <c r="N12" s="5">
        <v>4.57915</v>
      </c>
      <c r="O12" s="5">
        <v>1.68018</v>
      </c>
    </row>
    <row r="13">
      <c r="A13" s="12" t="str">
        <f>IFERROR(__xludf.DUMMYFUNCTION("""COMPUTED_VALUE"""),"Paul Lacombe")</f>
        <v>Paul Lacombe</v>
      </c>
      <c r="B13" s="13" t="str">
        <f>IFERROR(__xludf.DUMMYFUNCTION("""COMPUTED_VALUE"""),"ASM")</f>
        <v>ASM</v>
      </c>
      <c r="C13" s="14">
        <f>IFERROR(__xludf.DUMMYFUNCTION("""COMPUTED_VALUE"""),993.0)</f>
        <v>993</v>
      </c>
      <c r="D13" s="15">
        <f>IFERROR(__xludf.DUMMYFUNCTION("""COMPUTED_VALUE"""),0.6882916528609235)</f>
        <v>0.6882916529</v>
      </c>
      <c r="E13" s="15">
        <f>IFERROR(__xludf.DUMMYFUNCTION("""COMPUTED_VALUE"""),3.7369165733945775)</f>
        <v>3.736916573</v>
      </c>
      <c r="F13" s="15">
        <f>IFERROR(__xludf.DUMMYFUNCTION("""COMPUTED_VALUE"""),4.425208226255501)</f>
        <v>4.425208226</v>
      </c>
      <c r="G13" s="17">
        <f>IFERROR(__xludf.DUMMYFUNCTION("""COMPUTED_VALUE"""),2.0914800205004735)</f>
        <v>2.091480021</v>
      </c>
      <c r="H13" s="4"/>
      <c r="I13" s="5" t="s">
        <v>1331</v>
      </c>
      <c r="J13" s="5" t="s">
        <v>1332</v>
      </c>
      <c r="K13" s="24">
        <v>438.0</v>
      </c>
      <c r="L13" s="5">
        <v>5.64903</v>
      </c>
      <c r="M13" s="5">
        <v>-1.22506</v>
      </c>
      <c r="N13" s="5">
        <v>4.42398</v>
      </c>
      <c r="O13" s="5">
        <v>0.87383</v>
      </c>
    </row>
    <row r="14">
      <c r="A14" s="18" t="str">
        <f>IFERROR(__xludf.DUMMYFUNCTION("""COMPUTED_VALUE"""),"Nate Wolters")</f>
        <v>Nate Wolters</v>
      </c>
      <c r="B14" s="19" t="str">
        <f>IFERROR(__xludf.DUMMYFUNCTION("""COMPUTED_VALUE"""),"CHA")</f>
        <v>CHA</v>
      </c>
      <c r="C14" s="20">
        <f>IFERROR(__xludf.DUMMYFUNCTION("""COMPUTED_VALUE"""),438.0)</f>
        <v>438</v>
      </c>
      <c r="D14" s="21">
        <f>IFERROR(__xludf.DUMMYFUNCTION("""COMPUTED_VALUE"""),5.695629151915376)</f>
        <v>5.695629152</v>
      </c>
      <c r="E14" s="21">
        <f>IFERROR(__xludf.DUMMYFUNCTION("""COMPUTED_VALUE"""),-1.270583086090415)</f>
        <v>-1.270583086</v>
      </c>
      <c r="F14" s="21">
        <f>IFERROR(__xludf.DUMMYFUNCTION("""COMPUTED_VALUE"""),4.425046065824961)</f>
        <v>4.425046066</v>
      </c>
      <c r="G14" s="23">
        <f>IFERROR(__xludf.DUMMYFUNCTION("""COMPUTED_VALUE"""),0.8739802628492732)</f>
        <v>0.8739802628</v>
      </c>
      <c r="H14" s="4"/>
      <c r="I14" s="5" t="s">
        <v>346</v>
      </c>
      <c r="J14" s="5" t="s">
        <v>1311</v>
      </c>
      <c r="K14" s="5">
        <v>550.0</v>
      </c>
      <c r="L14" s="5">
        <v>3.57442</v>
      </c>
      <c r="M14" s="5">
        <v>0.70241</v>
      </c>
      <c r="N14" s="5">
        <v>4.27683</v>
      </c>
      <c r="O14" s="5">
        <v>1.06116</v>
      </c>
    </row>
    <row r="15">
      <c r="A15" s="12" t="str">
        <f>IFERROR(__xludf.DUMMYFUNCTION("""COMPUTED_VALUE"""),"Aaron Craft")</f>
        <v>Aaron Craft</v>
      </c>
      <c r="B15" s="13" t="str">
        <f>IFERROR(__xludf.DUMMYFUNCTION("""COMPUTED_VALUE"""),"ASM")</f>
        <v>ASM</v>
      </c>
      <c r="C15" s="14">
        <f>IFERROR(__xludf.DUMMYFUNCTION("""COMPUTED_VALUE"""),999.0)</f>
        <v>999</v>
      </c>
      <c r="D15" s="15">
        <f>IFERROR(__xludf.DUMMYFUNCTION("""COMPUTED_VALUE"""),1.3223076690624012)</f>
        <v>1.322307669</v>
      </c>
      <c r="E15" s="15">
        <f>IFERROR(__xludf.DUMMYFUNCTION("""COMPUTED_VALUE"""),3.0622263603237148)</f>
        <v>3.06222636</v>
      </c>
      <c r="F15" s="15">
        <f>IFERROR(__xludf.DUMMYFUNCTION("""COMPUTED_VALUE"""),4.384534029386116)</f>
        <v>4.384534029</v>
      </c>
      <c r="G15" s="17">
        <f>IFERROR(__xludf.DUMMYFUNCTION("""COMPUTED_VALUE"""),2.0907974382380403)</f>
        <v>2.090797438</v>
      </c>
      <c r="H15" s="4"/>
      <c r="I15" s="5" t="s">
        <v>1334</v>
      </c>
      <c r="J15" s="5" t="s">
        <v>1335</v>
      </c>
      <c r="K15" s="5">
        <v>407.0</v>
      </c>
      <c r="L15" s="5">
        <v>3.88333</v>
      </c>
      <c r="M15" s="5">
        <v>0.29911</v>
      </c>
      <c r="N15" s="5">
        <v>4.18244</v>
      </c>
      <c r="O15" s="5">
        <v>0.76236</v>
      </c>
    </row>
    <row r="16">
      <c r="A16" s="18" t="str">
        <f>IFERROR(__xludf.DUMMYFUNCTION("""COMPUTED_VALUE"""),"Yannis Morin")</f>
        <v>Yannis Morin</v>
      </c>
      <c r="B16" s="19" t="str">
        <f>IFERROR(__xludf.DUMMYFUNCTION("""COMPUTED_VALUE"""),"LEM")</f>
        <v>LEM</v>
      </c>
      <c r="C16" s="20">
        <f>IFERROR(__xludf.DUMMYFUNCTION("""COMPUTED_VALUE"""),201.0)</f>
        <v>201</v>
      </c>
      <c r="D16" s="21">
        <f>IFERROR(__xludf.DUMMYFUNCTION("""COMPUTED_VALUE"""),-0.030550342613331147)</f>
        <v>-0.03055034261</v>
      </c>
      <c r="E16" s="21">
        <f>IFERROR(__xludf.DUMMYFUNCTION("""COMPUTED_VALUE"""),4.238907152646172)</f>
        <v>4.238907153</v>
      </c>
      <c r="F16" s="21">
        <f>IFERROR(__xludf.DUMMYFUNCTION("""COMPUTED_VALUE"""),4.208356810032841)</f>
        <v>4.20835681</v>
      </c>
      <c r="G16" s="23">
        <f>IFERROR(__xludf.DUMMYFUNCTION("""COMPUTED_VALUE"""),0.37743964723843393)</f>
        <v>0.3774396472</v>
      </c>
      <c r="H16" s="4"/>
      <c r="I16" s="5" t="s">
        <v>1337</v>
      </c>
      <c r="J16" s="5" t="s">
        <v>1338</v>
      </c>
      <c r="K16" s="24">
        <v>990.0</v>
      </c>
      <c r="L16" s="5">
        <v>4.59067</v>
      </c>
      <c r="M16" s="5">
        <v>-0.45663</v>
      </c>
      <c r="N16" s="5">
        <v>4.13405</v>
      </c>
      <c r="O16" s="5">
        <v>1.85402</v>
      </c>
    </row>
    <row r="17">
      <c r="A17" s="12" t="str">
        <f>IFERROR(__xludf.DUMMYFUNCTION("""COMPUTED_VALUE"""),"Zachery Peacock")</f>
        <v>Zachery Peacock</v>
      </c>
      <c r="B17" s="13" t="str">
        <f>IFERROR(__xludf.DUMMYFUNCTION("""COMPUTED_VALUE"""),"JLB")</f>
        <v>JLB</v>
      </c>
      <c r="C17" s="14">
        <f>IFERROR(__xludf.DUMMYFUNCTION("""COMPUTED_VALUE"""),990.0)</f>
        <v>990</v>
      </c>
      <c r="D17" s="15">
        <f>IFERROR(__xludf.DUMMYFUNCTION("""COMPUTED_VALUE"""),4.637928938269622)</f>
        <v>4.637928938</v>
      </c>
      <c r="E17" s="15">
        <f>IFERROR(__xludf.DUMMYFUNCTION("""COMPUTED_VALUE"""),-0.5022457132608205)</f>
        <v>-0.5022457133</v>
      </c>
      <c r="F17" s="15">
        <f>IFERROR(__xludf.DUMMYFUNCTION("""COMPUTED_VALUE"""),4.135683225008801)</f>
        <v>4.135683225</v>
      </c>
      <c r="G17" s="17">
        <f>IFERROR(__xludf.DUMMYFUNCTION("""COMPUTED_VALUE"""),1.8545196513223838)</f>
        <v>1.854519651</v>
      </c>
      <c r="H17" s="4"/>
      <c r="I17" s="5" t="s">
        <v>1339</v>
      </c>
      <c r="J17" s="5" t="s">
        <v>1317</v>
      </c>
      <c r="K17" s="5">
        <v>789.0</v>
      </c>
      <c r="L17" s="5">
        <v>2.55032</v>
      </c>
      <c r="M17" s="5">
        <v>1.40845</v>
      </c>
      <c r="N17" s="5">
        <v>3.95878</v>
      </c>
      <c r="O17" s="5">
        <v>1.53537</v>
      </c>
    </row>
    <row r="18">
      <c r="A18" s="18" t="str">
        <f>IFERROR(__xludf.DUMMYFUNCTION("""COMPUTED_VALUE"""),"Amara Sy")</f>
        <v>Amara Sy</v>
      </c>
      <c r="B18" s="19" t="str">
        <f>IFERROR(__xludf.DUMMYFUNCTION("""COMPUTED_VALUE"""),"ASM")</f>
        <v>ASM</v>
      </c>
      <c r="C18" s="20">
        <f>IFERROR(__xludf.DUMMYFUNCTION("""COMPUTED_VALUE"""),671.0)</f>
        <v>671</v>
      </c>
      <c r="D18" s="21">
        <f>IFERROR(__xludf.DUMMYFUNCTION("""COMPUTED_VALUE"""),1.8699997865686666)</f>
        <v>1.869999787</v>
      </c>
      <c r="E18" s="21">
        <f>IFERROR(__xludf.DUMMYFUNCTION("""COMPUTED_VALUE"""),2.217794529991179)</f>
        <v>2.21779453</v>
      </c>
      <c r="F18" s="21">
        <f>IFERROR(__xludf.DUMMYFUNCTION("""COMPUTED_VALUE"""),4.087794316559846)</f>
        <v>4.087794317</v>
      </c>
      <c r="G18" s="23">
        <f>IFERROR(__xludf.DUMMYFUNCTION("""COMPUTED_VALUE"""),1.3390591332548873)</f>
        <v>1.339059133</v>
      </c>
      <c r="H18" s="4"/>
      <c r="I18" s="5" t="s">
        <v>1341</v>
      </c>
      <c r="J18" s="5" t="s">
        <v>1342</v>
      </c>
      <c r="K18" s="24">
        <v>394.0</v>
      </c>
      <c r="L18" s="5">
        <v>0.20174</v>
      </c>
      <c r="M18" s="5">
        <v>3.72444</v>
      </c>
      <c r="N18" s="5">
        <v>3.92619</v>
      </c>
      <c r="O18" s="5">
        <v>0.70682</v>
      </c>
    </row>
    <row r="19">
      <c r="A19" s="12" t="str">
        <f>IFERROR(__xludf.DUMMYFUNCTION("""COMPUTED_VALUE"""),"Gerald Robinson")</f>
        <v>Gerald Robinson</v>
      </c>
      <c r="B19" s="13" t="str">
        <f>IFERROR(__xludf.DUMMYFUNCTION("""COMPUTED_VALUE"""),"ASM")</f>
        <v>ASM</v>
      </c>
      <c r="C19" s="14">
        <f>IFERROR(__xludf.DUMMYFUNCTION("""COMPUTED_VALUE"""),1001.0)</f>
        <v>1001</v>
      </c>
      <c r="D19" s="15">
        <f>IFERROR(__xludf.DUMMYFUNCTION("""COMPUTED_VALUE"""),4.149497909139395)</f>
        <v>4.149497909</v>
      </c>
      <c r="E19" s="15">
        <f>IFERROR(__xludf.DUMMYFUNCTION("""COMPUTED_VALUE"""),-0.13648252242380643)</f>
        <v>-0.1364825224</v>
      </c>
      <c r="F19" s="15">
        <f>IFERROR(__xludf.DUMMYFUNCTION("""COMPUTED_VALUE"""),4.013015386715589)</f>
        <v>4.013015387</v>
      </c>
      <c r="G19" s="17">
        <f>IFERROR(__xludf.DUMMYFUNCTION("""COMPUTED_VALUE"""),1.9730752897778618)</f>
        <v>1.97307529</v>
      </c>
      <c r="H19" s="4"/>
      <c r="I19" s="5" t="s">
        <v>1344</v>
      </c>
      <c r="J19" s="5" t="s">
        <v>1335</v>
      </c>
      <c r="K19" s="5">
        <v>614.0</v>
      </c>
      <c r="L19" s="5">
        <v>-0.70281</v>
      </c>
      <c r="M19" s="5">
        <v>4.37545</v>
      </c>
      <c r="N19" s="5">
        <v>3.67263</v>
      </c>
      <c r="O19" s="5">
        <v>1.05526</v>
      </c>
    </row>
    <row r="20">
      <c r="A20" s="18" t="str">
        <f>IFERROR(__xludf.DUMMYFUNCTION("""COMPUTED_VALUE"""),"Terry Tarpey")</f>
        <v>Terry Tarpey</v>
      </c>
      <c r="B20" s="19" t="str">
        <f>IFERROR(__xludf.DUMMYFUNCTION("""COMPUTED_VALUE"""),"LEM")</f>
        <v>LEM</v>
      </c>
      <c r="C20" s="20">
        <f>IFERROR(__xludf.DUMMYFUNCTION("""COMPUTED_VALUE"""),614.0)</f>
        <v>614</v>
      </c>
      <c r="D20" s="21">
        <f>IFERROR(__xludf.DUMMYFUNCTION("""COMPUTED_VALUE"""),-0.6370300466361756)</f>
        <v>-0.6370300466</v>
      </c>
      <c r="E20" s="21">
        <f>IFERROR(__xludf.DUMMYFUNCTION("""COMPUTED_VALUE"""),4.121606529595436)</f>
        <v>4.12160653</v>
      </c>
      <c r="F20" s="21">
        <f>IFERROR(__xludf.DUMMYFUNCTION("""COMPUTED_VALUE"""),3.48457648295926)</f>
        <v>3.484576483</v>
      </c>
      <c r="G20" s="23">
        <f>IFERROR(__xludf.DUMMYFUNCTION("""COMPUTED_VALUE"""),1.0185591617558292)</f>
        <v>1.018559162</v>
      </c>
      <c r="H20" s="4"/>
      <c r="I20" s="5" t="s">
        <v>1345</v>
      </c>
      <c r="J20" s="5" t="s">
        <v>1317</v>
      </c>
      <c r="K20" s="5">
        <v>443.0</v>
      </c>
      <c r="L20" s="5">
        <v>2.16257</v>
      </c>
      <c r="M20" s="5">
        <v>1.32653</v>
      </c>
      <c r="N20" s="5">
        <v>3.4891</v>
      </c>
      <c r="O20" s="5">
        <v>0.79412</v>
      </c>
    </row>
    <row r="21">
      <c r="A21" s="12" t="str">
        <f>IFERROR(__xludf.DUMMYFUNCTION("""COMPUTED_VALUE"""),"Frank Hassell")</f>
        <v>Frank Hassell</v>
      </c>
      <c r="B21" s="13" t="str">
        <f>IFERROR(__xludf.DUMMYFUNCTION("""COMPUTED_VALUE"""),"PORT")</f>
        <v>PORT</v>
      </c>
      <c r="C21" s="14">
        <f>IFERROR(__xludf.DUMMYFUNCTION("""COMPUTED_VALUE"""),855.0)</f>
        <v>855</v>
      </c>
      <c r="D21" s="15">
        <f>IFERROR(__xludf.DUMMYFUNCTION("""COMPUTED_VALUE"""),2.1157849639213557)</f>
        <v>2.115784964</v>
      </c>
      <c r="E21" s="15">
        <f>IFERROR(__xludf.DUMMYFUNCTION("""COMPUTED_VALUE"""),1.357393350999458)</f>
        <v>1.357393351</v>
      </c>
      <c r="F21" s="15">
        <f>IFERROR(__xludf.DUMMYFUNCTION("""COMPUTED_VALUE"""),3.4731783149208137)</f>
        <v>3.473178315</v>
      </c>
      <c r="G21" s="17">
        <f>IFERROR(__xludf.DUMMYFUNCTION("""COMPUTED_VALUE"""),1.4173180852567127)</f>
        <v>1.417318085</v>
      </c>
      <c r="H21" s="4"/>
      <c r="I21" s="5" t="s">
        <v>1347</v>
      </c>
      <c r="J21" s="5" t="s">
        <v>1348</v>
      </c>
      <c r="K21" s="5">
        <v>855.0</v>
      </c>
      <c r="L21" s="5">
        <v>2.06684</v>
      </c>
      <c r="M21" s="5">
        <v>1.40323</v>
      </c>
      <c r="N21" s="5">
        <v>3.47007</v>
      </c>
      <c r="O21" s="5">
        <v>1.41651</v>
      </c>
    </row>
    <row r="22">
      <c r="A22" s="18" t="str">
        <f>IFERROR(__xludf.DUMMYFUNCTION("""COMPUTED_VALUE"""),"Mickael Gelabale")</f>
        <v>Mickael Gelabale</v>
      </c>
      <c r="B22" s="19" t="str">
        <f>IFERROR(__xludf.DUMMYFUNCTION("""COMPUTED_VALUE"""),"CHA")</f>
        <v>CHA</v>
      </c>
      <c r="C22" s="20">
        <f>IFERROR(__xludf.DUMMYFUNCTION("""COMPUTED_VALUE"""),732.0)</f>
        <v>732</v>
      </c>
      <c r="D22" s="21">
        <f>IFERROR(__xludf.DUMMYFUNCTION("""COMPUTED_VALUE"""),3.4248873910544484)</f>
        <v>3.424887391</v>
      </c>
      <c r="E22" s="21">
        <f>IFERROR(__xludf.DUMMYFUNCTION("""COMPUTED_VALUE"""),-0.04996849462448072)</f>
        <v>-0.04996849462</v>
      </c>
      <c r="F22" s="21">
        <f>IFERROR(__xludf.DUMMYFUNCTION("""COMPUTED_VALUE"""),3.3749188964299677)</f>
        <v>3.374918896</v>
      </c>
      <c r="G22" s="23">
        <f>IFERROR(__xludf.DUMMYFUNCTION("""COMPUTED_VALUE"""),1.2218960623608082)</f>
        <v>1.221896062</v>
      </c>
      <c r="H22" s="4"/>
      <c r="I22" s="5" t="s">
        <v>1349</v>
      </c>
      <c r="J22" s="5" t="s">
        <v>1332</v>
      </c>
      <c r="K22" s="5">
        <v>732.0</v>
      </c>
      <c r="L22" s="5">
        <v>3.38263</v>
      </c>
      <c r="M22" s="5">
        <v>-0.00521</v>
      </c>
      <c r="N22" s="5">
        <v>3.37742</v>
      </c>
      <c r="O22" s="5">
        <v>1.22246</v>
      </c>
    </row>
    <row r="23">
      <c r="A23" s="12" t="str">
        <f>IFERROR(__xludf.DUMMYFUNCTION("""COMPUTED_VALUE"""),"Chris Evans")</f>
        <v>Chris Evans</v>
      </c>
      <c r="B23" s="13" t="str">
        <f>IFERROR(__xludf.DUMMYFUNCTION("""COMPUTED_VALUE"""),"ASM")</f>
        <v>ASM</v>
      </c>
      <c r="C23" s="14">
        <f>IFERROR(__xludf.DUMMYFUNCTION("""COMPUTED_VALUE"""),1048.0)</f>
        <v>1048</v>
      </c>
      <c r="D23" s="15">
        <f>IFERROR(__xludf.DUMMYFUNCTION("""COMPUTED_VALUE"""),2.2992399799783594)</f>
        <v>2.29923998</v>
      </c>
      <c r="E23" s="15">
        <f>IFERROR(__xludf.DUMMYFUNCTION("""COMPUTED_VALUE"""),1.0386709672947232)</f>
        <v>1.038670967</v>
      </c>
      <c r="F23" s="15">
        <f>IFERROR(__xludf.DUMMYFUNCTION("""COMPUTED_VALUE"""),3.3379109472730826)</f>
        <v>3.337910947</v>
      </c>
      <c r="G23" s="17">
        <f>IFERROR(__xludf.DUMMYFUNCTION("""COMPUTED_VALUE"""),1.8337911471427573)</f>
        <v>1.833791147</v>
      </c>
      <c r="H23" s="4"/>
      <c r="I23" s="5" t="s">
        <v>1351</v>
      </c>
      <c r="J23" s="5" t="s">
        <v>1308</v>
      </c>
      <c r="K23" s="24">
        <v>1001.0</v>
      </c>
      <c r="L23" s="5">
        <v>3.33421</v>
      </c>
      <c r="M23" s="5">
        <v>-0.05564</v>
      </c>
      <c r="N23" s="5">
        <v>3.27857</v>
      </c>
      <c r="O23" s="5">
        <v>1.61728</v>
      </c>
    </row>
    <row r="24">
      <c r="A24" s="18" t="str">
        <f>IFERROR(__xludf.DUMMYFUNCTION("""COMPUTED_VALUE"""),"Trae Golden")</f>
        <v>Trae Golden</v>
      </c>
      <c r="B24" s="19" t="str">
        <f>IFERROR(__xludf.DUMMYFUNCTION("""COMPUTED_VALUE"""),"PORT")</f>
        <v>PORT</v>
      </c>
      <c r="C24" s="20">
        <f>IFERROR(__xludf.DUMMYFUNCTION("""COMPUTED_VALUE"""),1012.0)</f>
        <v>1012</v>
      </c>
      <c r="D24" s="21">
        <f>IFERROR(__xludf.DUMMYFUNCTION("""COMPUTED_VALUE"""),2.694354853907258)</f>
        <v>2.694354854</v>
      </c>
      <c r="E24" s="21">
        <f>IFERROR(__xludf.DUMMYFUNCTION("""COMPUTED_VALUE"""),0.5701064449618349)</f>
        <v>0.570106445</v>
      </c>
      <c r="F24" s="21">
        <f>IFERROR(__xludf.DUMMYFUNCTION("""COMPUTED_VALUE"""),3.264461298869093)</f>
        <v>3.264461299</v>
      </c>
      <c r="G24" s="23">
        <f>IFERROR(__xludf.DUMMYFUNCTION("""COMPUTED_VALUE"""),1.6136006731946742)</f>
        <v>1.613600673</v>
      </c>
      <c r="H24" s="4"/>
      <c r="I24" s="5" t="s">
        <v>1352</v>
      </c>
      <c r="J24" s="5" t="s">
        <v>1348</v>
      </c>
      <c r="K24" s="24">
        <v>1012.0</v>
      </c>
      <c r="L24" s="5">
        <v>2.64637</v>
      </c>
      <c r="M24" s="5">
        <v>0.61577</v>
      </c>
      <c r="N24" s="5">
        <v>3.26215</v>
      </c>
      <c r="O24" s="5">
        <v>1.61289</v>
      </c>
    </row>
    <row r="25">
      <c r="A25" s="12" t="str">
        <f>IFERROR(__xludf.DUMMYFUNCTION("""COMPUTED_VALUE"""),"Boris Diaw")</f>
        <v>Boris Diaw</v>
      </c>
      <c r="B25" s="13" t="str">
        <f>IFERROR(__xludf.DUMMYFUNCTION("""COMPUTED_VALUE"""),"PLV")</f>
        <v>PLV</v>
      </c>
      <c r="C25" s="14">
        <f>IFERROR(__xludf.DUMMYFUNCTION("""COMPUTED_VALUE"""),968.0)</f>
        <v>968</v>
      </c>
      <c r="D25" s="15">
        <f>IFERROR(__xludf.DUMMYFUNCTION("""COMPUTED_VALUE"""),0.992351615363714)</f>
        <v>0.9923516154</v>
      </c>
      <c r="E25" s="15">
        <f>IFERROR(__xludf.DUMMYFUNCTION("""COMPUTED_VALUE"""),2.1755236099064383)</f>
        <v>2.17552361</v>
      </c>
      <c r="F25" s="15">
        <f>IFERROR(__xludf.DUMMYFUNCTION("""COMPUTED_VALUE"""),3.1678752252701523)</f>
        <v>3.167875225</v>
      </c>
      <c r="G25" s="17">
        <f>IFERROR(__xludf.DUMMYFUNCTION("""COMPUTED_VALUE"""),1.5472241171052938)</f>
        <v>1.547224117</v>
      </c>
      <c r="H25" s="4"/>
      <c r="I25" s="5" t="s">
        <v>1354</v>
      </c>
      <c r="J25" s="5" t="s">
        <v>1355</v>
      </c>
      <c r="K25" s="5">
        <v>968.0</v>
      </c>
      <c r="L25" s="5">
        <v>0.94034</v>
      </c>
      <c r="M25" s="5">
        <v>2.21247</v>
      </c>
      <c r="N25" s="5">
        <v>3.15282</v>
      </c>
      <c r="O25" s="5">
        <v>1.54272</v>
      </c>
    </row>
    <row r="26">
      <c r="A26" s="18" t="str">
        <f>IFERROR(__xludf.DUMMYFUNCTION("""COMPUTED_VALUE"""),"Rion Brown")</f>
        <v>Rion Brown</v>
      </c>
      <c r="B26" s="19" t="str">
        <f>IFERROR(__xludf.DUMMYFUNCTION("""COMPUTED_VALUE"""),"DIJ")</f>
        <v>DIJ</v>
      </c>
      <c r="C26" s="20">
        <f>IFERROR(__xludf.DUMMYFUNCTION("""COMPUTED_VALUE"""),1033.0)</f>
        <v>1033</v>
      </c>
      <c r="D26" s="21">
        <f>IFERROR(__xludf.DUMMYFUNCTION("""COMPUTED_VALUE"""),3.201693180544335)</f>
        <v>3.201693181</v>
      </c>
      <c r="E26" s="21">
        <f>IFERROR(__xludf.DUMMYFUNCTION("""COMPUTED_VALUE"""),-0.12763327512414202)</f>
        <v>-0.1276332751</v>
      </c>
      <c r="F26" s="21">
        <f>IFERROR(__xludf.DUMMYFUNCTION("""COMPUTED_VALUE"""),3.074059905420193)</f>
        <v>3.074059905</v>
      </c>
      <c r="G26" s="23">
        <f>IFERROR(__xludf.DUMMYFUNCTION("""COMPUTED_VALUE"""),1.6068347502879632)</f>
        <v>1.60683475</v>
      </c>
      <c r="H26" s="4"/>
      <c r="I26" s="5" t="s">
        <v>1356</v>
      </c>
      <c r="J26" s="5" t="s">
        <v>1308</v>
      </c>
      <c r="K26" s="24">
        <v>414.0</v>
      </c>
      <c r="L26" s="5">
        <v>4.61412</v>
      </c>
      <c r="M26" s="5">
        <v>-1.53472</v>
      </c>
      <c r="N26" s="5">
        <v>3.0794</v>
      </c>
      <c r="O26" s="5">
        <v>0.64365</v>
      </c>
    </row>
    <row r="27">
      <c r="A27" s="12" t="str">
        <f>IFERROR(__xludf.DUMMYFUNCTION("""COMPUTED_VALUE"""),"Bastien Pinault")</f>
        <v>Bastien Pinault</v>
      </c>
      <c r="B27" s="13" t="str">
        <f>IFERROR(__xludf.DUMMYFUNCTION("""COMPUTED_VALUE"""),"CHA")</f>
        <v>CHA</v>
      </c>
      <c r="C27" s="14">
        <f>IFERROR(__xludf.DUMMYFUNCTION("""COMPUTED_VALUE"""),248.0)</f>
        <v>248</v>
      </c>
      <c r="D27" s="15">
        <f>IFERROR(__xludf.DUMMYFUNCTION("""COMPUTED_VALUE"""),5.983395631677521)</f>
        <v>5.983395632</v>
      </c>
      <c r="E27" s="15">
        <f>IFERROR(__xludf.DUMMYFUNCTION("""COMPUTED_VALUE"""),-2.9614903424708534)</f>
        <v>-2.961490342</v>
      </c>
      <c r="F27" s="15">
        <f>IFERROR(__xludf.DUMMYFUNCTION("""COMPUTED_VALUE"""),3.0219052892066673)</f>
        <v>3.021905289</v>
      </c>
      <c r="G27" s="17">
        <f>IFERROR(__xludf.DUMMYFUNCTION("""COMPUTED_VALUE"""),0.3867866424419713)</f>
        <v>0.3867866424</v>
      </c>
      <c r="H27" s="4"/>
      <c r="I27" s="5" t="s">
        <v>1358</v>
      </c>
      <c r="J27" s="5" t="s">
        <v>1332</v>
      </c>
      <c r="K27" s="24">
        <v>248.0</v>
      </c>
      <c r="L27" s="5">
        <v>5.94542</v>
      </c>
      <c r="M27" s="5">
        <v>-2.92395</v>
      </c>
      <c r="N27" s="5">
        <v>3.02147</v>
      </c>
      <c r="O27" s="5">
        <v>0.38675</v>
      </c>
    </row>
    <row r="28">
      <c r="A28" s="18" t="str">
        <f>IFERROR(__xludf.DUMMYFUNCTION("""COMPUTED_VALUE"""),"Quentin Serron")</f>
        <v>Quentin Serron</v>
      </c>
      <c r="B28" s="19" t="str">
        <f>IFERROR(__xludf.DUMMYFUNCTION("""COMPUTED_VALUE"""),"GRV")</f>
        <v>GRV</v>
      </c>
      <c r="C28" s="20">
        <f>IFERROR(__xludf.DUMMYFUNCTION("""COMPUTED_VALUE"""),941.0)</f>
        <v>941</v>
      </c>
      <c r="D28" s="21">
        <f>IFERROR(__xludf.DUMMYFUNCTION("""COMPUTED_VALUE"""),1.105266875426893)</f>
        <v>1.105266875</v>
      </c>
      <c r="E28" s="21">
        <f>IFERROR(__xludf.DUMMYFUNCTION("""COMPUTED_VALUE"""),1.6879980304741538)</f>
        <v>1.68799803</v>
      </c>
      <c r="F28" s="21">
        <f>IFERROR(__xludf.DUMMYFUNCTION("""COMPUTED_VALUE"""),2.793264905901047)</f>
        <v>2.793264906</v>
      </c>
      <c r="G28" s="23">
        <f>IFERROR(__xludf.DUMMYFUNCTION("""COMPUTED_VALUE"""),1.4406924441518625)</f>
        <v>1.440692444</v>
      </c>
      <c r="H28" s="4"/>
      <c r="I28" s="5" t="s">
        <v>1359</v>
      </c>
      <c r="J28" s="5" t="s">
        <v>1335</v>
      </c>
      <c r="K28" s="5">
        <v>691.0</v>
      </c>
      <c r="L28" s="5">
        <v>2.45896</v>
      </c>
      <c r="M28" s="5">
        <v>0.36778</v>
      </c>
      <c r="N28" s="5">
        <v>2.82673</v>
      </c>
      <c r="O28" s="5">
        <v>1.0105</v>
      </c>
    </row>
    <row r="29">
      <c r="A29" s="12" t="str">
        <f>IFERROR(__xludf.DUMMYFUNCTION("""COMPUTED_VALUE"""),"Lamonte Ulmer")</f>
        <v>Lamonte Ulmer</v>
      </c>
      <c r="B29" s="13" t="str">
        <f>IFERROR(__xludf.DUMMYFUNCTION("""COMPUTED_VALUE"""),"RCB")</f>
        <v>RCB</v>
      </c>
      <c r="C29" s="14">
        <f>IFERROR(__xludf.DUMMYFUNCTION("""COMPUTED_VALUE"""),885.0)</f>
        <v>885</v>
      </c>
      <c r="D29" s="15">
        <f>IFERROR(__xludf.DUMMYFUNCTION("""COMPUTED_VALUE"""),2.720887477792739)</f>
        <v>2.720887478</v>
      </c>
      <c r="E29" s="15">
        <f>IFERROR(__xludf.DUMMYFUNCTION("""COMPUTED_VALUE"""),0.0013235848178454468)</f>
        <v>0.001323584818</v>
      </c>
      <c r="F29" s="15">
        <f>IFERROR(__xludf.DUMMYFUNCTION("""COMPUTED_VALUE"""),2.7222110626105844)</f>
        <v>2.722211063</v>
      </c>
      <c r="G29" s="17">
        <f>IFERROR(__xludf.DUMMYFUNCTION("""COMPUTED_VALUE"""),1.274133167808039)</f>
        <v>1.274133168</v>
      </c>
      <c r="H29" s="4"/>
      <c r="I29" s="5" t="s">
        <v>1360</v>
      </c>
      <c r="J29" s="5" t="s">
        <v>1317</v>
      </c>
      <c r="K29" s="5">
        <v>500.0</v>
      </c>
      <c r="L29" s="5">
        <v>2.7258</v>
      </c>
      <c r="M29" s="5">
        <v>0.09594</v>
      </c>
      <c r="N29" s="5">
        <v>2.82173</v>
      </c>
      <c r="O29" s="5">
        <v>0.78732</v>
      </c>
    </row>
    <row r="30">
      <c r="A30" s="18" t="str">
        <f>IFERROR(__xludf.DUMMYFUNCTION("""COMPUTED_VALUE"""),"Lahaou Konate")</f>
        <v>Lahaou Konate</v>
      </c>
      <c r="B30" s="19" t="str">
        <f>IFERROR(__xludf.DUMMYFUNCTION("""COMPUTED_VALUE"""),"NAN")</f>
        <v>NAN</v>
      </c>
      <c r="C30" s="20">
        <f>IFERROR(__xludf.DUMMYFUNCTION("""COMPUTED_VALUE"""),975.0)</f>
        <v>975</v>
      </c>
      <c r="D30" s="21">
        <f>IFERROR(__xludf.DUMMYFUNCTION("""COMPUTED_VALUE"""),1.082927720842756)</f>
        <v>1.082927721</v>
      </c>
      <c r="E30" s="21">
        <f>IFERROR(__xludf.DUMMYFUNCTION("""COMPUTED_VALUE"""),1.4659289380406308)</f>
        <v>1.465928938</v>
      </c>
      <c r="F30" s="21">
        <f>IFERROR(__xludf.DUMMYFUNCTION("""COMPUTED_VALUE"""),2.5488566588833867)</f>
        <v>2.548856659</v>
      </c>
      <c r="G30" s="23">
        <f>IFERROR(__xludf.DUMMYFUNCTION("""COMPUTED_VALUE"""),1.3382354264253362)</f>
        <v>1.338235426</v>
      </c>
      <c r="H30" s="4"/>
      <c r="I30" s="5" t="s">
        <v>1363</v>
      </c>
      <c r="J30" s="5" t="s">
        <v>1314</v>
      </c>
      <c r="K30" s="5">
        <v>941.0</v>
      </c>
      <c r="L30" s="5">
        <v>1.07982</v>
      </c>
      <c r="M30" s="5">
        <v>1.73492</v>
      </c>
      <c r="N30" s="5">
        <v>2.81474</v>
      </c>
      <c r="O30" s="5">
        <v>1.44715</v>
      </c>
    </row>
    <row r="31">
      <c r="A31" s="12" t="str">
        <f>IFERROR(__xludf.DUMMYFUNCTION("""COMPUTED_VALUE"""),"D.J. Stephens")</f>
        <v>D.J. Stephens</v>
      </c>
      <c r="B31" s="13" t="str">
        <f>IFERROR(__xludf.DUMMYFUNCTION("""COMPUTED_VALUE"""),"LEM")</f>
        <v>LEM</v>
      </c>
      <c r="C31" s="14">
        <f>IFERROR(__xludf.DUMMYFUNCTION("""COMPUTED_VALUE"""),978.0)</f>
        <v>978</v>
      </c>
      <c r="D31" s="15">
        <f>IFERROR(__xludf.DUMMYFUNCTION("""COMPUTED_VALUE"""),1.6434713373547993)</f>
        <v>1.643471337</v>
      </c>
      <c r="E31" s="15">
        <f>IFERROR(__xludf.DUMMYFUNCTION("""COMPUTED_VALUE"""),0.8750143923077027)</f>
        <v>0.8750143923</v>
      </c>
      <c r="F31" s="15">
        <f>IFERROR(__xludf.DUMMYFUNCTION("""COMPUTED_VALUE"""),2.518485729662502)</f>
        <v>2.51848573</v>
      </c>
      <c r="G31" s="17">
        <f>IFERROR(__xludf.DUMMYFUNCTION("""COMPUTED_VALUE"""),1.3366157091811992)</f>
        <v>1.336615709</v>
      </c>
      <c r="H31" s="4"/>
      <c r="I31" s="5" t="s">
        <v>1364</v>
      </c>
      <c r="J31" s="5" t="s">
        <v>1365</v>
      </c>
      <c r="K31" s="24">
        <v>941.0</v>
      </c>
      <c r="L31" s="5">
        <v>1.26225</v>
      </c>
      <c r="M31" s="5">
        <v>1.48292</v>
      </c>
      <c r="N31" s="5">
        <v>2.74517</v>
      </c>
      <c r="O31" s="5">
        <v>1.36095</v>
      </c>
    </row>
    <row r="32">
      <c r="A32" s="18" t="str">
        <f>IFERROR(__xludf.DUMMYFUNCTION("""COMPUTED_VALUE"""),"Leopold Cavaliere")</f>
        <v>Leopold Cavaliere</v>
      </c>
      <c r="B32" s="19" t="str">
        <f>IFERROR(__xludf.DUMMYFUNCTION("""COMPUTED_VALUE"""),"PAU")</f>
        <v>PAU</v>
      </c>
      <c r="C32" s="20">
        <f>IFERROR(__xludf.DUMMYFUNCTION("""COMPUTED_VALUE"""),506.0)</f>
        <v>506</v>
      </c>
      <c r="D32" s="21">
        <f>IFERROR(__xludf.DUMMYFUNCTION("""COMPUTED_VALUE"""),0.6174907692554404)</f>
        <v>0.6174907693</v>
      </c>
      <c r="E32" s="21">
        <f>IFERROR(__xludf.DUMMYFUNCTION("""COMPUTED_VALUE"""),1.683723986173216)</f>
        <v>1.683723986</v>
      </c>
      <c r="F32" s="21">
        <f>IFERROR(__xludf.DUMMYFUNCTION("""COMPUTED_VALUE"""),2.3012147554286564)</f>
        <v>2.301214755</v>
      </c>
      <c r="G32" s="23">
        <f>IFERROR(__xludf.DUMMYFUNCTION("""COMPUTED_VALUE"""),0.6724131750646951)</f>
        <v>0.6724131751</v>
      </c>
      <c r="H32" s="4"/>
      <c r="I32" s="5" t="s">
        <v>1366</v>
      </c>
      <c r="J32" s="5" t="s">
        <v>1367</v>
      </c>
      <c r="K32" s="24">
        <v>885.0</v>
      </c>
      <c r="L32" s="5">
        <v>2.67428</v>
      </c>
      <c r="M32" s="5">
        <v>0.04675</v>
      </c>
      <c r="N32" s="5">
        <v>2.72102</v>
      </c>
      <c r="O32" s="5">
        <v>1.27381</v>
      </c>
    </row>
    <row r="33">
      <c r="A33" s="12" t="str">
        <f>IFERROR(__xludf.DUMMYFUNCTION("""COMPUTED_VALUE"""),"Ali Traore")</f>
        <v>Ali Traore</v>
      </c>
      <c r="B33" s="13" t="str">
        <f>IFERROR(__xludf.DUMMYFUNCTION("""COMPUTED_VALUE"""),"ASM")</f>
        <v>ASM</v>
      </c>
      <c r="C33" s="14">
        <f>IFERROR(__xludf.DUMMYFUNCTION("""COMPUTED_VALUE"""),226.5)</f>
        <v>226.5</v>
      </c>
      <c r="D33" s="15">
        <f>IFERROR(__xludf.DUMMYFUNCTION("""COMPUTED_VALUE"""),0.7410880526281428)</f>
        <v>0.7410880526</v>
      </c>
      <c r="E33" s="15">
        <f>IFERROR(__xludf.DUMMYFUNCTION("""COMPUTED_VALUE"""),1.554988456903517)</f>
        <v>1.554988457</v>
      </c>
      <c r="F33" s="15">
        <f>IFERROR(__xludf.DUMMYFUNCTION("""COMPUTED_VALUE"""),2.2960765095316598)</f>
        <v>2.29607651</v>
      </c>
      <c r="G33" s="17">
        <f>IFERROR(__xludf.DUMMYFUNCTION("""COMPUTED_VALUE"""),0.3189756113834842)</f>
        <v>0.3189756114</v>
      </c>
      <c r="H33" s="4"/>
      <c r="I33" s="5" t="s">
        <v>1368</v>
      </c>
      <c r="J33" s="5" t="s">
        <v>1369</v>
      </c>
      <c r="K33" s="24">
        <v>925.0</v>
      </c>
      <c r="L33" s="5">
        <v>3.52725</v>
      </c>
      <c r="M33" s="5">
        <v>-0.9239</v>
      </c>
      <c r="N33" s="5">
        <v>2.60335</v>
      </c>
      <c r="O33" s="5">
        <v>1.31606</v>
      </c>
    </row>
    <row r="34">
      <c r="A34" s="18" t="str">
        <f>IFERROR(__xludf.DUMMYFUNCTION("""COMPUTED_VALUE"""),"D.J. Cooper")</f>
        <v>D.J. Cooper</v>
      </c>
      <c r="B34" s="19" t="str">
        <f>IFERROR(__xludf.DUMMYFUNCTION("""COMPUTED_VALUE"""),"ASM")</f>
        <v>ASM</v>
      </c>
      <c r="C34" s="20">
        <f>IFERROR(__xludf.DUMMYFUNCTION("""COMPUTED_VALUE"""),484.0)</f>
        <v>484</v>
      </c>
      <c r="D34" s="21">
        <f>IFERROR(__xludf.DUMMYFUNCTION("""COMPUTED_VALUE"""),2.4087994756873083)</f>
        <v>2.408799476</v>
      </c>
      <c r="E34" s="21">
        <f>IFERROR(__xludf.DUMMYFUNCTION("""COMPUTED_VALUE"""),-0.18488740437258988)</f>
        <v>-0.1848874044</v>
      </c>
      <c r="F34" s="21">
        <f>IFERROR(__xludf.DUMMYFUNCTION("""COMPUTED_VALUE"""),2.2239120713147185)</f>
        <v>2.223912071</v>
      </c>
      <c r="G34" s="23">
        <f>IFERROR(__xludf.DUMMYFUNCTION("""COMPUTED_VALUE"""),0.6701584463529333)</f>
        <v>0.6701584464</v>
      </c>
      <c r="H34" s="4"/>
      <c r="I34" s="5" t="s">
        <v>1370</v>
      </c>
      <c r="J34" s="5" t="s">
        <v>1335</v>
      </c>
      <c r="K34" s="24">
        <v>1059.0</v>
      </c>
      <c r="L34" s="5">
        <v>0.34033</v>
      </c>
      <c r="M34" s="5">
        <v>2.19193</v>
      </c>
      <c r="N34" s="5">
        <v>2.53226</v>
      </c>
      <c r="O34" s="5">
        <v>1.45417</v>
      </c>
    </row>
    <row r="35">
      <c r="A35" s="12" t="str">
        <f>IFERROR(__xludf.DUMMYFUNCTION("""COMPUTED_VALUE"""),"Jonathan Rousselle")</f>
        <v>Jonathan Rousselle</v>
      </c>
      <c r="B35" s="13" t="str">
        <f>IFERROR(__xludf.DUMMYFUNCTION("""COMPUTED_VALUE"""),"CHO")</f>
        <v>CHO</v>
      </c>
      <c r="C35" s="14">
        <f>IFERROR(__xludf.DUMMYFUNCTION("""COMPUTED_VALUE"""),855.0)</f>
        <v>855</v>
      </c>
      <c r="D35" s="15">
        <f>IFERROR(__xludf.DUMMYFUNCTION("""COMPUTED_VALUE"""),1.1943216521951445)</f>
        <v>1.194321652</v>
      </c>
      <c r="E35" s="15">
        <f>IFERROR(__xludf.DUMMYFUNCTION("""COMPUTED_VALUE"""),1.023905809683308)</f>
        <v>1.02390581</v>
      </c>
      <c r="F35" s="15">
        <f>IFERROR(__xludf.DUMMYFUNCTION("""COMPUTED_VALUE"""),2.2182274618784525)</f>
        <v>2.218227462</v>
      </c>
      <c r="G35" s="17">
        <f>IFERROR(__xludf.DUMMYFUNCTION("""COMPUTED_VALUE"""),1.1201596082653384)</f>
        <v>1.120159608</v>
      </c>
      <c r="H35" s="4"/>
      <c r="I35" s="5" t="s">
        <v>1371</v>
      </c>
      <c r="J35" s="5" t="s">
        <v>1311</v>
      </c>
      <c r="K35" s="5">
        <v>961.0</v>
      </c>
      <c r="L35" s="5">
        <v>3.83329</v>
      </c>
      <c r="M35" s="5">
        <v>-1.34188</v>
      </c>
      <c r="N35" s="5">
        <v>2.4914</v>
      </c>
      <c r="O35" s="5">
        <v>1.32673</v>
      </c>
    </row>
    <row r="36">
      <c r="A36" s="18" t="str">
        <f>IFERROR(__xludf.DUMMYFUNCTION("""COMPUTED_VALUE"""),"David Lighty")</f>
        <v>David Lighty</v>
      </c>
      <c r="B36" s="19" t="str">
        <f>IFERROR(__xludf.DUMMYFUNCTION("""COMPUTED_VALUE"""),"LYV")</f>
        <v>LYV</v>
      </c>
      <c r="C36" s="20">
        <f>IFERROR(__xludf.DUMMYFUNCTION("""COMPUTED_VALUE"""),934.0)</f>
        <v>934</v>
      </c>
      <c r="D36" s="21">
        <f>IFERROR(__xludf.DUMMYFUNCTION("""COMPUTED_VALUE"""),1.2978473391109502)</f>
        <v>1.297847339</v>
      </c>
      <c r="E36" s="21">
        <f>IFERROR(__xludf.DUMMYFUNCTION("""COMPUTED_VALUE"""),0.8992942327474875)</f>
        <v>0.8992942327</v>
      </c>
      <c r="F36" s="21">
        <f>IFERROR(__xludf.DUMMYFUNCTION("""COMPUTED_VALUE"""),2.1971415718584377)</f>
        <v>2.197141572</v>
      </c>
      <c r="G36" s="23">
        <f>IFERROR(__xludf.DUMMYFUNCTION("""COMPUTED_VALUE"""),1.1871404357528559)</f>
        <v>1.187140436</v>
      </c>
      <c r="H36" s="4"/>
      <c r="I36" s="5" t="s">
        <v>1372</v>
      </c>
      <c r="J36" s="5" t="s">
        <v>1342</v>
      </c>
      <c r="K36" s="5">
        <v>876.0</v>
      </c>
      <c r="L36" s="5">
        <v>1.70116</v>
      </c>
      <c r="M36" s="5">
        <v>0.70452</v>
      </c>
      <c r="N36" s="5">
        <v>2.40568</v>
      </c>
      <c r="O36" s="5">
        <v>1.16829</v>
      </c>
    </row>
    <row r="37">
      <c r="A37" s="12" t="str">
        <f>IFERROR(__xludf.DUMMYFUNCTION("""COMPUTED_VALUE"""),"Elie Okobo")</f>
        <v>Elie Okobo</v>
      </c>
      <c r="B37" s="13" t="str">
        <f>IFERROR(__xludf.DUMMYFUNCTION("""COMPUTED_VALUE"""),"PAU")</f>
        <v>PAU</v>
      </c>
      <c r="C37" s="14">
        <f>IFERROR(__xludf.DUMMYFUNCTION("""COMPUTED_VALUE"""),955.0)</f>
        <v>955</v>
      </c>
      <c r="D37" s="15">
        <f>IFERROR(__xludf.DUMMYFUNCTION("""COMPUTED_VALUE"""),3.468002892143872)</f>
        <v>3.468002892</v>
      </c>
      <c r="E37" s="15">
        <f>IFERROR(__xludf.DUMMYFUNCTION("""COMPUTED_VALUE"""),-1.293646353593226)</f>
        <v>-1.293646354</v>
      </c>
      <c r="F37" s="15">
        <f>IFERROR(__xludf.DUMMYFUNCTION("""COMPUTED_VALUE"""),2.174356538550646)</f>
        <v>2.174356539</v>
      </c>
      <c r="G37" s="17">
        <f>IFERROR(__xludf.DUMMYFUNCTION("""COMPUTED_VALUE"""),1.2316504848472491)</f>
        <v>1.231650485</v>
      </c>
      <c r="H37" s="4"/>
      <c r="I37" s="5" t="s">
        <v>1373</v>
      </c>
      <c r="J37" s="5" t="s">
        <v>1369</v>
      </c>
      <c r="K37" s="5">
        <v>494.0</v>
      </c>
      <c r="L37" s="5">
        <v>0.44873</v>
      </c>
      <c r="M37" s="5">
        <v>1.83615</v>
      </c>
      <c r="N37" s="5">
        <v>2.28488</v>
      </c>
      <c r="O37" s="5">
        <v>0.65422</v>
      </c>
    </row>
    <row r="38">
      <c r="A38" s="18" t="str">
        <f>IFERROR(__xludf.DUMMYFUNCTION("""COMPUTED_VALUE"""),"Mykal Riley")</f>
        <v>Mykal Riley</v>
      </c>
      <c r="B38" s="19" t="str">
        <f>IFERROR(__xludf.DUMMYFUNCTION("""COMPUTED_VALUE"""),"LEM")</f>
        <v>LEM</v>
      </c>
      <c r="C38" s="20">
        <f>IFERROR(__xludf.DUMMYFUNCTION("""COMPUTED_VALUE"""),1370.0)</f>
        <v>1370</v>
      </c>
      <c r="D38" s="21">
        <f>IFERROR(__xludf.DUMMYFUNCTION("""COMPUTED_VALUE"""),0.1774919768843728)</f>
        <v>0.1774919769</v>
      </c>
      <c r="E38" s="21">
        <f>IFERROR(__xludf.DUMMYFUNCTION("""COMPUTED_VALUE"""),1.9964748733896123)</f>
        <v>1.996474873</v>
      </c>
      <c r="F38" s="21">
        <f>IFERROR(__xludf.DUMMYFUNCTION("""COMPUTED_VALUE"""),2.173966850273985)</f>
        <v>2.17396685</v>
      </c>
      <c r="G38" s="23">
        <f>IFERROR(__xludf.DUMMYFUNCTION("""COMPUTED_VALUE"""),1.7295947325383991)</f>
        <v>1.729594733</v>
      </c>
      <c r="H38" s="4"/>
      <c r="I38" s="5" t="s">
        <v>1374</v>
      </c>
      <c r="J38" s="5" t="s">
        <v>1375</v>
      </c>
      <c r="K38" s="5">
        <v>855.0</v>
      </c>
      <c r="L38" s="5">
        <v>1.15046</v>
      </c>
      <c r="M38" s="5">
        <v>1.06884</v>
      </c>
      <c r="N38" s="5">
        <v>2.2193</v>
      </c>
      <c r="O38" s="5">
        <v>1.12044</v>
      </c>
    </row>
    <row r="39">
      <c r="A39" s="12" t="str">
        <f>IFERROR(__xludf.DUMMYFUNCTION("""COMPUTED_VALUE"""),"Mouphtaou Yarou")</f>
        <v>Mouphtaou Yarou</v>
      </c>
      <c r="B39" s="13" t="str">
        <f>IFERROR(__xludf.DUMMYFUNCTION("""COMPUTED_VALUE"""),"ANT")</f>
        <v>ANT</v>
      </c>
      <c r="C39" s="14">
        <f>IFERROR(__xludf.DUMMYFUNCTION("""COMPUTED_VALUE"""),964.0)</f>
        <v>964</v>
      </c>
      <c r="D39" s="15">
        <f>IFERROR(__xludf.DUMMYFUNCTION("""COMPUTED_VALUE"""),2.7235395077070415)</f>
        <v>2.723539508</v>
      </c>
      <c r="E39" s="15">
        <f>IFERROR(__xludf.DUMMYFUNCTION("""COMPUTED_VALUE"""),-0.7676409532095663)</f>
        <v>-0.7676409532</v>
      </c>
      <c r="F39" s="15">
        <f>IFERROR(__xludf.DUMMYFUNCTION("""COMPUTED_VALUE"""),1.9558985544974752)</f>
        <v>1.955898554</v>
      </c>
      <c r="G39" s="17">
        <f>IFERROR(__xludf.DUMMYFUNCTION("""COMPUTED_VALUE"""),1.1869100719350096)</f>
        <v>1.186910072</v>
      </c>
      <c r="H39" s="4"/>
      <c r="I39" s="5" t="s">
        <v>1376</v>
      </c>
      <c r="J39" s="5" t="s">
        <v>1369</v>
      </c>
      <c r="K39" s="5">
        <v>933.0</v>
      </c>
      <c r="L39" s="5">
        <v>1.57839</v>
      </c>
      <c r="M39" s="5">
        <v>0.59343</v>
      </c>
      <c r="N39" s="5">
        <v>2.17182</v>
      </c>
      <c r="O39" s="5">
        <v>1.20301</v>
      </c>
    </row>
    <row r="40">
      <c r="A40" s="18" t="str">
        <f>IFERROR(__xludf.DUMMYFUNCTION("""COMPUTED_VALUE"""),"Nic Moore")</f>
        <v>Nic Moore</v>
      </c>
      <c r="B40" s="19" t="str">
        <f>IFERROR(__xludf.DUMMYFUNCTION("""COMPUTED_VALUE"""),"NAN")</f>
        <v>NAN</v>
      </c>
      <c r="C40" s="20">
        <f>IFERROR(__xludf.DUMMYFUNCTION("""COMPUTED_VALUE"""),121.0)</f>
        <v>121</v>
      </c>
      <c r="D40" s="21">
        <f>IFERROR(__xludf.DUMMYFUNCTION("""COMPUTED_VALUE"""),3.429854043108762)</f>
        <v>3.429854043</v>
      </c>
      <c r="E40" s="21">
        <f>IFERROR(__xludf.DUMMYFUNCTION("""COMPUTED_VALUE"""),-1.4859362458060872)</f>
        <v>-1.485936246</v>
      </c>
      <c r="F40" s="21">
        <f>IFERROR(__xludf.DUMMYFUNCTION("""COMPUTED_VALUE"""),1.9439177973026749)</f>
        <v>1.943917797</v>
      </c>
      <c r="G40" s="23">
        <f>IFERROR(__xludf.DUMMYFUNCTION("""COMPUTED_VALUE"""),0.14399217102548362)</f>
        <v>0.143992171</v>
      </c>
      <c r="H40" s="4"/>
      <c r="I40" s="5" t="s">
        <v>1377</v>
      </c>
      <c r="J40" s="5" t="s">
        <v>1327</v>
      </c>
      <c r="K40" s="5">
        <v>720.0</v>
      </c>
      <c r="L40" s="5">
        <v>1.55528</v>
      </c>
      <c r="M40" s="5">
        <v>0.53743</v>
      </c>
      <c r="N40" s="5">
        <v>2.09271</v>
      </c>
      <c r="O40" s="5">
        <v>0.94017</v>
      </c>
    </row>
    <row r="41">
      <c r="A41" s="12" t="str">
        <f>IFERROR(__xludf.DUMMYFUNCTION("""COMPUTED_VALUE"""),"David Logan")</f>
        <v>David Logan</v>
      </c>
      <c r="B41" s="13" t="str">
        <f>IFERROR(__xludf.DUMMYFUNCTION("""COMPUTED_VALUE"""),"STR")</f>
        <v>STR</v>
      </c>
      <c r="C41" s="14">
        <f>IFERROR(__xludf.DUMMYFUNCTION("""COMPUTED_VALUE"""),1112.0)</f>
        <v>1112</v>
      </c>
      <c r="D41" s="15">
        <f>IFERROR(__xludf.DUMMYFUNCTION("""COMPUTED_VALUE"""),3.773562611979999)</f>
        <v>3.773562612</v>
      </c>
      <c r="E41" s="15">
        <f>IFERROR(__xludf.DUMMYFUNCTION("""COMPUTED_VALUE"""),-1.8554855047480259)</f>
        <v>-1.855485505</v>
      </c>
      <c r="F41" s="15">
        <f>IFERROR(__xludf.DUMMYFUNCTION("""COMPUTED_VALUE"""),1.9180771072319733)</f>
        <v>1.918077107</v>
      </c>
      <c r="G41" s="17">
        <f>IFERROR(__xludf.DUMMYFUNCTION("""COMPUTED_VALUE"""),1.364549235483242)</f>
        <v>1.364549235</v>
      </c>
      <c r="H41" s="4"/>
      <c r="I41" s="5" t="s">
        <v>1378</v>
      </c>
      <c r="J41" s="5" t="s">
        <v>1379</v>
      </c>
      <c r="K41" s="5">
        <v>964.0</v>
      </c>
      <c r="L41" s="5">
        <v>2.68877</v>
      </c>
      <c r="M41" s="5">
        <v>-0.72202</v>
      </c>
      <c r="N41" s="5">
        <v>1.96675</v>
      </c>
      <c r="O41" s="5">
        <v>1.19017</v>
      </c>
    </row>
    <row r="42">
      <c r="A42" s="18" t="str">
        <f>IFERROR(__xludf.DUMMYFUNCTION("""COMPUTED_VALUE"""),"David Holston")</f>
        <v>David Holston</v>
      </c>
      <c r="B42" s="19" t="str">
        <f>IFERROR(__xludf.DUMMYFUNCTION("""COMPUTED_VALUE"""),"DIJ")</f>
        <v>DIJ</v>
      </c>
      <c r="C42" s="20">
        <f>IFERROR(__xludf.DUMMYFUNCTION("""COMPUTED_VALUE"""),438.0)</f>
        <v>438</v>
      </c>
      <c r="D42" s="21">
        <f>IFERROR(__xludf.DUMMYFUNCTION("""COMPUTED_VALUE"""),3.7895718089745705)</f>
        <v>3.789571809</v>
      </c>
      <c r="E42" s="21">
        <f>IFERROR(__xludf.DUMMYFUNCTION("""COMPUTED_VALUE"""),-1.8807890064369466)</f>
        <v>-1.880789006</v>
      </c>
      <c r="F42" s="21">
        <f>IFERROR(__xludf.DUMMYFUNCTION("""COMPUTED_VALUE"""),1.908782802537624)</f>
        <v>1.908782803</v>
      </c>
      <c r="G42" s="23">
        <f>IFERROR(__xludf.DUMMYFUNCTION("""COMPUTED_VALUE"""),0.5248448656366249)</f>
        <v>0.5248448656</v>
      </c>
      <c r="H42" s="4"/>
      <c r="I42" s="5" t="s">
        <v>1380</v>
      </c>
      <c r="J42" s="5" t="s">
        <v>1308</v>
      </c>
      <c r="K42" s="5">
        <v>875.0</v>
      </c>
      <c r="L42" s="5">
        <v>2.54521</v>
      </c>
      <c r="M42" s="5">
        <v>-0.6032</v>
      </c>
      <c r="N42" s="5">
        <v>1.94201</v>
      </c>
      <c r="O42" s="5">
        <v>1.05575</v>
      </c>
    </row>
    <row r="43">
      <c r="A43" s="12" t="str">
        <f>IFERROR(__xludf.DUMMYFUNCTION("""COMPUTED_VALUE"""),"Ryan Pearson")</f>
        <v>Ryan Pearson</v>
      </c>
      <c r="B43" s="13" t="str">
        <f>IFERROR(__xludf.DUMMYFUNCTION("""COMPUTED_VALUE"""),"DIJ")</f>
        <v>DIJ</v>
      </c>
      <c r="C43" s="14">
        <f>IFERROR(__xludf.DUMMYFUNCTION("""COMPUTED_VALUE"""),897.0)</f>
        <v>897</v>
      </c>
      <c r="D43" s="15">
        <f>IFERROR(__xludf.DUMMYFUNCTION("""COMPUTED_VALUE"""),2.5925094296333904)</f>
        <v>2.59250943</v>
      </c>
      <c r="E43" s="15">
        <f>IFERROR(__xludf.DUMMYFUNCTION("""COMPUTED_VALUE"""),-0.7141775390196998)</f>
        <v>-0.714177539</v>
      </c>
      <c r="F43" s="15">
        <f>IFERROR(__xludf.DUMMYFUNCTION("""COMPUTED_VALUE"""),1.8783318906136905)</f>
        <v>1.878331891</v>
      </c>
      <c r="G43" s="17">
        <f>IFERROR(__xludf.DUMMYFUNCTION("""COMPUTED_VALUE"""),1.0664800064351796)</f>
        <v>1.066480006</v>
      </c>
      <c r="H43" s="4"/>
      <c r="I43" s="5" t="s">
        <v>1381</v>
      </c>
      <c r="J43" s="5" t="s">
        <v>1365</v>
      </c>
      <c r="K43" s="5">
        <v>121.0</v>
      </c>
      <c r="L43" s="5">
        <v>3.4049</v>
      </c>
      <c r="M43" s="5">
        <v>-1.47696</v>
      </c>
      <c r="N43" s="5">
        <v>1.92795</v>
      </c>
      <c r="O43" s="5">
        <v>0.14486</v>
      </c>
    </row>
    <row r="44">
      <c r="A44" s="18" t="str">
        <f>IFERROR(__xludf.DUMMYFUNCTION("""COMPUTED_VALUE"""),"Tim Blue")</f>
        <v>Tim Blue</v>
      </c>
      <c r="B44" s="19" t="str">
        <f>IFERROR(__xludf.DUMMYFUNCTION("""COMPUTED_VALUE"""),"ANT")</f>
        <v>ANT</v>
      </c>
      <c r="C44" s="20">
        <f>IFERROR(__xludf.DUMMYFUNCTION("""COMPUTED_VALUE"""),370.0)</f>
        <v>370</v>
      </c>
      <c r="D44" s="21">
        <f>IFERROR(__xludf.DUMMYFUNCTION("""COMPUTED_VALUE"""),1.0148627740541654)</f>
        <v>1.014862774</v>
      </c>
      <c r="E44" s="21">
        <f>IFERROR(__xludf.DUMMYFUNCTION("""COMPUTED_VALUE"""),0.8628218122856905)</f>
        <v>0.8628218123</v>
      </c>
      <c r="F44" s="21">
        <f>IFERROR(__xludf.DUMMYFUNCTION("""COMPUTED_VALUE"""),1.877684586339856)</f>
        <v>1.877684586</v>
      </c>
      <c r="G44" s="23">
        <f>IFERROR(__xludf.DUMMYFUNCTION("""COMPUTED_VALUE"""),0.4465497388892332)</f>
        <v>0.4465497389</v>
      </c>
      <c r="H44" s="4"/>
      <c r="I44" s="5" t="s">
        <v>1382</v>
      </c>
      <c r="J44" s="5" t="s">
        <v>1379</v>
      </c>
      <c r="K44" s="5">
        <v>370.0</v>
      </c>
      <c r="L44" s="5">
        <v>0.97848</v>
      </c>
      <c r="M44" s="5">
        <v>0.90873</v>
      </c>
      <c r="N44" s="5">
        <v>1.88721</v>
      </c>
      <c r="O44" s="5">
        <v>0.44765</v>
      </c>
    </row>
    <row r="45">
      <c r="A45" s="12" t="str">
        <f>IFERROR(__xludf.DUMMYFUNCTION("""COMPUTED_VALUE"""),"Josh Carter")</f>
        <v>Josh Carter</v>
      </c>
      <c r="B45" s="13" t="str">
        <f>IFERROR(__xludf.DUMMYFUNCTION("""COMPUTED_VALUE"""),"CSP")</f>
        <v>CSP</v>
      </c>
      <c r="C45" s="14">
        <f>IFERROR(__xludf.DUMMYFUNCTION("""COMPUTED_VALUE"""),803.0)</f>
        <v>803</v>
      </c>
      <c r="D45" s="15">
        <f>IFERROR(__xludf.DUMMYFUNCTION("""COMPUTED_VALUE"""),1.4197114848728705)</f>
        <v>1.419711485</v>
      </c>
      <c r="E45" s="15">
        <f>IFERROR(__xludf.DUMMYFUNCTION("""COMPUTED_VALUE"""),0.4449006763048151)</f>
        <v>0.4449006763</v>
      </c>
      <c r="F45" s="15">
        <f>IFERROR(__xludf.DUMMYFUNCTION("""COMPUTED_VALUE"""),1.8646121611776856)</f>
        <v>1.864612161</v>
      </c>
      <c r="G45" s="17">
        <f>IFERROR(__xludf.DUMMYFUNCTION("""COMPUTED_VALUE"""),0.9915483468810239)</f>
        <v>0.9915483469</v>
      </c>
      <c r="H45" s="4"/>
      <c r="I45" s="5" t="s">
        <v>1383</v>
      </c>
      <c r="J45" s="5" t="s">
        <v>1384</v>
      </c>
      <c r="K45" s="24">
        <v>241.0</v>
      </c>
      <c r="L45" s="5">
        <v>-0.9105</v>
      </c>
      <c r="M45" s="5">
        <v>2.73193</v>
      </c>
      <c r="N45" s="5">
        <v>1.82143</v>
      </c>
      <c r="O45" s="5">
        <v>0.28574</v>
      </c>
    </row>
    <row r="46">
      <c r="A46" s="18" t="str">
        <f>IFERROR(__xludf.DUMMYFUNCTION("""COMPUTED_VALUE"""),"Ken Horton")</f>
        <v>Ken Horton</v>
      </c>
      <c r="B46" s="19" t="str">
        <f>IFERROR(__xludf.DUMMYFUNCTION("""COMPUTED_VALUE"""),"PAU")</f>
        <v>PAU</v>
      </c>
      <c r="C46" s="20">
        <f>IFERROR(__xludf.DUMMYFUNCTION("""COMPUTED_VALUE"""),957.0)</f>
        <v>957</v>
      </c>
      <c r="D46" s="21">
        <f>IFERROR(__xludf.DUMMYFUNCTION("""COMPUTED_VALUE"""),1.542658370424923)</f>
        <v>1.54265837</v>
      </c>
      <c r="E46" s="21">
        <f>IFERROR(__xludf.DUMMYFUNCTION("""COMPUTED_VALUE"""),0.30698401117071206)</f>
        <v>0.3069840112</v>
      </c>
      <c r="F46" s="21">
        <f>IFERROR(__xludf.DUMMYFUNCTION("""COMPUTED_VALUE"""),1.849642381595635)</f>
        <v>1.849642382</v>
      </c>
      <c r="G46" s="23">
        <f>IFERROR(__xludf.DUMMYFUNCTION("""COMPUTED_VALUE"""),1.138221789282134)</f>
        <v>1.138221789</v>
      </c>
      <c r="H46" s="4"/>
      <c r="I46" s="5" t="s">
        <v>1385</v>
      </c>
      <c r="J46" s="5" t="s">
        <v>1327</v>
      </c>
      <c r="K46" s="5">
        <v>918.0</v>
      </c>
      <c r="L46" s="5">
        <v>2.57926</v>
      </c>
      <c r="M46" s="5">
        <v>-0.77517</v>
      </c>
      <c r="N46" s="5">
        <v>1.80409</v>
      </c>
      <c r="O46" s="5">
        <v>1.11418</v>
      </c>
    </row>
    <row r="47">
      <c r="A47" s="12" t="str">
        <f>IFERROR(__xludf.DUMMYFUNCTION("""COMPUTED_VALUE"""),"Shawn James")</f>
        <v>Shawn James</v>
      </c>
      <c r="B47" s="13" t="str">
        <f>IFERROR(__xludf.DUMMYFUNCTION("""COMPUTED_VALUE"""),"BBD")</f>
        <v>BBD</v>
      </c>
      <c r="C47" s="14">
        <f>IFERROR(__xludf.DUMMYFUNCTION("""COMPUTED_VALUE"""),241.0)</f>
        <v>241</v>
      </c>
      <c r="D47" s="15">
        <f>IFERROR(__xludf.DUMMYFUNCTION("""COMPUTED_VALUE"""),-0.8741562134040844)</f>
        <v>-0.8741562134</v>
      </c>
      <c r="E47" s="15">
        <f>IFERROR(__xludf.DUMMYFUNCTION("""COMPUTED_VALUE"""),2.695636967185164)</f>
        <v>2.695636967</v>
      </c>
      <c r="F47" s="15">
        <f>IFERROR(__xludf.DUMMYFUNCTION("""COMPUTED_VALUE"""),1.8214807537810793)</f>
        <v>1.821480754</v>
      </c>
      <c r="G47" s="17">
        <f>IFERROR(__xludf.DUMMYFUNCTION("""COMPUTED_VALUE"""),0.28574535144098173)</f>
        <v>0.2857453514</v>
      </c>
      <c r="H47" s="4"/>
      <c r="I47" s="5" t="s">
        <v>1386</v>
      </c>
      <c r="J47" s="5" t="s">
        <v>1335</v>
      </c>
      <c r="K47" s="5">
        <v>119.0</v>
      </c>
      <c r="L47" s="5">
        <v>-0.29849</v>
      </c>
      <c r="M47" s="5">
        <v>2.09179</v>
      </c>
      <c r="N47" s="5">
        <v>1.7933</v>
      </c>
      <c r="O47" s="5">
        <v>0.13676</v>
      </c>
    </row>
    <row r="48">
      <c r="A48" s="18" t="str">
        <f>IFERROR(__xludf.DUMMYFUNCTION("""COMPUTED_VALUE"""),"Pierre-Antoine Gillet")</f>
        <v>Pierre-Antoine Gillet</v>
      </c>
      <c r="B48" s="19" t="str">
        <f>IFERROR(__xludf.DUMMYFUNCTION("""COMPUTED_VALUE"""),"CHA")</f>
        <v>CHA</v>
      </c>
      <c r="C48" s="20">
        <f>IFERROR(__xludf.DUMMYFUNCTION("""COMPUTED_VALUE"""),743.0)</f>
        <v>743</v>
      </c>
      <c r="D48" s="21">
        <f>IFERROR(__xludf.DUMMYFUNCTION("""COMPUTED_VALUE"""),2.344111981845236)</f>
        <v>2.344111982</v>
      </c>
      <c r="E48" s="21">
        <f>IFERROR(__xludf.DUMMYFUNCTION("""COMPUTED_VALUE"""),-0.5825523720239509)</f>
        <v>-0.582552372</v>
      </c>
      <c r="F48" s="21">
        <f>IFERROR(__xludf.DUMMYFUNCTION("""COMPUTED_VALUE"""),1.7615596098212851)</f>
        <v>1.76155961</v>
      </c>
      <c r="G48" s="23">
        <f>IFERROR(__xludf.DUMMYFUNCTION("""COMPUTED_VALUE"""),0.867976627888523)</f>
        <v>0.8679766279</v>
      </c>
      <c r="H48" s="4"/>
      <c r="I48" s="5" t="s">
        <v>1387</v>
      </c>
      <c r="J48" s="5" t="s">
        <v>1335</v>
      </c>
      <c r="K48" s="5">
        <v>703.0</v>
      </c>
      <c r="L48" s="5">
        <v>1.06647</v>
      </c>
      <c r="M48" s="5">
        <v>0.72413</v>
      </c>
      <c r="N48" s="5">
        <v>1.7906</v>
      </c>
      <c r="O48" s="5">
        <v>0.80736</v>
      </c>
    </row>
    <row r="49">
      <c r="A49" s="12" t="str">
        <f>IFERROR(__xludf.DUMMYFUNCTION("""COMPUTED_VALUE"""),"Garrett Sim")</f>
        <v>Garrett Sim</v>
      </c>
      <c r="B49" s="13" t="str">
        <f>IFERROR(__xludf.DUMMYFUNCTION("""COMPUTED_VALUE"""),"JLB")</f>
        <v>JLB</v>
      </c>
      <c r="C49" s="14">
        <f>IFERROR(__xludf.DUMMYFUNCTION("""COMPUTED_VALUE"""),946.0)</f>
        <v>946</v>
      </c>
      <c r="D49" s="15">
        <f>IFERROR(__xludf.DUMMYFUNCTION("""COMPUTED_VALUE"""),4.272450499580242)</f>
        <v>4.2724505</v>
      </c>
      <c r="E49" s="15">
        <f>IFERROR(__xludf.DUMMYFUNCTION("""COMPUTED_VALUE"""),-2.579827095824248)</f>
        <v>-2.579827096</v>
      </c>
      <c r="F49" s="15">
        <f>IFERROR(__xludf.DUMMYFUNCTION("""COMPUTED_VALUE"""),1.6926234037559942)</f>
        <v>1.692623404</v>
      </c>
      <c r="G49" s="17">
        <f>IFERROR(__xludf.DUMMYFUNCTION("""COMPUTED_VALUE"""),1.0664965865009384)</f>
        <v>1.066496587</v>
      </c>
      <c r="H49" s="4"/>
      <c r="I49" s="5" t="s">
        <v>1388</v>
      </c>
      <c r="J49" s="5" t="s">
        <v>1332</v>
      </c>
      <c r="K49" s="5">
        <v>743.0</v>
      </c>
      <c r="L49" s="5">
        <v>2.30202</v>
      </c>
      <c r="M49" s="5">
        <v>-0.53783</v>
      </c>
      <c r="N49" s="5">
        <v>1.76419</v>
      </c>
      <c r="O49" s="5">
        <v>0.86858</v>
      </c>
    </row>
    <row r="50">
      <c r="A50" s="18" t="str">
        <f>IFERROR(__xludf.DUMMYFUNCTION("""COMPUTED_VALUE"""),"Quincy Diggs")</f>
        <v>Quincy Diggs</v>
      </c>
      <c r="B50" s="19" t="str">
        <f>IFERROR(__xludf.DUMMYFUNCTION("""COMPUTED_VALUE"""),"BBD")</f>
        <v>BBD</v>
      </c>
      <c r="C50" s="20">
        <f>IFERROR(__xludf.DUMMYFUNCTION("""COMPUTED_VALUE"""),569.0)</f>
        <v>569</v>
      </c>
      <c r="D50" s="21">
        <f>IFERROR(__xludf.DUMMYFUNCTION("""COMPUTED_VALUE"""),0.6192810411857341)</f>
        <v>0.6192810412</v>
      </c>
      <c r="E50" s="21">
        <f>IFERROR(__xludf.DUMMYFUNCTION("""COMPUTED_VALUE"""),1.0295304293521783)</f>
        <v>1.029530429</v>
      </c>
      <c r="F50" s="21">
        <f>IFERROR(__xludf.DUMMYFUNCTION("""COMPUTED_VALUE"""),1.6488114705379124)</f>
        <v>1.648811471</v>
      </c>
      <c r="G50" s="23">
        <f>IFERROR(__xludf.DUMMYFUNCTION("""COMPUTED_VALUE"""),0.6441605819809917)</f>
        <v>0.644160582</v>
      </c>
      <c r="H50" s="4"/>
      <c r="I50" s="5" t="s">
        <v>1389</v>
      </c>
      <c r="J50" s="5" t="s">
        <v>1338</v>
      </c>
      <c r="K50" s="5">
        <v>946.0</v>
      </c>
      <c r="L50" s="5">
        <v>4.22825</v>
      </c>
      <c r="M50" s="5">
        <v>-2.53475</v>
      </c>
      <c r="N50" s="5">
        <v>1.6935</v>
      </c>
      <c r="O50" s="5">
        <v>1.06675</v>
      </c>
    </row>
    <row r="51">
      <c r="A51" s="12" t="str">
        <f>IFERROR(__xludf.DUMMYFUNCTION("""COMPUTED_VALUE"""),"Axel Bouteille")</f>
        <v>Axel Bouteille</v>
      </c>
      <c r="B51" s="13" t="str">
        <f>IFERROR(__xludf.DUMMYFUNCTION("""COMPUTED_VALUE"""),"CSP")</f>
        <v>CSP</v>
      </c>
      <c r="C51" s="14">
        <f>IFERROR(__xludf.DUMMYFUNCTION("""COMPUTED_VALUE"""),839.0)</f>
        <v>839</v>
      </c>
      <c r="D51" s="15">
        <f>IFERROR(__xludf.DUMMYFUNCTION("""COMPUTED_VALUE"""),1.847823085226506)</f>
        <v>1.847823085</v>
      </c>
      <c r="E51" s="15">
        <f>IFERROR(__xludf.DUMMYFUNCTION("""COMPUTED_VALUE"""),-0.20066612357073388)</f>
        <v>-0.2006661236</v>
      </c>
      <c r="F51" s="15">
        <f>IFERROR(__xludf.DUMMYFUNCTION("""COMPUTED_VALUE"""),1.6471569616557722)</f>
        <v>1.647156962</v>
      </c>
      <c r="G51" s="17">
        <f>IFERROR(__xludf.DUMMYFUNCTION("""COMPUTED_VALUE"""),0.9777072789962066)</f>
        <v>0.977707279</v>
      </c>
      <c r="H51" s="4"/>
      <c r="I51" s="5" t="s">
        <v>1390</v>
      </c>
      <c r="J51" s="5" t="s">
        <v>1317</v>
      </c>
      <c r="K51" s="5">
        <v>376.0</v>
      </c>
      <c r="L51" s="5">
        <v>1.71176</v>
      </c>
      <c r="M51" s="5">
        <v>-0.0217</v>
      </c>
      <c r="N51" s="5">
        <v>1.69005</v>
      </c>
      <c r="O51" s="5">
        <v>0.45311</v>
      </c>
    </row>
    <row r="52">
      <c r="A52" s="18" t="str">
        <f>IFERROR(__xludf.DUMMYFUNCTION("""COMPUTED_VALUE"""),"Youssou Ndoye")</f>
        <v>Youssou Ndoye</v>
      </c>
      <c r="B52" s="19" t="str">
        <f>IFERROR(__xludf.DUMMYFUNCTION("""COMPUTED_VALUE"""),"JLB")</f>
        <v>JLB</v>
      </c>
      <c r="C52" s="20">
        <f>IFERROR(__xludf.DUMMYFUNCTION("""COMPUTED_VALUE"""),819.0)</f>
        <v>819</v>
      </c>
      <c r="D52" s="21">
        <f>IFERROR(__xludf.DUMMYFUNCTION("""COMPUTED_VALUE"""),0.7604296376784596)</f>
        <v>0.7604296377</v>
      </c>
      <c r="E52" s="21">
        <f>IFERROR(__xludf.DUMMYFUNCTION("""COMPUTED_VALUE"""),0.8835481088111057)</f>
        <v>0.8835481088</v>
      </c>
      <c r="F52" s="21">
        <f>IFERROR(__xludf.DUMMYFUNCTION("""COMPUTED_VALUE"""),1.6439777464895653)</f>
        <v>1.643977746</v>
      </c>
      <c r="G52" s="23">
        <f>IFERROR(__xludf.DUMMYFUNCTION("""COMPUTED_VALUE"""),0.9111564068951102)</f>
        <v>0.9111564069</v>
      </c>
      <c r="H52" s="4"/>
      <c r="I52" s="5" t="s">
        <v>1391</v>
      </c>
      <c r="J52" s="5" t="s">
        <v>1384</v>
      </c>
      <c r="K52" s="5">
        <v>569.0</v>
      </c>
      <c r="L52" s="5">
        <v>0.57378</v>
      </c>
      <c r="M52" s="5">
        <v>1.07476</v>
      </c>
      <c r="N52" s="5">
        <v>1.64854</v>
      </c>
      <c r="O52" s="5">
        <v>0.64411</v>
      </c>
    </row>
    <row r="53">
      <c r="A53" s="12" t="str">
        <f>IFERROR(__xludf.DUMMYFUNCTION("""COMPUTED_VALUE"""),"Sergii Gladyr")</f>
        <v>Sergii Gladyr</v>
      </c>
      <c r="B53" s="13" t="str">
        <f>IFERROR(__xludf.DUMMYFUNCTION("""COMPUTED_VALUE"""),"ASM")</f>
        <v>ASM</v>
      </c>
      <c r="C53" s="14">
        <f>IFERROR(__xludf.DUMMYFUNCTION("""COMPUTED_VALUE"""),629.0)</f>
        <v>629</v>
      </c>
      <c r="D53" s="15">
        <f>IFERROR(__xludf.DUMMYFUNCTION("""COMPUTED_VALUE"""),1.9203988872416988)</f>
        <v>1.920398887</v>
      </c>
      <c r="E53" s="15">
        <f>IFERROR(__xludf.DUMMYFUNCTION("""COMPUTED_VALUE"""),-0.2999318436530478)</f>
        <v>-0.2999318437</v>
      </c>
      <c r="F53" s="15">
        <f>IFERROR(__xludf.DUMMYFUNCTION("""COMPUTED_VALUE"""),1.620467043588651)</f>
        <v>1.620467044</v>
      </c>
      <c r="G53" s="17">
        <f>IFERROR(__xludf.DUMMYFUNCTION("""COMPUTED_VALUE"""),0.7465046356817626)</f>
        <v>0.7465046357</v>
      </c>
      <c r="H53" s="4"/>
      <c r="I53" s="5" t="s">
        <v>1392</v>
      </c>
      <c r="J53" s="5" t="s">
        <v>1338</v>
      </c>
      <c r="K53" s="5">
        <v>819.0</v>
      </c>
      <c r="L53" s="5">
        <v>0.71615</v>
      </c>
      <c r="M53" s="5">
        <v>0.92864</v>
      </c>
      <c r="N53" s="5">
        <v>1.64478</v>
      </c>
      <c r="O53" s="5">
        <v>0.91136</v>
      </c>
    </row>
    <row r="54">
      <c r="A54" s="18" t="str">
        <f>IFERROR(__xludf.DUMMYFUNCTION("""COMPUTED_VALUE"""),"Antoine Eito")</f>
        <v>Antoine Eito</v>
      </c>
      <c r="B54" s="19" t="str">
        <f>IFERROR(__xludf.DUMMYFUNCTION("""COMPUTED_VALUE"""),"LEM")</f>
        <v>LEM</v>
      </c>
      <c r="C54" s="20">
        <f>IFERROR(__xludf.DUMMYFUNCTION("""COMPUTED_VALUE"""),954.0)</f>
        <v>954</v>
      </c>
      <c r="D54" s="21">
        <f>IFERROR(__xludf.DUMMYFUNCTION("""COMPUTED_VALUE"""),1.3507970010818662)</f>
        <v>1.350797001</v>
      </c>
      <c r="E54" s="21">
        <f>IFERROR(__xludf.DUMMYFUNCTION("""COMPUTED_VALUE"""),0.23088684878329468)</f>
        <v>0.2308868488</v>
      </c>
      <c r="F54" s="21">
        <f>IFERROR(__xludf.DUMMYFUNCTION("""COMPUTED_VALUE"""),1.5816838498651609)</f>
        <v>1.58168385</v>
      </c>
      <c r="G54" s="23">
        <f>IFERROR(__xludf.DUMMYFUNCTION("""COMPUTED_VALUE"""),1.0334998420764145)</f>
        <v>1.033499842</v>
      </c>
      <c r="H54" s="4"/>
      <c r="I54" s="5" t="s">
        <v>1393</v>
      </c>
      <c r="J54" s="5" t="s">
        <v>1369</v>
      </c>
      <c r="K54" s="5">
        <v>957.0</v>
      </c>
      <c r="L54" s="5">
        <v>0.42494</v>
      </c>
      <c r="M54" s="5">
        <v>1.21363</v>
      </c>
      <c r="N54" s="5">
        <v>1.63857</v>
      </c>
      <c r="O54" s="5">
        <v>1.07622</v>
      </c>
    </row>
    <row r="55">
      <c r="A55" s="12" t="str">
        <f>IFERROR(__xludf.DUMMYFUNCTION("""COMPUTED_VALUE"""),"Jeremy Nzeulie")</f>
        <v>Jeremy Nzeulie</v>
      </c>
      <c r="B55" s="13" t="str">
        <f>IFERROR(__xludf.DUMMYFUNCTION("""COMPUTED_VALUE"""),"CHA")</f>
        <v>CHA</v>
      </c>
      <c r="C55" s="14">
        <f>IFERROR(__xludf.DUMMYFUNCTION("""COMPUTED_VALUE"""),975.0)</f>
        <v>975</v>
      </c>
      <c r="D55" s="15">
        <f>IFERROR(__xludf.DUMMYFUNCTION("""COMPUTED_VALUE"""),2.747097535536436)</f>
        <v>2.747097536</v>
      </c>
      <c r="E55" s="15">
        <f>IFERROR(__xludf.DUMMYFUNCTION("""COMPUTED_VALUE"""),-1.182669923450871)</f>
        <v>-1.182669923</v>
      </c>
      <c r="F55" s="15">
        <f>IFERROR(__xludf.DUMMYFUNCTION("""COMPUTED_VALUE"""),1.5644276120855651)</f>
        <v>1.564427612</v>
      </c>
      <c r="G55" s="17">
        <f>IFERROR(__xludf.DUMMYFUNCTION("""COMPUTED_VALUE"""),1.0793087148001745)</f>
        <v>1.079308715</v>
      </c>
      <c r="H55" s="4"/>
      <c r="I55" s="5" t="s">
        <v>1394</v>
      </c>
      <c r="J55" s="5" t="s">
        <v>1332</v>
      </c>
      <c r="K55" s="5">
        <v>975.0</v>
      </c>
      <c r="L55" s="5">
        <v>2.70114</v>
      </c>
      <c r="M55" s="5">
        <v>-1.13726</v>
      </c>
      <c r="N55" s="5">
        <v>1.56388</v>
      </c>
      <c r="O55" s="5">
        <v>1.07914</v>
      </c>
    </row>
    <row r="56">
      <c r="A56" s="18" t="str">
        <f>IFERROR(__xludf.DUMMYFUNCTION("""COMPUTED_VALUE"""),"Georgi Joseph")</f>
        <v>Georgi Joseph</v>
      </c>
      <c r="B56" s="19" t="str">
        <f>IFERROR(__xludf.DUMMYFUNCTION("""COMPUTED_VALUE"""),"ASM")</f>
        <v>ASM</v>
      </c>
      <c r="C56" s="20">
        <f>IFERROR(__xludf.DUMMYFUNCTION("""COMPUTED_VALUE"""),713.0)</f>
        <v>713</v>
      </c>
      <c r="D56" s="21">
        <f>IFERROR(__xludf.DUMMYFUNCTION("""COMPUTED_VALUE"""),-1.1242430964877972)</f>
        <v>-1.124243096</v>
      </c>
      <c r="E56" s="21">
        <f>IFERROR(__xludf.DUMMYFUNCTION("""COMPUTED_VALUE"""),2.598095926834515)</f>
        <v>2.598095927</v>
      </c>
      <c r="F56" s="21">
        <f>IFERROR(__xludf.DUMMYFUNCTION("""COMPUTED_VALUE"""),1.473852830346718)</f>
        <v>1.47385283</v>
      </c>
      <c r="G56" s="23">
        <f>IFERROR(__xludf.DUMMYFUNCTION("""COMPUTED_VALUE"""),0.8119292933638494)</f>
        <v>0.8119292934</v>
      </c>
      <c r="H56" s="4"/>
      <c r="I56" s="5" t="s">
        <v>1395</v>
      </c>
      <c r="J56" s="5" t="s">
        <v>1365</v>
      </c>
      <c r="K56" s="5">
        <v>479.0</v>
      </c>
      <c r="L56" s="5">
        <v>2.31498</v>
      </c>
      <c r="M56" s="5">
        <v>-0.81791</v>
      </c>
      <c r="N56" s="5">
        <v>1.49707</v>
      </c>
      <c r="O56" s="5">
        <v>0.51055</v>
      </c>
    </row>
    <row r="57">
      <c r="A57" s="12" t="str">
        <f>IFERROR(__xludf.DUMMYFUNCTION("""COMPUTED_VALUE"""),"Romain Duport")</f>
        <v>Romain Duport</v>
      </c>
      <c r="B57" s="13" t="str">
        <f>IFERROR(__xludf.DUMMYFUNCTION("""COMPUTED_VALUE"""),"RCB")</f>
        <v>RCB</v>
      </c>
      <c r="C57" s="14">
        <f>IFERROR(__xludf.DUMMYFUNCTION("""COMPUTED_VALUE"""),645.0)</f>
        <v>645</v>
      </c>
      <c r="D57" s="15">
        <f>IFERROR(__xludf.DUMMYFUNCTION("""COMPUTED_VALUE"""),1.5684048912225839)</f>
        <v>1.568404891</v>
      </c>
      <c r="E57" s="15">
        <f>IFERROR(__xludf.DUMMYFUNCTION("""COMPUTED_VALUE"""),-0.09533511690900842)</f>
        <v>-0.09533511691</v>
      </c>
      <c r="F57" s="15">
        <f>IFERROR(__xludf.DUMMYFUNCTION("""COMPUTED_VALUE"""),1.4730697743135754)</f>
        <v>1.473069774</v>
      </c>
      <c r="G57" s="17">
        <f>IFERROR(__xludf.DUMMYFUNCTION("""COMPUTED_VALUE"""),0.6829664647659318)</f>
        <v>0.6829664648</v>
      </c>
      <c r="H57" s="4"/>
      <c r="I57" s="5" t="s">
        <v>1396</v>
      </c>
      <c r="J57" s="5" t="s">
        <v>1367</v>
      </c>
      <c r="K57" s="24">
        <v>645.0</v>
      </c>
      <c r="L57" s="5">
        <v>1.52332</v>
      </c>
      <c r="M57" s="5">
        <v>-0.05018</v>
      </c>
      <c r="N57" s="5">
        <v>1.47313</v>
      </c>
      <c r="O57" s="5">
        <v>0.68298</v>
      </c>
    </row>
    <row r="58">
      <c r="A58" s="18" t="str">
        <f>IFERROR(__xludf.DUMMYFUNCTION("""COMPUTED_VALUE"""),"Kenny Hayes")</f>
        <v>Kenny Hayes</v>
      </c>
      <c r="B58" s="19" t="str">
        <f>IFERROR(__xludf.DUMMYFUNCTION("""COMPUTED_VALUE"""),"CSP")</f>
        <v>CSP</v>
      </c>
      <c r="C58" s="20">
        <f>IFERROR(__xludf.DUMMYFUNCTION("""COMPUTED_VALUE"""),1011.0)</f>
        <v>1011</v>
      </c>
      <c r="D58" s="21">
        <f>IFERROR(__xludf.DUMMYFUNCTION("""COMPUTED_VALUE"""),2.27592414854178)</f>
        <v>2.275924149</v>
      </c>
      <c r="E58" s="21">
        <f>IFERROR(__xludf.DUMMYFUNCTION("""COMPUTED_VALUE"""),-0.8763505486091403)</f>
        <v>-0.8763505486</v>
      </c>
      <c r="F58" s="21">
        <f>IFERROR(__xludf.DUMMYFUNCTION("""COMPUTED_VALUE"""),1.3995735999326397)</f>
        <v>1.3995736</v>
      </c>
      <c r="G58" s="23">
        <f>IFERROR(__xludf.DUMMYFUNCTION("""COMPUTED_VALUE"""),1.098166109760698)</f>
        <v>1.09816611</v>
      </c>
      <c r="H58" s="4"/>
      <c r="I58" s="5" t="s">
        <v>1397</v>
      </c>
      <c r="J58" s="5" t="s">
        <v>1342</v>
      </c>
      <c r="K58" s="5">
        <v>880.0</v>
      </c>
      <c r="L58" s="5">
        <v>3.74708</v>
      </c>
      <c r="M58" s="5">
        <v>-2.32154</v>
      </c>
      <c r="N58" s="5">
        <v>1.42554</v>
      </c>
      <c r="O58" s="5">
        <v>0.91253</v>
      </c>
    </row>
    <row r="59">
      <c r="A59" s="12" t="str">
        <f>IFERROR(__xludf.DUMMYFUNCTION("""COMPUTED_VALUE"""),"Trey Lewis")</f>
        <v>Trey Lewis</v>
      </c>
      <c r="B59" s="13" t="str">
        <f>IFERROR(__xludf.DUMMYFUNCTION("""COMPUTED_VALUE"""),"JLB")</f>
        <v>JLB</v>
      </c>
      <c r="C59" s="14">
        <f>IFERROR(__xludf.DUMMYFUNCTION("""COMPUTED_VALUE"""),428.0)</f>
        <v>428</v>
      </c>
      <c r="D59" s="15">
        <f>IFERROR(__xludf.DUMMYFUNCTION("""COMPUTED_VALUE"""),4.027403929854727)</f>
        <v>4.02740393</v>
      </c>
      <c r="E59" s="15">
        <f>IFERROR(__xludf.DUMMYFUNCTION("""COMPUTED_VALUE"""),-2.6532788887807572)</f>
        <v>-2.653278889</v>
      </c>
      <c r="F59" s="15">
        <f>IFERROR(__xludf.DUMMYFUNCTION("""COMPUTED_VALUE"""),1.3741250410739698)</f>
        <v>1.374125041</v>
      </c>
      <c r="G59" s="17">
        <f>IFERROR(__xludf.DUMMYFUNCTION("""COMPUTED_VALUE"""),0.44089813061745525)</f>
        <v>0.4408981306</v>
      </c>
      <c r="H59" s="4"/>
      <c r="I59" s="5" t="s">
        <v>1398</v>
      </c>
      <c r="J59" s="5" t="s">
        <v>1342</v>
      </c>
      <c r="K59" s="5">
        <v>755.0</v>
      </c>
      <c r="L59" s="5">
        <v>1.47752</v>
      </c>
      <c r="M59" s="5">
        <v>-0.05548</v>
      </c>
      <c r="N59" s="5">
        <v>1.42205</v>
      </c>
      <c r="O59" s="5">
        <v>0.78211</v>
      </c>
    </row>
    <row r="60">
      <c r="A60" s="18" t="str">
        <f>IFERROR(__xludf.DUMMYFUNCTION("""COMPUTED_VALUE"""),"Travis Leslie")</f>
        <v>Travis Leslie</v>
      </c>
      <c r="B60" s="19" t="str">
        <f>IFERROR(__xludf.DUMMYFUNCTION("""COMPUTED_VALUE"""),"PLV")</f>
        <v>PLV</v>
      </c>
      <c r="C60" s="20">
        <f>IFERROR(__xludf.DUMMYFUNCTION("""COMPUTED_VALUE"""),550.0)</f>
        <v>550</v>
      </c>
      <c r="D60" s="21">
        <f>IFERROR(__xludf.DUMMYFUNCTION("""COMPUTED_VALUE"""),1.1465447225325551)</f>
        <v>1.146544723</v>
      </c>
      <c r="E60" s="21">
        <f>IFERROR(__xludf.DUMMYFUNCTION("""COMPUTED_VALUE"""),0.22001406451915084)</f>
        <v>0.2200140645</v>
      </c>
      <c r="F60" s="21">
        <f>IFERROR(__xludf.DUMMYFUNCTION("""COMPUTED_VALUE"""),1.366558787051706)</f>
        <v>1.366558787</v>
      </c>
      <c r="G60" s="23">
        <f>IFERROR(__xludf.DUMMYFUNCTION("""COMPUTED_VALUE"""),0.5726835937846078)</f>
        <v>0.5726835938</v>
      </c>
      <c r="H60" s="4"/>
      <c r="I60" s="5" t="s">
        <v>1399</v>
      </c>
      <c r="J60" s="5" t="s">
        <v>1317</v>
      </c>
      <c r="K60" s="5">
        <v>588.0</v>
      </c>
      <c r="L60" s="5">
        <v>-1.30368</v>
      </c>
      <c r="M60" s="5">
        <v>2.69449</v>
      </c>
      <c r="N60" s="5">
        <v>1.39081</v>
      </c>
      <c r="O60" s="5">
        <v>0.65112</v>
      </c>
    </row>
    <row r="61">
      <c r="A61" s="12" t="str">
        <f>IFERROR(__xludf.DUMMYFUNCTION("""COMPUTED_VALUE"""),"Amine Noua")</f>
        <v>Amine Noua</v>
      </c>
      <c r="B61" s="13" t="str">
        <f>IFERROR(__xludf.DUMMYFUNCTION("""COMPUTED_VALUE"""),"LYV")</f>
        <v>LYV</v>
      </c>
      <c r="C61" s="14">
        <f>IFERROR(__xludf.DUMMYFUNCTION("""COMPUTED_VALUE"""),755.0)</f>
        <v>755</v>
      </c>
      <c r="D61" s="15">
        <f>IFERROR(__xludf.DUMMYFUNCTION("""COMPUTED_VALUE"""),1.425281563209943)</f>
        <v>1.425281563</v>
      </c>
      <c r="E61" s="15">
        <f>IFERROR(__xludf.DUMMYFUNCTION("""COMPUTED_VALUE"""),-0.1682051434036438)</f>
        <v>-0.1682051434</v>
      </c>
      <c r="F61" s="15">
        <f>IFERROR(__xludf.DUMMYFUNCTION("""COMPUTED_VALUE"""),1.2570764198062991)</f>
        <v>1.25707642</v>
      </c>
      <c r="G61" s="17">
        <f>IFERROR(__xludf.DUMMYFUNCTION("""COMPUTED_VALUE"""),0.7446916826591011)</f>
        <v>0.7446916827</v>
      </c>
      <c r="H61" s="4"/>
      <c r="I61" s="5" t="s">
        <v>1162</v>
      </c>
      <c r="J61" s="5" t="s">
        <v>1338</v>
      </c>
      <c r="K61" s="5">
        <v>428.0</v>
      </c>
      <c r="L61" s="5">
        <v>3.97998</v>
      </c>
      <c r="M61" s="5">
        <v>-2.60763</v>
      </c>
      <c r="N61" s="5">
        <v>1.37235</v>
      </c>
      <c r="O61" s="5">
        <v>0.44067</v>
      </c>
    </row>
    <row r="62">
      <c r="A62" s="18" t="str">
        <f>IFERROR(__xludf.DUMMYFUNCTION("""COMPUTED_VALUE"""),"Mouhammadou Jaiteh")</f>
        <v>Mouhammadou Jaiteh</v>
      </c>
      <c r="B62" s="19" t="str">
        <f>IFERROR(__xludf.DUMMYFUNCTION("""COMPUTED_VALUE"""),"CSP")</f>
        <v>CSP</v>
      </c>
      <c r="C62" s="20">
        <f>IFERROR(__xludf.DUMMYFUNCTION("""COMPUTED_VALUE"""),844.0)</f>
        <v>844</v>
      </c>
      <c r="D62" s="21">
        <f>IFERROR(__xludf.DUMMYFUNCTION("""COMPUTED_VALUE"""),-1.835868233454532)</f>
        <v>-1.835868233</v>
      </c>
      <c r="E62" s="21">
        <f>IFERROR(__xludf.DUMMYFUNCTION("""COMPUTED_VALUE"""),3.075983103895788)</f>
        <v>3.075983104</v>
      </c>
      <c r="F62" s="21">
        <f>IFERROR(__xludf.DUMMYFUNCTION("""COMPUTED_VALUE"""),1.2401148704412557)</f>
        <v>1.24011487</v>
      </c>
      <c r="G62" s="23">
        <f>IFERROR(__xludf.DUMMYFUNCTION("""COMPUTED_VALUE"""),0.8737662935208316)</f>
        <v>0.8737662935</v>
      </c>
      <c r="H62" s="4"/>
      <c r="I62" s="5" t="s">
        <v>159</v>
      </c>
      <c r="J62" s="5" t="s">
        <v>1355</v>
      </c>
      <c r="K62" s="5">
        <v>550.0</v>
      </c>
      <c r="L62" s="5">
        <v>1.09083</v>
      </c>
      <c r="M62" s="5">
        <v>0.25762</v>
      </c>
      <c r="N62" s="5">
        <v>1.34845</v>
      </c>
      <c r="O62" s="5">
        <v>0.5696</v>
      </c>
    </row>
    <row r="63">
      <c r="A63" s="12" t="str">
        <f>IFERROR(__xludf.DUMMYFUNCTION("""COMPUTED_VALUE"""),"Jaron Johnson")</f>
        <v>Jaron Johnson</v>
      </c>
      <c r="B63" s="13" t="str">
        <f>IFERROR(__xludf.DUMMYFUNCTION("""COMPUTED_VALUE"""),"PLV")</f>
        <v>PLV</v>
      </c>
      <c r="C63" s="14">
        <f>IFERROR(__xludf.DUMMYFUNCTION("""COMPUTED_VALUE"""),242.0)</f>
        <v>242</v>
      </c>
      <c r="D63" s="15">
        <f>IFERROR(__xludf.DUMMYFUNCTION("""COMPUTED_VALUE"""),1.3331579629137509)</f>
        <v>1.333157963</v>
      </c>
      <c r="E63" s="15">
        <f>IFERROR(__xludf.DUMMYFUNCTION("""COMPUTED_VALUE"""),-0.12081426001714535)</f>
        <v>-0.12081426</v>
      </c>
      <c r="F63" s="15">
        <f>IFERROR(__xludf.DUMMYFUNCTION("""COMPUTED_VALUE"""),1.2123437028966055)</f>
        <v>1.212343703</v>
      </c>
      <c r="G63" s="17">
        <f>IFERROR(__xludf.DUMMYFUNCTION("""COMPUTED_VALUE"""),0.24043806365763845)</f>
        <v>0.2404380637</v>
      </c>
      <c r="H63" s="4"/>
      <c r="I63" s="5" t="s">
        <v>1400</v>
      </c>
      <c r="J63" s="5" t="s">
        <v>1365</v>
      </c>
      <c r="K63" s="5">
        <v>805.0</v>
      </c>
      <c r="L63" s="5">
        <v>2.45672</v>
      </c>
      <c r="M63" s="5">
        <v>-1.21051</v>
      </c>
      <c r="N63" s="5">
        <v>1.24621</v>
      </c>
      <c r="O63" s="5">
        <v>0.79648</v>
      </c>
    </row>
    <row r="64">
      <c r="A64" s="18" t="str">
        <f>IFERROR(__xludf.DUMMYFUNCTION("""COMPUTED_VALUE"""),"Jamar Wilson")</f>
        <v>Jamar Wilson</v>
      </c>
      <c r="B64" s="19" t="str">
        <f>IFERROR(__xludf.DUMMYFUNCTION("""COMPUTED_VALUE"""),"NAN")</f>
        <v>NAN</v>
      </c>
      <c r="C64" s="20">
        <f>IFERROR(__xludf.DUMMYFUNCTION("""COMPUTED_VALUE"""),517.0)</f>
        <v>517</v>
      </c>
      <c r="D64" s="21">
        <f>IFERROR(__xludf.DUMMYFUNCTION("""COMPUTED_VALUE"""),2.331847174263435)</f>
        <v>2.331847174</v>
      </c>
      <c r="E64" s="21">
        <f>IFERROR(__xludf.DUMMYFUNCTION("""COMPUTED_VALUE"""),-1.120306197385641)</f>
        <v>-1.120306197</v>
      </c>
      <c r="F64" s="21">
        <f>IFERROR(__xludf.DUMMYFUNCTION("""COMPUTED_VALUE"""),1.211540976877794)</f>
        <v>1.211540977</v>
      </c>
      <c r="G64" s="23">
        <f>IFERROR(__xludf.DUMMYFUNCTION("""COMPUTED_VALUE"""),0.5009907020505364)</f>
        <v>0.5009907021</v>
      </c>
      <c r="H64" s="4"/>
      <c r="I64" s="5" t="s">
        <v>1401</v>
      </c>
      <c r="J64" s="5" t="s">
        <v>1317</v>
      </c>
      <c r="K64" s="5">
        <v>170.0</v>
      </c>
      <c r="L64" s="5">
        <v>0.02413</v>
      </c>
      <c r="M64" s="5">
        <v>1.217</v>
      </c>
      <c r="N64" s="5">
        <v>1.24112</v>
      </c>
      <c r="O64" s="5">
        <v>0.17994</v>
      </c>
    </row>
    <row r="65">
      <c r="A65" s="12" t="str">
        <f>IFERROR(__xludf.DUMMYFUNCTION("""COMPUTED_VALUE"""),"Klemen Prepelic")</f>
        <v>Klemen Prepelic</v>
      </c>
      <c r="B65" s="13" t="str">
        <f>IFERROR(__xludf.DUMMYFUNCTION("""COMPUTED_VALUE"""),"PLV")</f>
        <v>PLV</v>
      </c>
      <c r="C65" s="14">
        <f>IFERROR(__xludf.DUMMYFUNCTION("""COMPUTED_VALUE"""),822.0)</f>
        <v>822</v>
      </c>
      <c r="D65" s="15">
        <f>IFERROR(__xludf.DUMMYFUNCTION("""COMPUTED_VALUE"""),3.249817252197384)</f>
        <v>3.249817252</v>
      </c>
      <c r="E65" s="15">
        <f>IFERROR(__xludf.DUMMYFUNCTION("""COMPUTED_VALUE"""),-2.066210002471968)</f>
        <v>-2.066210002</v>
      </c>
      <c r="F65" s="15">
        <f>IFERROR(__xludf.DUMMYFUNCTION("""COMPUTED_VALUE"""),1.1836072497254162)</f>
        <v>1.18360725</v>
      </c>
      <c r="G65" s="17">
        <f>IFERROR(__xludf.DUMMYFUNCTION("""COMPUTED_VALUE"""),0.8093887285209564)</f>
        <v>0.8093887285</v>
      </c>
      <c r="H65" s="4"/>
      <c r="I65" s="5" t="s">
        <v>1402</v>
      </c>
      <c r="J65" s="5" t="s">
        <v>1327</v>
      </c>
      <c r="K65" s="5">
        <v>747.0</v>
      </c>
      <c r="L65" s="5">
        <v>-1.84232</v>
      </c>
      <c r="M65" s="5">
        <v>3.07602</v>
      </c>
      <c r="N65" s="5">
        <v>1.2337</v>
      </c>
      <c r="O65" s="5">
        <v>0.7707</v>
      </c>
    </row>
    <row r="66">
      <c r="A66" s="18" t="str">
        <f>IFERROR(__xludf.DUMMYFUNCTION("""COMPUTED_VALUE"""),"Chris Dowe")</f>
        <v>Chris Dowe</v>
      </c>
      <c r="B66" s="19" t="str">
        <f>IFERROR(__xludf.DUMMYFUNCTION("""COMPUTED_VALUE"""),"PAU")</f>
        <v>PAU</v>
      </c>
      <c r="C66" s="20">
        <f>IFERROR(__xludf.DUMMYFUNCTION("""COMPUTED_VALUE"""),988.0)</f>
        <v>988</v>
      </c>
      <c r="D66" s="21">
        <f>IFERROR(__xludf.DUMMYFUNCTION("""COMPUTED_VALUE"""),0.10724301168874073)</f>
        <v>0.1072430117</v>
      </c>
      <c r="E66" s="21">
        <f>IFERROR(__xludf.DUMMYFUNCTION("""COMPUTED_VALUE"""),1.0010183426783685)</f>
        <v>1.001018343</v>
      </c>
      <c r="F66" s="21">
        <f>IFERROR(__xludf.DUMMYFUNCTION("""COMPUTED_VALUE"""),1.1082613543671092)</f>
        <v>1.108261354</v>
      </c>
      <c r="G66" s="23">
        <f>IFERROR(__xludf.DUMMYFUNCTION("""COMPUTED_VALUE"""),0.948787695474926)</f>
        <v>0.9487876955</v>
      </c>
      <c r="H66" s="4"/>
      <c r="I66" s="5" t="s">
        <v>1403</v>
      </c>
      <c r="J66" s="5" t="s">
        <v>1311</v>
      </c>
      <c r="K66" s="5">
        <v>155.0</v>
      </c>
      <c r="L66" s="5">
        <v>-0.92847</v>
      </c>
      <c r="M66" s="5">
        <v>2.14929</v>
      </c>
      <c r="N66" s="5">
        <v>1.22082</v>
      </c>
      <c r="O66" s="5">
        <v>0.15345</v>
      </c>
    </row>
    <row r="67">
      <c r="A67" s="12" t="str">
        <f>IFERROR(__xludf.DUMMYFUNCTION("""COMPUTED_VALUE"""),"Hugo Invernizzi")</f>
        <v>Hugo Invernizzi</v>
      </c>
      <c r="B67" s="13" t="str">
        <f>IFERROR(__xludf.DUMMYFUNCTION("""COMPUTED_VALUE"""),"NAN")</f>
        <v>NAN</v>
      </c>
      <c r="C67" s="14">
        <f>IFERROR(__xludf.DUMMYFUNCTION("""COMPUTED_VALUE"""),814.0)</f>
        <v>814</v>
      </c>
      <c r="D67" s="15">
        <f>IFERROR(__xludf.DUMMYFUNCTION("""COMPUTED_VALUE"""),2.3680979096778896)</f>
        <v>2.36809791</v>
      </c>
      <c r="E67" s="15">
        <f>IFERROR(__xludf.DUMMYFUNCTION("""COMPUTED_VALUE"""),-1.2729774507127876)</f>
        <v>-1.272977451</v>
      </c>
      <c r="F67" s="15">
        <f>IFERROR(__xludf.DUMMYFUNCTION("""COMPUTED_VALUE"""),1.095120458965102)</f>
        <v>1.095120459</v>
      </c>
      <c r="G67" s="17">
        <f>IFERROR(__xludf.DUMMYFUNCTION("""COMPUTED_VALUE"""),0.7601995635698043)</f>
        <v>0.7601995636</v>
      </c>
      <c r="H67" s="4"/>
      <c r="I67" s="5" t="s">
        <v>1404</v>
      </c>
      <c r="J67" s="5" t="s">
        <v>1342</v>
      </c>
      <c r="K67" s="5">
        <v>684.0</v>
      </c>
      <c r="L67" s="5">
        <v>2.1203</v>
      </c>
      <c r="M67" s="5">
        <v>-0.90796</v>
      </c>
      <c r="N67" s="5">
        <v>1.21234</v>
      </c>
      <c r="O67" s="5">
        <v>0.66514</v>
      </c>
    </row>
    <row r="68">
      <c r="A68" s="18" t="str">
        <f>IFERROR(__xludf.DUMMYFUNCTION("""COMPUTED_VALUE"""),"Gilvydas Biruta")</f>
        <v>Gilvydas Biruta</v>
      </c>
      <c r="B68" s="19" t="str">
        <f>IFERROR(__xludf.DUMMYFUNCTION("""COMPUTED_VALUE"""),"JLB")</f>
        <v>JLB</v>
      </c>
      <c r="C68" s="20">
        <f>IFERROR(__xludf.DUMMYFUNCTION("""COMPUTED_VALUE"""),206.0)</f>
        <v>206</v>
      </c>
      <c r="D68" s="21">
        <f>IFERROR(__xludf.DUMMYFUNCTION("""COMPUTED_VALUE"""),1.2798369913106347)</f>
        <v>1.279836991</v>
      </c>
      <c r="E68" s="21">
        <f>IFERROR(__xludf.DUMMYFUNCTION("""COMPUTED_VALUE"""),-0.1900097134307137)</f>
        <v>-0.1900097134</v>
      </c>
      <c r="F68" s="21">
        <f>IFERROR(__xludf.DUMMYFUNCTION("""COMPUTED_VALUE"""),1.089827277879921)</f>
        <v>1.089827278</v>
      </c>
      <c r="G68" s="23">
        <f>IFERROR(__xludf.DUMMYFUNCTION("""COMPUTED_VALUE"""),0.1943277126246223)</f>
        <v>0.1943277126</v>
      </c>
      <c r="H68" s="4"/>
      <c r="I68" s="5" t="s">
        <v>1405</v>
      </c>
      <c r="J68" s="5" t="s">
        <v>1355</v>
      </c>
      <c r="K68" s="5">
        <v>242.0</v>
      </c>
      <c r="L68" s="5">
        <v>1.28896</v>
      </c>
      <c r="M68" s="5">
        <v>-0.09061</v>
      </c>
      <c r="N68" s="5">
        <v>1.19835</v>
      </c>
      <c r="O68" s="5">
        <v>0.23939</v>
      </c>
    </row>
    <row r="69">
      <c r="A69" s="12" t="str">
        <f>IFERROR(__xludf.DUMMYFUNCTION("""COMPUTED_VALUE"""),"John Roberson")</f>
        <v>John Roberson</v>
      </c>
      <c r="B69" s="13" t="str">
        <f>IFERROR(__xludf.DUMMYFUNCTION("""COMPUTED_VALUE"""),"LYV")</f>
        <v>LYV</v>
      </c>
      <c r="C69" s="14">
        <f>IFERROR(__xludf.DUMMYFUNCTION("""COMPUTED_VALUE"""),930.0)</f>
        <v>930</v>
      </c>
      <c r="D69" s="15">
        <f>IFERROR(__xludf.DUMMYFUNCTION("""COMPUTED_VALUE"""),3.4005075484934384)</f>
        <v>3.400507548</v>
      </c>
      <c r="E69" s="15">
        <f>IFERROR(__xludf.DUMMYFUNCTION("""COMPUTED_VALUE"""),-2.343284223655597)</f>
        <v>-2.343284224</v>
      </c>
      <c r="F69" s="15">
        <f>IFERROR(__xludf.DUMMYFUNCTION("""COMPUTED_VALUE"""),1.0572233248378415)</f>
        <v>1.057223325</v>
      </c>
      <c r="G69" s="17">
        <f>IFERROR(__xludf.DUMMYFUNCTION("""COMPUTED_VALUE"""),0.8610169799285491)</f>
        <v>0.8610169799</v>
      </c>
      <c r="H69" s="4"/>
      <c r="I69" s="5" t="s">
        <v>1406</v>
      </c>
      <c r="J69" s="5" t="s">
        <v>1355</v>
      </c>
      <c r="K69" s="5">
        <v>822.0</v>
      </c>
      <c r="L69" s="5">
        <v>3.19324</v>
      </c>
      <c r="M69" s="5">
        <v>-2.02845</v>
      </c>
      <c r="N69" s="5">
        <v>1.16479</v>
      </c>
      <c r="O69" s="5">
        <v>0.80461</v>
      </c>
    </row>
    <row r="70">
      <c r="A70" s="18" t="str">
        <f>IFERROR(__xludf.DUMMYFUNCTION("""COMPUTED_VALUE"""),"Darryl Watkins")</f>
        <v>Darryl Watkins</v>
      </c>
      <c r="B70" s="19" t="str">
        <f>IFERROR(__xludf.DUMMYFUNCTION("""COMPUTED_VALUE"""),"LYV")</f>
        <v>LYV</v>
      </c>
      <c r="C70" s="20">
        <f>IFERROR(__xludf.DUMMYFUNCTION("""COMPUTED_VALUE"""),518.0)</f>
        <v>518</v>
      </c>
      <c r="D70" s="21">
        <f>IFERROR(__xludf.DUMMYFUNCTION("""COMPUTED_VALUE"""),-0.611979150072608)</f>
        <v>-0.6119791501</v>
      </c>
      <c r="E70" s="21">
        <f>IFERROR(__xludf.DUMMYFUNCTION("""COMPUTED_VALUE"""),1.5559030747450828)</f>
        <v>1.555903075</v>
      </c>
      <c r="F70" s="21">
        <f>IFERROR(__xludf.DUMMYFUNCTION("""COMPUTED_VALUE"""),0.9439239246724749)</f>
        <v>0.9439239247</v>
      </c>
      <c r="G70" s="23">
        <f>IFERROR(__xludf.DUMMYFUNCTION("""COMPUTED_VALUE"""),0.4618042718961586)</f>
        <v>0.4618042719</v>
      </c>
      <c r="H70" s="4"/>
      <c r="I70" s="5" t="s">
        <v>1407</v>
      </c>
      <c r="J70" s="5" t="s">
        <v>1327</v>
      </c>
      <c r="K70" s="5">
        <v>743.0</v>
      </c>
      <c r="L70" s="5">
        <v>1.22756</v>
      </c>
      <c r="M70" s="5">
        <v>-0.07977</v>
      </c>
      <c r="N70" s="5">
        <v>1.14779</v>
      </c>
      <c r="O70" s="5">
        <v>0.7462</v>
      </c>
    </row>
    <row r="71">
      <c r="A71" s="12" t="str">
        <f>IFERROR(__xludf.DUMMYFUNCTION("""COMPUTED_VALUE"""),"Vitalis Chikoko")</f>
        <v>Vitalis Chikoko</v>
      </c>
      <c r="B71" s="13" t="str">
        <f>IFERROR(__xludf.DUMMYFUNCTION("""COMPUTED_VALUE"""),"PAU")</f>
        <v>PAU</v>
      </c>
      <c r="C71" s="14">
        <f>IFERROR(__xludf.DUMMYFUNCTION("""COMPUTED_VALUE"""),643.0)</f>
        <v>643</v>
      </c>
      <c r="D71" s="15">
        <f>IFERROR(__xludf.DUMMYFUNCTION("""COMPUTED_VALUE"""),0.49404402200934006)</f>
        <v>0.494044022</v>
      </c>
      <c r="E71" s="15">
        <f>IFERROR(__xludf.DUMMYFUNCTION("""COMPUTED_VALUE"""),0.4378714837899169)</f>
        <v>0.4378714838</v>
      </c>
      <c r="F71" s="15">
        <f>IFERROR(__xludf.DUMMYFUNCTION("""COMPUTED_VALUE"""),0.931915505799257)</f>
        <v>0.9319155058</v>
      </c>
      <c r="G71" s="17">
        <f>IFERROR(__xludf.DUMMYFUNCTION("""COMPUTED_VALUE"""),0.5824477792025643)</f>
        <v>0.5824477792</v>
      </c>
      <c r="H71" s="4"/>
      <c r="I71" s="5" t="s">
        <v>1408</v>
      </c>
      <c r="J71" s="5" t="s">
        <v>1342</v>
      </c>
      <c r="K71" s="5">
        <v>518.0</v>
      </c>
      <c r="L71" s="5">
        <v>-0.52194</v>
      </c>
      <c r="M71" s="5">
        <v>1.66921</v>
      </c>
      <c r="N71" s="5">
        <v>1.14727</v>
      </c>
      <c r="O71" s="5">
        <v>0.49351</v>
      </c>
    </row>
    <row r="72">
      <c r="A72" s="18" t="str">
        <f>IFERROR(__xludf.DUMMYFUNCTION("""COMPUTED_VALUE"""),"Raphiael Putney")</f>
        <v>Raphiael Putney</v>
      </c>
      <c r="B72" s="19" t="str">
        <f>IFERROR(__xludf.DUMMYFUNCTION("""COMPUTED_VALUE"""),"CHA")</f>
        <v>CHA</v>
      </c>
      <c r="C72" s="20">
        <f>IFERROR(__xludf.DUMMYFUNCTION("""COMPUTED_VALUE"""),61.0)</f>
        <v>61</v>
      </c>
      <c r="D72" s="21">
        <f>IFERROR(__xludf.DUMMYFUNCTION("""COMPUTED_VALUE"""),0.26482995526028646)</f>
        <v>0.2648299553</v>
      </c>
      <c r="E72" s="21">
        <f>IFERROR(__xludf.DUMMYFUNCTION("""COMPUTED_VALUE"""),0.6602907692496582)</f>
        <v>0.6602907692</v>
      </c>
      <c r="F72" s="21">
        <f>IFERROR(__xludf.DUMMYFUNCTION("""COMPUTED_VALUE"""),0.9251207245099448)</f>
        <v>0.9251207245</v>
      </c>
      <c r="G72" s="23">
        <f>IFERROR(__xludf.DUMMYFUNCTION("""COMPUTED_VALUE"""),0.055414688793144436)</f>
        <v>0.05541468879</v>
      </c>
      <c r="H72" s="4"/>
      <c r="I72" s="5" t="s">
        <v>1409</v>
      </c>
      <c r="J72" s="5" t="s">
        <v>1338</v>
      </c>
      <c r="K72" s="24">
        <v>206.0</v>
      </c>
      <c r="L72" s="5">
        <v>1.24968</v>
      </c>
      <c r="M72" s="5">
        <v>-0.15909</v>
      </c>
      <c r="N72" s="5">
        <v>1.09059</v>
      </c>
      <c r="O72" s="5">
        <v>0.19438</v>
      </c>
    </row>
    <row r="73">
      <c r="A73" s="12" t="str">
        <f>IFERROR(__xludf.DUMMYFUNCTION("""COMPUTED_VALUE"""),"Valentin Bigote")</f>
        <v>Valentin Bigote</v>
      </c>
      <c r="B73" s="13" t="str">
        <f>IFERROR(__xludf.DUMMYFUNCTION("""COMPUTED_VALUE"""),"DIJ")</f>
        <v>DIJ</v>
      </c>
      <c r="C73" s="14">
        <f>IFERROR(__xludf.DUMMYFUNCTION("""COMPUTED_VALUE"""),792.0)</f>
        <v>792</v>
      </c>
      <c r="D73" s="15">
        <f>IFERROR(__xludf.DUMMYFUNCTION("""COMPUTED_VALUE"""),1.9689427752876951)</f>
        <v>1.968942775</v>
      </c>
      <c r="E73" s="15">
        <f>IFERROR(__xludf.DUMMYFUNCTION("""COMPUTED_VALUE"""),-1.088921164721021)</f>
        <v>-1.088921165</v>
      </c>
      <c r="F73" s="15">
        <f>IFERROR(__xludf.DUMMYFUNCTION("""COMPUTED_VALUE"""),0.880021610566674)</f>
        <v>0.8800216106</v>
      </c>
      <c r="G73" s="17">
        <f>IFERROR(__xludf.DUMMYFUNCTION("""COMPUTED_VALUE"""),0.6992560486857694)</f>
        <v>0.6992560487</v>
      </c>
      <c r="H73" s="4"/>
      <c r="I73" s="5" t="s">
        <v>1410</v>
      </c>
      <c r="J73" s="5" t="s">
        <v>1335</v>
      </c>
      <c r="K73" s="24">
        <v>1129.0</v>
      </c>
      <c r="L73" s="5">
        <v>1.14553</v>
      </c>
      <c r="M73" s="5">
        <v>-0.13443</v>
      </c>
      <c r="N73" s="5">
        <v>1.0111</v>
      </c>
      <c r="O73" s="5">
        <v>1.02997</v>
      </c>
    </row>
    <row r="74">
      <c r="A74" s="18" t="str">
        <f>IFERROR(__xludf.DUMMYFUNCTION("""COMPUTED_VALUE"""),"Gavin Ware")</f>
        <v>Gavin Ware</v>
      </c>
      <c r="B74" s="19" t="str">
        <f>IFERROR(__xludf.DUMMYFUNCTION("""COMPUTED_VALUE"""),"PLV")</f>
        <v>PLV</v>
      </c>
      <c r="C74" s="20">
        <f>IFERROR(__xludf.DUMMYFUNCTION("""COMPUTED_VALUE"""),695.0)</f>
        <v>695</v>
      </c>
      <c r="D74" s="21">
        <f>IFERROR(__xludf.DUMMYFUNCTION("""COMPUTED_VALUE"""),0.20457330330511359)</f>
        <v>0.2045733033</v>
      </c>
      <c r="E74" s="21">
        <f>IFERROR(__xludf.DUMMYFUNCTION("""COMPUTED_VALUE"""),0.6653128203043076)</f>
        <v>0.6653128203</v>
      </c>
      <c r="F74" s="21">
        <f>IFERROR(__xludf.DUMMYFUNCTION("""COMPUTED_VALUE"""),0.8698861236094212)</f>
        <v>0.8698861236</v>
      </c>
      <c r="G74" s="23">
        <f>IFERROR(__xludf.DUMMYFUNCTION("""COMPUTED_VALUE"""),0.616900778873044)</f>
        <v>0.6169007789</v>
      </c>
      <c r="H74" s="4"/>
      <c r="I74" s="5" t="s">
        <v>1411</v>
      </c>
      <c r="J74" s="5" t="s">
        <v>1317</v>
      </c>
      <c r="K74" s="5">
        <v>800.0</v>
      </c>
      <c r="L74" s="5">
        <v>1.29588</v>
      </c>
      <c r="M74" s="5">
        <v>-0.29916</v>
      </c>
      <c r="N74" s="5">
        <v>0.99672</v>
      </c>
      <c r="O74" s="5">
        <v>0.78292</v>
      </c>
    </row>
    <row r="75">
      <c r="A75" s="12" t="str">
        <f>IFERROR(__xludf.DUMMYFUNCTION("""COMPUTED_VALUE"""),"Myles Hesson")</f>
        <v>Myles Hesson</v>
      </c>
      <c r="B75" s="13" t="str">
        <f>IFERROR(__xludf.DUMMYFUNCTION("""COMPUTED_VALUE"""),"NAN")</f>
        <v>NAN</v>
      </c>
      <c r="C75" s="14">
        <f>IFERROR(__xludf.DUMMYFUNCTION("""COMPUTED_VALUE"""),108.0)</f>
        <v>108</v>
      </c>
      <c r="D75" s="15">
        <f>IFERROR(__xludf.DUMMYFUNCTION("""COMPUTED_VALUE"""),0.32032984560095934)</f>
        <v>0.3203298456</v>
      </c>
      <c r="E75" s="15">
        <f>IFERROR(__xludf.DUMMYFUNCTION("""COMPUTED_VALUE"""),0.5374760655739581)</f>
        <v>0.5374760656</v>
      </c>
      <c r="F75" s="15">
        <f>IFERROR(__xludf.DUMMYFUNCTION("""COMPUTED_VALUE"""),0.8578059111749174)</f>
        <v>0.8578059112</v>
      </c>
      <c r="G75" s="17">
        <f>IFERROR(__xludf.DUMMYFUNCTION("""COMPUTED_VALUE"""),0.0931283998210383)</f>
        <v>0.09312839982</v>
      </c>
      <c r="H75" s="4"/>
      <c r="I75" s="5" t="s">
        <v>1412</v>
      </c>
      <c r="J75" s="5" t="s">
        <v>1311</v>
      </c>
      <c r="K75" s="5">
        <v>263.0</v>
      </c>
      <c r="L75" s="5">
        <v>1.75316</v>
      </c>
      <c r="M75" s="5">
        <v>-0.81405</v>
      </c>
      <c r="N75" s="5">
        <v>0.9391</v>
      </c>
      <c r="O75" s="5">
        <v>0.2376</v>
      </c>
    </row>
    <row r="76">
      <c r="A76" s="18" t="str">
        <f>IFERROR(__xludf.DUMMYFUNCTION("""COMPUTED_VALUE"""),"Justin Harper")</f>
        <v>Justin Harper</v>
      </c>
      <c r="B76" s="19" t="str">
        <f>IFERROR(__xludf.DUMMYFUNCTION("""COMPUTED_VALUE"""),"LYV")</f>
        <v>LYV</v>
      </c>
      <c r="C76" s="20">
        <f>IFERROR(__xludf.DUMMYFUNCTION("""COMPUTED_VALUE"""),730.0)</f>
        <v>730</v>
      </c>
      <c r="D76" s="21">
        <f>IFERROR(__xludf.DUMMYFUNCTION("""COMPUTED_VALUE"""),1.945999670499813)</f>
        <v>1.94599967</v>
      </c>
      <c r="E76" s="21">
        <f>IFERROR(__xludf.DUMMYFUNCTION("""COMPUTED_VALUE"""),-1.123456028617877)</f>
        <v>-1.123456029</v>
      </c>
      <c r="F76" s="21">
        <f>IFERROR(__xludf.DUMMYFUNCTION("""COMPUTED_VALUE"""),0.8225436418819361)</f>
        <v>0.8225436419</v>
      </c>
      <c r="G76" s="23">
        <f>IFERROR(__xludf.DUMMYFUNCTION("""COMPUTED_VALUE"""),0.6239720393454828)</f>
        <v>0.6239720393</v>
      </c>
      <c r="H76" s="4"/>
      <c r="I76" s="5" t="s">
        <v>1413</v>
      </c>
      <c r="J76" s="5" t="s">
        <v>1365</v>
      </c>
      <c r="K76" s="5">
        <v>970.0</v>
      </c>
      <c r="L76" s="5">
        <v>3.00985</v>
      </c>
      <c r="M76" s="5">
        <v>-2.0728</v>
      </c>
      <c r="N76" s="5">
        <v>0.93705</v>
      </c>
      <c r="O76" s="5">
        <v>0.86833</v>
      </c>
    </row>
    <row r="77">
      <c r="A77" s="12" t="str">
        <f>IFERROR(__xludf.DUMMYFUNCTION("""COMPUTED_VALUE"""),"Maxime Courby")</f>
        <v>Maxime Courby</v>
      </c>
      <c r="B77" s="13" t="str">
        <f>IFERROR(__xludf.DUMMYFUNCTION("""COMPUTED_VALUE"""),"JLB")</f>
        <v>JLB</v>
      </c>
      <c r="C77" s="14">
        <f>IFERROR(__xludf.DUMMYFUNCTION("""COMPUTED_VALUE"""),783.0)</f>
        <v>783</v>
      </c>
      <c r="D77" s="15">
        <f>IFERROR(__xludf.DUMMYFUNCTION("""COMPUTED_VALUE"""),0.7014163360832938)</f>
        <v>0.7014163361</v>
      </c>
      <c r="E77" s="15">
        <f>IFERROR(__xludf.DUMMYFUNCTION("""COMPUTED_VALUE"""),0.11862104936582618)</f>
        <v>0.1186210494</v>
      </c>
      <c r="F77" s="15">
        <f>IFERROR(__xludf.DUMMYFUNCTION("""COMPUTED_VALUE"""),0.82003738544912)</f>
        <v>0.8200373854</v>
      </c>
      <c r="G77" s="17">
        <f>IFERROR(__xludf.DUMMYFUNCTION("""COMPUTED_VALUE"""),0.6741397619291161)</f>
        <v>0.6741397619</v>
      </c>
      <c r="H77" s="4"/>
      <c r="I77" s="5" t="s">
        <v>1414</v>
      </c>
      <c r="J77" s="5" t="s">
        <v>1332</v>
      </c>
      <c r="K77" s="5">
        <v>61.0</v>
      </c>
      <c r="L77" s="5">
        <v>0.25566</v>
      </c>
      <c r="M77" s="5">
        <v>0.66949</v>
      </c>
      <c r="N77" s="5">
        <v>0.92516</v>
      </c>
      <c r="O77" s="5">
        <v>0.05542</v>
      </c>
    </row>
    <row r="78">
      <c r="A78" s="18" t="str">
        <f>IFERROR(__xludf.DUMMYFUNCTION("""COMPUTED_VALUE"""),"Mike Dixon")</f>
        <v>Mike Dixon</v>
      </c>
      <c r="B78" s="19" t="str">
        <f>IFERROR(__xludf.DUMMYFUNCTION("""COMPUTED_VALUE"""),"STR")</f>
        <v>STR</v>
      </c>
      <c r="C78" s="20">
        <f>IFERROR(__xludf.DUMMYFUNCTION("""COMPUTED_VALUE"""),263.0)</f>
        <v>263</v>
      </c>
      <c r="D78" s="21">
        <f>IFERROR(__xludf.DUMMYFUNCTION("""COMPUTED_VALUE"""),1.8546352386311693)</f>
        <v>1.854635239</v>
      </c>
      <c r="E78" s="21">
        <f>IFERROR(__xludf.DUMMYFUNCTION("""COMPUTED_VALUE"""),-1.0438020051740904)</f>
        <v>-1.043802005</v>
      </c>
      <c r="F78" s="21">
        <f>IFERROR(__xludf.DUMMYFUNCTION("""COMPUTED_VALUE"""),0.8108332334570789)</f>
        <v>0.8108332335</v>
      </c>
      <c r="G78" s="23">
        <f>IFERROR(__xludf.DUMMYFUNCTION("""COMPUTED_VALUE"""),0.23152733497560748)</f>
        <v>0.231527335</v>
      </c>
      <c r="H78" s="4"/>
      <c r="I78" s="5" t="s">
        <v>1415</v>
      </c>
      <c r="J78" s="5" t="s">
        <v>1311</v>
      </c>
      <c r="K78" s="24">
        <v>339.0</v>
      </c>
      <c r="L78" s="5">
        <v>1.68097</v>
      </c>
      <c r="M78" s="5">
        <v>-0.76297</v>
      </c>
      <c r="N78" s="5">
        <v>0.918</v>
      </c>
      <c r="O78" s="5">
        <v>0.30406</v>
      </c>
    </row>
    <row r="79">
      <c r="A79" s="12" t="str">
        <f>IFERROR(__xludf.DUMMYFUNCTION("""COMPUTED_VALUE"""),"Haukur Palsson")</f>
        <v>Haukur Palsson</v>
      </c>
      <c r="B79" s="13" t="str">
        <f>IFERROR(__xludf.DUMMYFUNCTION("""COMPUTED_VALUE"""),"CHO")</f>
        <v>CHO</v>
      </c>
      <c r="C79" s="14">
        <f>IFERROR(__xludf.DUMMYFUNCTION("""COMPUTED_VALUE"""),766.0)</f>
        <v>766</v>
      </c>
      <c r="D79" s="15">
        <f>IFERROR(__xludf.DUMMYFUNCTION("""COMPUTED_VALUE"""),0.9423607526076103)</f>
        <v>0.9423607526</v>
      </c>
      <c r="E79" s="15">
        <f>IFERROR(__xludf.DUMMYFUNCTION("""COMPUTED_VALUE"""),-0.14315274820420643)</f>
        <v>-0.1431527482</v>
      </c>
      <c r="F79" s="15">
        <f>IFERROR(__xludf.DUMMYFUNCTION("""COMPUTED_VALUE"""),0.7992080044034039)</f>
        <v>0.7992080044</v>
      </c>
      <c r="G79" s="17">
        <f>IFERROR(__xludf.DUMMYFUNCTION("""COMPUTED_VALUE"""),0.6659593794343862)</f>
        <v>0.6659593794</v>
      </c>
      <c r="H79" s="4"/>
      <c r="I79" s="5" t="s">
        <v>1416</v>
      </c>
      <c r="J79" s="5" t="s">
        <v>1355</v>
      </c>
      <c r="K79" s="5">
        <v>695.0</v>
      </c>
      <c r="L79" s="5">
        <v>0.14941</v>
      </c>
      <c r="M79" s="5">
        <v>0.70283</v>
      </c>
      <c r="N79" s="5">
        <v>0.85223</v>
      </c>
      <c r="O79" s="5">
        <v>0.61311</v>
      </c>
    </row>
    <row r="80">
      <c r="A80" s="18" t="str">
        <f>IFERROR(__xludf.DUMMYFUNCTION("""COMPUTED_VALUE"""),"Heiko Schaffartzik")</f>
        <v>Heiko Schaffartzik</v>
      </c>
      <c r="B80" s="19" t="str">
        <f>IFERROR(__xludf.DUMMYFUNCTION("""COMPUTED_VALUE"""),"NAN")</f>
        <v>NAN</v>
      </c>
      <c r="C80" s="20">
        <f>IFERROR(__xludf.DUMMYFUNCTION("""COMPUTED_VALUE"""),1030.0)</f>
        <v>1030</v>
      </c>
      <c r="D80" s="21">
        <f>IFERROR(__xludf.DUMMYFUNCTION("""COMPUTED_VALUE"""),2.925895339426425)</f>
        <v>2.925895339</v>
      </c>
      <c r="E80" s="21">
        <f>IFERROR(__xludf.DUMMYFUNCTION("""COMPUTED_VALUE"""),-2.146440413892635)</f>
        <v>-2.146440414</v>
      </c>
      <c r="F80" s="21">
        <f>IFERROR(__xludf.DUMMYFUNCTION("""COMPUTED_VALUE"""),0.7794549255337899)</f>
        <v>0.7794549255</v>
      </c>
      <c r="G80" s="23">
        <f>IFERROR(__xludf.DUMMYFUNCTION("""COMPUTED_VALUE"""),0.8638185285289828)</f>
        <v>0.8638185285</v>
      </c>
      <c r="H80" s="4"/>
      <c r="I80" s="5" t="s">
        <v>1417</v>
      </c>
      <c r="J80" s="5" t="s">
        <v>1365</v>
      </c>
      <c r="K80" s="5">
        <v>108.0</v>
      </c>
      <c r="L80" s="5">
        <v>0.29841</v>
      </c>
      <c r="M80" s="5">
        <v>0.54557</v>
      </c>
      <c r="N80" s="5">
        <v>0.84398</v>
      </c>
      <c r="O80" s="5">
        <v>0.09362</v>
      </c>
    </row>
    <row r="81">
      <c r="A81" s="12" t="str">
        <f>IFERROR(__xludf.DUMMYFUNCTION("""COMPUTED_VALUE"""),"Elmedin Kikanovic")</f>
        <v>Elmedin Kikanovic</v>
      </c>
      <c r="B81" s="13" t="str">
        <f>IFERROR(__xludf.DUMMYFUNCTION("""COMPUTED_VALUE"""),"ASM")</f>
        <v>ASM</v>
      </c>
      <c r="C81" s="14">
        <f>IFERROR(__xludf.DUMMYFUNCTION("""COMPUTED_VALUE"""),1073.0)</f>
        <v>1073</v>
      </c>
      <c r="D81" s="15">
        <f>IFERROR(__xludf.DUMMYFUNCTION("""COMPUTED_VALUE"""),1.219284104326451)</f>
        <v>1.219284104</v>
      </c>
      <c r="E81" s="15">
        <f>IFERROR(__xludf.DUMMYFUNCTION("""COMPUTED_VALUE"""),-0.44261856592746573)</f>
        <v>-0.4426185659</v>
      </c>
      <c r="F81" s="15">
        <f>IFERROR(__xludf.DUMMYFUNCTION("""COMPUTED_VALUE"""),0.7766655383989853)</f>
        <v>0.7766655384</v>
      </c>
      <c r="G81" s="17">
        <f>IFERROR(__xludf.DUMMYFUNCTION("""COMPUTED_VALUE"""),0.9766536043509001)</f>
        <v>0.9766536044</v>
      </c>
      <c r="H81" s="4"/>
      <c r="I81" s="5" t="s">
        <v>1418</v>
      </c>
      <c r="J81" s="5" t="s">
        <v>1338</v>
      </c>
      <c r="K81" s="5">
        <v>783.0</v>
      </c>
      <c r="L81" s="5">
        <v>0.66008</v>
      </c>
      <c r="M81" s="5">
        <v>0.16318</v>
      </c>
      <c r="N81" s="5">
        <v>0.82327</v>
      </c>
      <c r="O81" s="5">
        <v>0.67491</v>
      </c>
    </row>
    <row r="82">
      <c r="A82" s="18" t="str">
        <f>IFERROR(__xludf.DUMMYFUNCTION("""COMPUTED_VALUE"""),"Toddrick Gotcher")</f>
        <v>Toddrick Gotcher</v>
      </c>
      <c r="B82" s="19" t="str">
        <f>IFERROR(__xludf.DUMMYFUNCTION("""COMPUTED_VALUE"""),"CHO")</f>
        <v>CHO</v>
      </c>
      <c r="C82" s="20">
        <f>IFERROR(__xludf.DUMMYFUNCTION("""COMPUTED_VALUE"""),877.0)</f>
        <v>877</v>
      </c>
      <c r="D82" s="21">
        <f>IFERROR(__xludf.DUMMYFUNCTION("""COMPUTED_VALUE"""),0.2641288618975408)</f>
        <v>0.2641288619</v>
      </c>
      <c r="E82" s="21">
        <f>IFERROR(__xludf.DUMMYFUNCTION("""COMPUTED_VALUE"""),0.4468016947175889)</f>
        <v>0.4468016947</v>
      </c>
      <c r="F82" s="21">
        <f>IFERROR(__xludf.DUMMYFUNCTION("""COMPUTED_VALUE"""),0.7109305566151297)</f>
        <v>0.7109305566</v>
      </c>
      <c r="G82" s="23">
        <f>IFERROR(__xludf.DUMMYFUNCTION("""COMPUTED_VALUE"""),0.7384171675997985)</f>
        <v>0.7384171676</v>
      </c>
      <c r="H82" s="4"/>
      <c r="I82" s="5" t="s">
        <v>1419</v>
      </c>
      <c r="J82" s="5" t="s">
        <v>1327</v>
      </c>
      <c r="K82" s="5">
        <v>504.0</v>
      </c>
      <c r="L82" s="5">
        <v>-1.32724</v>
      </c>
      <c r="M82" s="5">
        <v>2.14258</v>
      </c>
      <c r="N82" s="5">
        <v>0.81534</v>
      </c>
      <c r="O82" s="5">
        <v>0.45271</v>
      </c>
    </row>
    <row r="83">
      <c r="A83" s="12" t="str">
        <f>IFERROR(__xludf.DUMMYFUNCTION("""COMPUTED_VALUE"""),"Paul Carter")</f>
        <v>Paul Carter</v>
      </c>
      <c r="B83" s="13" t="str">
        <f>IFERROR(__xludf.DUMMYFUNCTION("""COMPUTED_VALUE"""),"RCB")</f>
        <v>RCB</v>
      </c>
      <c r="C83" s="14">
        <f>IFERROR(__xludf.DUMMYFUNCTION("""COMPUTED_VALUE"""),283.0)</f>
        <v>283</v>
      </c>
      <c r="D83" s="15">
        <f>IFERROR(__xludf.DUMMYFUNCTION("""COMPUTED_VALUE"""),0.14643337630346728)</f>
        <v>0.1464333763</v>
      </c>
      <c r="E83" s="15">
        <f>IFERROR(__xludf.DUMMYFUNCTION("""COMPUTED_VALUE"""),0.5031437962392518)</f>
        <v>0.5031437962</v>
      </c>
      <c r="F83" s="15">
        <f>IFERROR(__xludf.DUMMYFUNCTION("""COMPUTED_VALUE"""),0.6495771725427191)</f>
        <v>0.6495771725</v>
      </c>
      <c r="G83" s="17">
        <f>IFERROR(__xludf.DUMMYFUNCTION("""COMPUTED_VALUE"""),0.2286068109236553)</f>
        <v>0.2286068109</v>
      </c>
      <c r="H83" s="4"/>
      <c r="I83" s="5" t="s">
        <v>1420</v>
      </c>
      <c r="J83" s="5" t="s">
        <v>1375</v>
      </c>
      <c r="K83" s="5">
        <v>766.0</v>
      </c>
      <c r="L83" s="5">
        <v>0.89812</v>
      </c>
      <c r="M83" s="5">
        <v>-0.09815</v>
      </c>
      <c r="N83" s="5">
        <v>0.79997</v>
      </c>
      <c r="O83" s="5">
        <v>0.66614</v>
      </c>
    </row>
    <row r="84">
      <c r="A84" s="18" t="str">
        <f>IFERROR(__xludf.DUMMYFUNCTION("""COMPUTED_VALUE"""),"Pape-Philippe Amagou")</f>
        <v>Pape-Philippe Amagou</v>
      </c>
      <c r="B84" s="19" t="str">
        <f>IFERROR(__xludf.DUMMYFUNCTION("""COMPUTED_VALUE"""),"LEM")</f>
        <v>LEM</v>
      </c>
      <c r="C84" s="20">
        <f>IFERROR(__xludf.DUMMYFUNCTION("""COMPUTED_VALUE"""),139.0)</f>
        <v>139</v>
      </c>
      <c r="D84" s="21">
        <f>IFERROR(__xludf.DUMMYFUNCTION("""COMPUTED_VALUE"""),1.0230894161600221)</f>
        <v>1.023089416</v>
      </c>
      <c r="E84" s="21">
        <f>IFERROR(__xludf.DUMMYFUNCTION("""COMPUTED_VALUE"""),-0.4282677424909086)</f>
        <v>-0.4282677425</v>
      </c>
      <c r="F84" s="21">
        <f>IFERROR(__xludf.DUMMYFUNCTION("""COMPUTED_VALUE"""),0.5948216736691135)</f>
        <v>0.5948216737</v>
      </c>
      <c r="G84" s="23">
        <f>IFERROR(__xludf.DUMMYFUNCTION("""COMPUTED_VALUE"""),0.1090930561431258)</f>
        <v>0.1090930561</v>
      </c>
      <c r="H84" s="4"/>
      <c r="I84" s="5" t="s">
        <v>1421</v>
      </c>
      <c r="J84" s="5" t="s">
        <v>1335</v>
      </c>
      <c r="K84" s="5">
        <v>133.0</v>
      </c>
      <c r="L84" s="5">
        <v>1.10605</v>
      </c>
      <c r="M84" s="5">
        <v>-0.33546</v>
      </c>
      <c r="N84" s="5">
        <v>0.77059</v>
      </c>
      <c r="O84" s="5">
        <v>0.11164</v>
      </c>
    </row>
    <row r="85">
      <c r="A85" s="12" t="str">
        <f>IFERROR(__xludf.DUMMYFUNCTION("""COMPUTED_VALUE"""),"Florent Pietrus")</f>
        <v>Florent Pietrus</v>
      </c>
      <c r="B85" s="13" t="str">
        <f>IFERROR(__xludf.DUMMYFUNCTION("""COMPUTED_VALUE"""),"STR")</f>
        <v>STR</v>
      </c>
      <c r="C85" s="14">
        <f>IFERROR(__xludf.DUMMYFUNCTION("""COMPUTED_VALUE"""),180.0)</f>
        <v>180</v>
      </c>
      <c r="D85" s="15">
        <f>IFERROR(__xludf.DUMMYFUNCTION("""COMPUTED_VALUE"""),-1.4489719281856097)</f>
        <v>-1.448971928</v>
      </c>
      <c r="E85" s="15">
        <f>IFERROR(__xludf.DUMMYFUNCTION("""COMPUTED_VALUE"""),2.03082564750488)</f>
        <v>2.030825648</v>
      </c>
      <c r="F85" s="15">
        <f>IFERROR(__xludf.DUMMYFUNCTION("""COMPUTED_VALUE"""),0.5818537193192701)</f>
        <v>0.5818537193</v>
      </c>
      <c r="G85" s="17">
        <f>IFERROR(__xludf.DUMMYFUNCTION("""COMPUTED_VALUE"""),0.14555113031236994)</f>
        <v>0.1455511303</v>
      </c>
      <c r="H85" s="4"/>
      <c r="I85" s="5" t="s">
        <v>1422</v>
      </c>
      <c r="J85" s="5" t="s">
        <v>1335</v>
      </c>
      <c r="K85" s="5">
        <v>482.0</v>
      </c>
      <c r="L85" s="5">
        <v>-2.36565</v>
      </c>
      <c r="M85" s="5">
        <v>3.1218</v>
      </c>
      <c r="N85" s="5">
        <v>0.75616</v>
      </c>
      <c r="O85" s="5">
        <v>0.40249</v>
      </c>
    </row>
    <row r="86">
      <c r="A86" s="18" t="str">
        <f>IFERROR(__xludf.DUMMYFUNCTION("""COMPUTED_VALUE"""),"Youssoupha Fall")</f>
        <v>Youssoupha Fall</v>
      </c>
      <c r="B86" s="19" t="str">
        <f>IFERROR(__xludf.DUMMYFUNCTION("""COMPUTED_VALUE"""),"LEM")</f>
        <v>LEM</v>
      </c>
      <c r="C86" s="20">
        <f>IFERROR(__xludf.DUMMYFUNCTION("""COMPUTED_VALUE"""),974.0)</f>
        <v>974</v>
      </c>
      <c r="D86" s="21">
        <f>IFERROR(__xludf.DUMMYFUNCTION("""COMPUTED_VALUE"""),-0.4120130400713018)</f>
        <v>-0.4120130401</v>
      </c>
      <c r="E86" s="21">
        <f>IFERROR(__xludf.DUMMYFUNCTION("""COMPUTED_VALUE"""),0.9853404426020105)</f>
        <v>0.9853404426</v>
      </c>
      <c r="F86" s="21">
        <f>IFERROR(__xludf.DUMMYFUNCTION("""COMPUTED_VALUE"""),0.5733274025307087)</f>
        <v>0.5733274025</v>
      </c>
      <c r="G86" s="23">
        <f>IFERROR(__xludf.DUMMYFUNCTION("""COMPUTED_VALUE"""),0.7581040081926173)</f>
        <v>0.7581040082</v>
      </c>
      <c r="H86" s="4"/>
      <c r="I86" s="5" t="s">
        <v>1423</v>
      </c>
      <c r="J86" s="5" t="s">
        <v>1375</v>
      </c>
      <c r="K86" s="24">
        <v>877.0</v>
      </c>
      <c r="L86" s="5">
        <v>0.21852</v>
      </c>
      <c r="M86" s="5">
        <v>0.49205</v>
      </c>
      <c r="N86" s="5">
        <v>0.71056</v>
      </c>
      <c r="O86" s="5">
        <v>0.73832</v>
      </c>
    </row>
    <row r="87">
      <c r="A87" s="12" t="str">
        <f>IFERROR(__xludf.DUMMYFUNCTION("""COMPUTED_VALUE"""),"Justin Cobbs")</f>
        <v>Justin Cobbs</v>
      </c>
      <c r="B87" s="13" t="str">
        <f>IFERROR(__xludf.DUMMYFUNCTION("""COMPUTED_VALUE"""),"LEM")</f>
        <v>LEM</v>
      </c>
      <c r="C87" s="14">
        <f>IFERROR(__xludf.DUMMYFUNCTION("""COMPUTED_VALUE"""),1556.0)</f>
        <v>1556</v>
      </c>
      <c r="D87" s="15">
        <f>IFERROR(__xludf.DUMMYFUNCTION("""COMPUTED_VALUE"""),0.869080087114222)</f>
        <v>0.8690800871</v>
      </c>
      <c r="E87" s="15">
        <f>IFERROR(__xludf.DUMMYFUNCTION("""COMPUTED_VALUE"""),-0.34750376263228866)</f>
        <v>-0.3475037626</v>
      </c>
      <c r="F87" s="15">
        <f>IFERROR(__xludf.DUMMYFUNCTION("""COMPUTED_VALUE"""),0.5215763244819334)</f>
        <v>0.5215763245</v>
      </c>
      <c r="G87" s="17">
        <f>IFERROR(__xludf.DUMMYFUNCTION("""COMPUTED_VALUE"""),1.1867425172920572)</f>
        <v>1.186742517</v>
      </c>
      <c r="H87" s="4"/>
      <c r="I87" s="5" t="s">
        <v>1424</v>
      </c>
      <c r="J87" s="5" t="s">
        <v>1308</v>
      </c>
      <c r="K87" s="5">
        <v>763.0</v>
      </c>
      <c r="L87" s="5">
        <v>1.60055</v>
      </c>
      <c r="M87" s="5">
        <v>-0.93444</v>
      </c>
      <c r="N87" s="5">
        <v>0.66611</v>
      </c>
      <c r="O87" s="5">
        <v>0.62264</v>
      </c>
    </row>
    <row r="88">
      <c r="A88" s="18" t="str">
        <f>IFERROR(__xludf.DUMMYFUNCTION("""COMPUTED_VALUE"""),"Mohamed Hachad")</f>
        <v>Mohamed Hachad</v>
      </c>
      <c r="B88" s="19" t="str">
        <f>IFERROR(__xludf.DUMMYFUNCTION("""COMPUTED_VALUE"""),"PORT")</f>
        <v>PORT</v>
      </c>
      <c r="C88" s="20">
        <f>IFERROR(__xludf.DUMMYFUNCTION("""COMPUTED_VALUE"""),818.0)</f>
        <v>818</v>
      </c>
      <c r="D88" s="21">
        <f>IFERROR(__xludf.DUMMYFUNCTION("""COMPUTED_VALUE"""),-2.453954650079229)</f>
        <v>-2.45395465</v>
      </c>
      <c r="E88" s="21">
        <f>IFERROR(__xludf.DUMMYFUNCTION("""COMPUTED_VALUE"""),2.9567620297191075)</f>
        <v>2.95676203</v>
      </c>
      <c r="F88" s="21">
        <f>IFERROR(__xludf.DUMMYFUNCTION("""COMPUTED_VALUE"""),0.5028073796398782)</f>
        <v>0.5028073796</v>
      </c>
      <c r="G88" s="23">
        <f>IFERROR(__xludf.DUMMYFUNCTION("""COMPUTED_VALUE"""),0.6200723230642298)</f>
        <v>0.6200723231</v>
      </c>
      <c r="H88" s="4"/>
      <c r="I88" s="5" t="s">
        <v>1425</v>
      </c>
      <c r="J88" s="5" t="s">
        <v>1367</v>
      </c>
      <c r="K88" s="5">
        <v>283.0</v>
      </c>
      <c r="L88" s="5">
        <v>0.10315</v>
      </c>
      <c r="M88" s="5">
        <v>0.54587</v>
      </c>
      <c r="N88" s="5">
        <v>0.64902</v>
      </c>
      <c r="O88" s="5">
        <v>0.22856</v>
      </c>
    </row>
    <row r="89">
      <c r="A89" s="12" t="str">
        <f>IFERROR(__xludf.DUMMYFUNCTION("""COMPUTED_VALUE"""),"Erik Murphy")</f>
        <v>Erik Murphy</v>
      </c>
      <c r="B89" s="13" t="str">
        <f>IFERROR(__xludf.DUMMYFUNCTION("""COMPUTED_VALUE"""),"NAN")</f>
        <v>NAN</v>
      </c>
      <c r="C89" s="14">
        <f>IFERROR(__xludf.DUMMYFUNCTION("""COMPUTED_VALUE"""),230.0)</f>
        <v>230</v>
      </c>
      <c r="D89" s="15">
        <f>IFERROR(__xludf.DUMMYFUNCTION("""COMPUTED_VALUE"""),0.7879935157565086)</f>
        <v>0.7879935158</v>
      </c>
      <c r="E89" s="15">
        <f>IFERROR(__xludf.DUMMYFUNCTION("""COMPUTED_VALUE"""),-0.410332607336549)</f>
        <v>-0.4103326073</v>
      </c>
      <c r="F89" s="15">
        <f>IFERROR(__xludf.DUMMYFUNCTION("""COMPUTED_VALUE"""),0.37766090841995953)</f>
        <v>0.3776609084</v>
      </c>
      <c r="G89" s="17">
        <f>IFERROR(__xludf.DUMMYFUNCTION("""COMPUTED_VALUE"""),0.16500739520339672)</f>
        <v>0.1650073952</v>
      </c>
      <c r="H89" s="4"/>
      <c r="I89" s="5" t="s">
        <v>1426</v>
      </c>
      <c r="J89" s="5" t="s">
        <v>1369</v>
      </c>
      <c r="K89" s="5">
        <v>620.0</v>
      </c>
      <c r="L89" s="5">
        <v>0.05728</v>
      </c>
      <c r="M89" s="5">
        <v>0.53619</v>
      </c>
      <c r="N89" s="5">
        <v>0.59347</v>
      </c>
      <c r="O89" s="5">
        <v>0.49697</v>
      </c>
    </row>
    <row r="90">
      <c r="A90" s="18" t="str">
        <f>IFERROR(__xludf.DUMMYFUNCTION("""COMPUTED_VALUE"""),"Jean-Frederic Morency")</f>
        <v>Jean-Frederic Morency</v>
      </c>
      <c r="B90" s="19" t="str">
        <f>IFERROR(__xludf.DUMMYFUNCTION("""COMPUTED_VALUE"""),"CSP")</f>
        <v>CSP</v>
      </c>
      <c r="C90" s="20">
        <f>IFERROR(__xludf.DUMMYFUNCTION("""COMPUTED_VALUE"""),556.0)</f>
        <v>556</v>
      </c>
      <c r="D90" s="21">
        <f>IFERROR(__xludf.DUMMYFUNCTION("""COMPUTED_VALUE"""),-1.6225048631089882)</f>
        <v>-1.622504863</v>
      </c>
      <c r="E90" s="21">
        <f>IFERROR(__xludf.DUMMYFUNCTION("""COMPUTED_VALUE"""),1.9738333142632107)</f>
        <v>1.973833314</v>
      </c>
      <c r="F90" s="21">
        <f>IFERROR(__xludf.DUMMYFUNCTION("""COMPUTED_VALUE"""),0.3513284511542225)</f>
        <v>0.3513284512</v>
      </c>
      <c r="G90" s="23">
        <f>IFERROR(__xludf.DUMMYFUNCTION("""COMPUTED_VALUE"""),0.4177154356013361)</f>
        <v>0.4177154356</v>
      </c>
      <c r="H90" s="4"/>
      <c r="I90" s="5" t="s">
        <v>1427</v>
      </c>
      <c r="J90" s="5" t="s">
        <v>1348</v>
      </c>
      <c r="K90" s="5">
        <v>818.0</v>
      </c>
      <c r="L90" s="5">
        <v>-2.49781</v>
      </c>
      <c r="M90" s="5">
        <v>3.0017</v>
      </c>
      <c r="N90" s="5">
        <v>0.50388</v>
      </c>
      <c r="O90" s="5">
        <v>0.62034</v>
      </c>
    </row>
    <row r="91">
      <c r="A91" s="12" t="str">
        <f>IFERROR(__xludf.DUMMYFUNCTION("""COMPUTED_VALUE"""),"Junior Zero")</f>
        <v>Junior Zero</v>
      </c>
      <c r="B91" s="13" t="str">
        <f>IFERROR(__xludf.DUMMYFUNCTION("""COMPUTED_VALUE"""),"LEM")</f>
        <v>LEM</v>
      </c>
      <c r="C91" s="14">
        <f>IFERROR(__xludf.DUMMYFUNCTION("""COMPUTED_VALUE"""),9.0)</f>
        <v>9</v>
      </c>
      <c r="D91" s="15">
        <f>IFERROR(__xludf.DUMMYFUNCTION("""COMPUTED_VALUE"""),0.2771155642671926)</f>
        <v>0.2771155643</v>
      </c>
      <c r="E91" s="15">
        <f>IFERROR(__xludf.DUMMYFUNCTION("""COMPUTED_VALUE"""),0.06570956576000875)</f>
        <v>0.06570956576</v>
      </c>
      <c r="F91" s="15">
        <f>IFERROR(__xludf.DUMMYFUNCTION("""COMPUTED_VALUE"""),0.34282513002720133)</f>
        <v>0.34282513</v>
      </c>
      <c r="G91" s="17">
        <f>IFERROR(__xludf.DUMMYFUNCTION("""COMPUTED_VALUE"""),0.006377598494121282)</f>
        <v>0.006377598494</v>
      </c>
      <c r="H91" s="4"/>
      <c r="I91" s="5" t="s">
        <v>1428</v>
      </c>
      <c r="J91" s="5" t="s">
        <v>1311</v>
      </c>
      <c r="K91" s="5">
        <v>691.0</v>
      </c>
      <c r="L91" s="5">
        <v>-0.74212</v>
      </c>
      <c r="M91" s="5">
        <v>1.21231</v>
      </c>
      <c r="N91" s="5">
        <v>0.47018</v>
      </c>
      <c r="O91" s="5">
        <v>0.52467</v>
      </c>
    </row>
    <row r="92">
      <c r="A92" s="18" t="str">
        <f>IFERROR(__xludf.DUMMYFUNCTION("""COMPUTED_VALUE"""),"Dylan Affo Mama")</f>
        <v>Dylan Affo Mama</v>
      </c>
      <c r="B92" s="19" t="str">
        <f>IFERROR(__xludf.DUMMYFUNCTION("""COMPUTED_VALUE"""),"BBD")</f>
        <v>BBD</v>
      </c>
      <c r="C92" s="20">
        <f>IFERROR(__xludf.DUMMYFUNCTION("""COMPUTED_VALUE"""),5.0)</f>
        <v>5</v>
      </c>
      <c r="D92" s="21">
        <f>IFERROR(__xludf.DUMMYFUNCTION("""COMPUTED_VALUE"""),-0.09172390622719236)</f>
        <v>-0.09172390623</v>
      </c>
      <c r="E92" s="21">
        <f>IFERROR(__xludf.DUMMYFUNCTION("""COMPUTED_VALUE"""),0.342150591948285)</f>
        <v>0.3421505919</v>
      </c>
      <c r="F92" s="21">
        <f>IFERROR(__xludf.DUMMYFUNCTION("""COMPUTED_VALUE"""),0.25042668572109267)</f>
        <v>0.2504266857</v>
      </c>
      <c r="G92" s="23">
        <f>IFERROR(__xludf.DUMMYFUNCTION("""COMPUTED_VALUE"""),0.003491124429790876)</f>
        <v>0.00349112443</v>
      </c>
      <c r="H92" s="4"/>
      <c r="I92" s="5" t="s">
        <v>1429</v>
      </c>
      <c r="J92" s="5" t="s">
        <v>1342</v>
      </c>
      <c r="K92" s="5">
        <v>740.0</v>
      </c>
      <c r="L92" s="5">
        <v>3.57134</v>
      </c>
      <c r="M92" s="5">
        <v>-3.10926</v>
      </c>
      <c r="N92" s="5">
        <v>0.46207</v>
      </c>
      <c r="O92" s="5">
        <v>0.55153</v>
      </c>
    </row>
    <row r="93">
      <c r="A93" s="12" t="str">
        <f>IFERROR(__xludf.DUMMYFUNCTION("""COMPUTED_VALUE"""),"Jeremy Leloup")</f>
        <v>Jeremy Leloup</v>
      </c>
      <c r="B93" s="13" t="str">
        <f>IFERROR(__xludf.DUMMYFUNCTION("""COMPUTED_VALUE"""),"STR")</f>
        <v>STR</v>
      </c>
      <c r="C93" s="14">
        <f>IFERROR(__xludf.DUMMYFUNCTION("""COMPUTED_VALUE"""),814.0)</f>
        <v>814</v>
      </c>
      <c r="D93" s="15">
        <f>IFERROR(__xludf.DUMMYFUNCTION("""COMPUTED_VALUE"""),-0.7395329785149349)</f>
        <v>-0.7395329785</v>
      </c>
      <c r="E93" s="15">
        <f>IFERROR(__xludf.DUMMYFUNCTION("""COMPUTED_VALUE"""),0.9425028419223329)</f>
        <v>0.9425028419</v>
      </c>
      <c r="F93" s="15">
        <f>IFERROR(__xludf.DUMMYFUNCTION("""COMPUTED_VALUE"""),0.20296986340739798)</f>
        <v>0.2029698634</v>
      </c>
      <c r="G93" s="17">
        <f>IFERROR(__xludf.DUMMYFUNCTION("""COMPUTED_VALUE"""),0.5616223799217624)</f>
        <v>0.5616223799</v>
      </c>
      <c r="H93" s="4"/>
      <c r="I93" s="5" t="s">
        <v>1430</v>
      </c>
      <c r="J93" s="5" t="s">
        <v>1335</v>
      </c>
      <c r="K93" s="5">
        <v>740.0</v>
      </c>
      <c r="L93" s="5">
        <v>-0.38715</v>
      </c>
      <c r="M93" s="5">
        <v>0.84042</v>
      </c>
      <c r="N93" s="5">
        <v>0.45327</v>
      </c>
      <c r="O93" s="5">
        <v>0.55002</v>
      </c>
    </row>
    <row r="94">
      <c r="A94" s="18" t="str">
        <f>IFERROR(__xludf.DUMMYFUNCTION("""COMPUTED_VALUE"""),"Lucas Bourhis")</f>
        <v>Lucas Bourhis</v>
      </c>
      <c r="B94" s="19" t="str">
        <f>IFERROR(__xludf.DUMMYFUNCTION("""COMPUTED_VALUE"""),"GRV")</f>
        <v>GRV</v>
      </c>
      <c r="C94" s="20">
        <f>IFERROR(__xludf.DUMMYFUNCTION("""COMPUTED_VALUE"""),21.0)</f>
        <v>21</v>
      </c>
      <c r="D94" s="21">
        <f>IFERROR(__xludf.DUMMYFUNCTION("""COMPUTED_VALUE"""),0.4235584685351382)</f>
        <v>0.4235584685</v>
      </c>
      <c r="E94" s="21">
        <f>IFERROR(__xludf.DUMMYFUNCTION("""COMPUTED_VALUE"""),-0.23657180172391581)</f>
        <v>-0.2365718017</v>
      </c>
      <c r="F94" s="21">
        <f>IFERROR(__xludf.DUMMYFUNCTION("""COMPUTED_VALUE"""),0.18698666681122236)</f>
        <v>0.1869866668</v>
      </c>
      <c r="G94" s="23">
        <f>IFERROR(__xludf.DUMMYFUNCTION("""COMPUTED_VALUE"""),0.014669511557269057)</f>
        <v>0.01466951156</v>
      </c>
      <c r="H94" s="4"/>
      <c r="I94" s="5" t="s">
        <v>1431</v>
      </c>
      <c r="J94" s="5" t="s">
        <v>1335</v>
      </c>
      <c r="K94" s="5">
        <v>8.0</v>
      </c>
      <c r="L94" s="5">
        <v>0.29061</v>
      </c>
      <c r="M94" s="5">
        <v>0.0822</v>
      </c>
      <c r="N94" s="5">
        <v>0.3728</v>
      </c>
      <c r="O94" s="5">
        <v>0.00575</v>
      </c>
    </row>
    <row r="95">
      <c r="A95" s="12" t="str">
        <f>IFERROR(__xludf.DUMMYFUNCTION("""COMPUTED_VALUE"""),"Petr Cornelie")</f>
        <v>Petr Cornelie</v>
      </c>
      <c r="B95" s="13" t="str">
        <f>IFERROR(__xludf.DUMMYFUNCTION("""COMPUTED_VALUE"""),"PLV")</f>
        <v>PLV</v>
      </c>
      <c r="C95" s="14">
        <f>IFERROR(__xludf.DUMMYFUNCTION("""COMPUTED_VALUE"""),365.0)</f>
        <v>365</v>
      </c>
      <c r="D95" s="15">
        <f>IFERROR(__xludf.DUMMYFUNCTION("""COMPUTED_VALUE"""),-1.3272398727833887)</f>
        <v>-1.327239873</v>
      </c>
      <c r="E95" s="15">
        <f>IFERROR(__xludf.DUMMYFUNCTION("""COMPUTED_VALUE"""),1.5120622124923102)</f>
        <v>1.512062212</v>
      </c>
      <c r="F95" s="15">
        <f>IFERROR(__xludf.DUMMYFUNCTION("""COMPUTED_VALUE"""),0.18482233970892156)</f>
        <v>0.1848223397</v>
      </c>
      <c r="G95" s="17">
        <f>IFERROR(__xludf.DUMMYFUNCTION("""COMPUTED_VALUE"""),0.24664643457596086)</f>
        <v>0.2466464346</v>
      </c>
      <c r="H95" s="4"/>
      <c r="I95" s="5" t="s">
        <v>1432</v>
      </c>
      <c r="J95" s="5" t="s">
        <v>1365</v>
      </c>
      <c r="K95" s="5">
        <v>230.0</v>
      </c>
      <c r="L95" s="5">
        <v>0.7414</v>
      </c>
      <c r="M95" s="5">
        <v>-0.39312</v>
      </c>
      <c r="N95" s="5">
        <v>0.34829</v>
      </c>
      <c r="O95" s="5">
        <v>0.16462</v>
      </c>
    </row>
    <row r="96">
      <c r="A96" s="18" t="str">
        <f>IFERROR(__xludf.DUMMYFUNCTION("""COMPUTED_VALUE"""),"Moses Ehambe")</f>
        <v>Moses Ehambe</v>
      </c>
      <c r="B96" s="19" t="str">
        <f>IFERROR(__xludf.DUMMYFUNCTION("""COMPUTED_VALUE"""),"PORT")</f>
        <v>PORT</v>
      </c>
      <c r="C96" s="20">
        <f>IFERROR(__xludf.DUMMYFUNCTION("""COMPUTED_VALUE"""),158.0)</f>
        <v>158</v>
      </c>
      <c r="D96" s="21">
        <f>IFERROR(__xludf.DUMMYFUNCTION("""COMPUTED_VALUE"""),0.8816745432935894)</f>
        <v>0.8816745433</v>
      </c>
      <c r="E96" s="21">
        <f>IFERROR(__xludf.DUMMYFUNCTION("""COMPUTED_VALUE"""),-0.7029482017764063)</f>
        <v>-0.7029482018</v>
      </c>
      <c r="F96" s="21">
        <f>IFERROR(__xludf.DUMMYFUNCTION("""COMPUTED_VALUE"""),0.1787263415171831)</f>
        <v>0.1787263415</v>
      </c>
      <c r="G96" s="23">
        <f>IFERROR(__xludf.DUMMYFUNCTION("""COMPUTED_VALUE"""),0.10426088035267249)</f>
        <v>0.1042608804</v>
      </c>
      <c r="H96" s="4"/>
      <c r="I96" s="5" t="s">
        <v>1433</v>
      </c>
      <c r="J96" s="5" t="s">
        <v>1311</v>
      </c>
      <c r="K96" s="5">
        <v>769.0</v>
      </c>
      <c r="L96" s="5">
        <v>-2.19841</v>
      </c>
      <c r="M96" s="5">
        <v>2.50014</v>
      </c>
      <c r="N96" s="5">
        <v>0.30173</v>
      </c>
      <c r="O96" s="5">
        <v>0.54407</v>
      </c>
    </row>
    <row r="97">
      <c r="A97" s="12" t="str">
        <f>IFERROR(__xludf.DUMMYFUNCTION("""COMPUTED_VALUE"""),"Romeo Travis")</f>
        <v>Romeo Travis</v>
      </c>
      <c r="B97" s="13" t="str">
        <f>IFERROR(__xludf.DUMMYFUNCTION("""COMPUTED_VALUE"""),"LEM")</f>
        <v>LEM</v>
      </c>
      <c r="C97" s="14">
        <f>IFERROR(__xludf.DUMMYFUNCTION("""COMPUTED_VALUE"""),1277.0)</f>
        <v>1277</v>
      </c>
      <c r="D97" s="15">
        <f>IFERROR(__xludf.DUMMYFUNCTION("""COMPUTED_VALUE"""),-1.1767866856756286)</f>
        <v>-1.176786686</v>
      </c>
      <c r="E97" s="15">
        <f>IFERROR(__xludf.DUMMYFUNCTION("""COMPUTED_VALUE"""),1.352342682463293)</f>
        <v>1.352342682</v>
      </c>
      <c r="F97" s="15">
        <f>IFERROR(__xludf.DUMMYFUNCTION("""COMPUTED_VALUE"""),0.17555599678766431)</f>
        <v>0.1755559968</v>
      </c>
      <c r="G97" s="17">
        <f>IFERROR(__xludf.DUMMYFUNCTION("""COMPUTED_VALUE"""),0.8403030785198456)</f>
        <v>0.8403030785</v>
      </c>
      <c r="H97" s="4"/>
      <c r="I97" s="5" t="s">
        <v>1434</v>
      </c>
      <c r="J97" s="5" t="s">
        <v>1384</v>
      </c>
      <c r="K97" s="5">
        <v>5.0</v>
      </c>
      <c r="L97" s="5">
        <v>-0.09241</v>
      </c>
      <c r="M97" s="5">
        <v>0.34289</v>
      </c>
      <c r="N97" s="5">
        <v>0.25048</v>
      </c>
      <c r="O97" s="5">
        <v>0.00349</v>
      </c>
    </row>
    <row r="98">
      <c r="A98" s="18" t="str">
        <f>IFERROR(__xludf.DUMMYFUNCTION("""COMPUTED_VALUE"""),"Matthias Flosse")</f>
        <v>Matthias Flosse</v>
      </c>
      <c r="B98" s="19" t="str">
        <f>IFERROR(__xludf.DUMMYFUNCTION("""COMPUTED_VALUE"""),"GRV")</f>
        <v>GRV</v>
      </c>
      <c r="C98" s="20">
        <f>IFERROR(__xludf.DUMMYFUNCTION("""COMPUTED_VALUE"""),3.0)</f>
        <v>3</v>
      </c>
      <c r="D98" s="21">
        <f>IFERROR(__xludf.DUMMYFUNCTION("""COMPUTED_VALUE"""),0.222289327587956)</f>
        <v>0.2222893276</v>
      </c>
      <c r="E98" s="21">
        <f>IFERROR(__xludf.DUMMYFUNCTION("""COMPUTED_VALUE"""),-0.0668443074494681)</f>
        <v>-0.06684430745</v>
      </c>
      <c r="F98" s="21">
        <f>IFERROR(__xludf.DUMMYFUNCTION("""COMPUTED_VALUE"""),0.1554450201384879)</f>
        <v>0.1554450201</v>
      </c>
      <c r="G98" s="23">
        <f>IFERROR(__xludf.DUMMYFUNCTION("""COMPUTED_VALUE"""),0.002065420236752566)</f>
        <v>0.002065420237</v>
      </c>
      <c r="H98" s="4"/>
      <c r="I98" s="5" t="s">
        <v>1435</v>
      </c>
      <c r="J98" s="5" t="s">
        <v>1369</v>
      </c>
      <c r="K98" s="24">
        <v>825.0</v>
      </c>
      <c r="L98" s="5">
        <v>1.33758</v>
      </c>
      <c r="M98" s="5">
        <v>-1.09928</v>
      </c>
      <c r="N98" s="5">
        <v>0.2383</v>
      </c>
      <c r="O98" s="5">
        <v>0.57073</v>
      </c>
    </row>
    <row r="99">
      <c r="A99" s="12" t="str">
        <f>IFERROR(__xludf.DUMMYFUNCTION("""COMPUTED_VALUE"""),"Lance Harris")</f>
        <v>Lance Harris</v>
      </c>
      <c r="B99" s="13" t="str">
        <f>IFERROR(__xludf.DUMMYFUNCTION("""COMPUTED_VALUE"""),"CHA")</f>
        <v>CHA</v>
      </c>
      <c r="C99" s="14">
        <f>IFERROR(__xludf.DUMMYFUNCTION("""COMPUTED_VALUE"""),862.0)</f>
        <v>862</v>
      </c>
      <c r="D99" s="15">
        <f>IFERROR(__xludf.DUMMYFUNCTION("""COMPUTED_VALUE"""),2.3691591456507863)</f>
        <v>2.369159146</v>
      </c>
      <c r="E99" s="15">
        <f>IFERROR(__xludf.DUMMYFUNCTION("""COMPUTED_VALUE"""),-2.216085819906153)</f>
        <v>-2.21608582</v>
      </c>
      <c r="F99" s="15">
        <f>IFERROR(__xludf.DUMMYFUNCTION("""COMPUTED_VALUE"""),0.15307332574463361)</f>
        <v>0.1530733257</v>
      </c>
      <c r="G99" s="17">
        <f>IFERROR(__xludf.DUMMYFUNCTION("""COMPUTED_VALUE"""),0.5763912178947381)</f>
        <v>0.5763912179</v>
      </c>
      <c r="H99" s="4"/>
      <c r="I99" s="5" t="s">
        <v>1436</v>
      </c>
      <c r="J99" s="5" t="s">
        <v>1314</v>
      </c>
      <c r="K99" s="5">
        <v>21.0</v>
      </c>
      <c r="L99" s="5">
        <v>0.42162</v>
      </c>
      <c r="M99" s="5">
        <v>-0.23326</v>
      </c>
      <c r="N99" s="5">
        <v>0.18836</v>
      </c>
      <c r="O99" s="5">
        <v>0.01468</v>
      </c>
    </row>
    <row r="100">
      <c r="A100" s="18" t="str">
        <f>IFERROR(__xludf.DUMMYFUNCTION("""COMPUTED_VALUE"""),"Terran Petteway")</f>
        <v>Terran Petteway</v>
      </c>
      <c r="B100" s="19" t="str">
        <f>IFERROR(__xludf.DUMMYFUNCTION("""COMPUTED_VALUE"""),"NAN")</f>
        <v>NAN</v>
      </c>
      <c r="C100" s="20">
        <f>IFERROR(__xludf.DUMMYFUNCTION("""COMPUTED_VALUE"""),366.0)</f>
        <v>366</v>
      </c>
      <c r="D100" s="21">
        <f>IFERROR(__xludf.DUMMYFUNCTION("""COMPUTED_VALUE"""),0.48097880312779007)</f>
        <v>0.4809788031</v>
      </c>
      <c r="E100" s="21">
        <f>IFERROR(__xludf.DUMMYFUNCTION("""COMPUTED_VALUE"""),-0.3335480878449101)</f>
        <v>-0.3335480878</v>
      </c>
      <c r="F100" s="21">
        <f>IFERROR(__xludf.DUMMYFUNCTION("""COMPUTED_VALUE"""),0.14743071528288)</f>
        <v>0.1474307153</v>
      </c>
      <c r="G100" s="23">
        <f>IFERROR(__xludf.DUMMYFUNCTION("""COMPUTED_VALUE"""),0.23715151374207716)</f>
        <v>0.2371515137</v>
      </c>
      <c r="H100" s="4"/>
      <c r="I100" s="5" t="s">
        <v>1437</v>
      </c>
      <c r="J100" s="5" t="s">
        <v>1348</v>
      </c>
      <c r="K100" s="5">
        <v>158.0</v>
      </c>
      <c r="L100" s="5">
        <v>0.85729</v>
      </c>
      <c r="M100" s="5">
        <v>-0.67905</v>
      </c>
      <c r="N100" s="5">
        <v>0.17823</v>
      </c>
      <c r="O100" s="5">
        <v>0.10424</v>
      </c>
    </row>
    <row r="101">
      <c r="A101" s="12" t="str">
        <f>IFERROR(__xludf.DUMMYFUNCTION("""COMPUTED_VALUE"""),"Max Kouguere")</f>
        <v>Max Kouguere</v>
      </c>
      <c r="B101" s="13" t="str">
        <f>IFERROR(__xludf.DUMMYFUNCTION("""COMPUTED_VALUE"""),"ANT")</f>
        <v>ANT</v>
      </c>
      <c r="C101" s="14">
        <f>IFERROR(__xludf.DUMMYFUNCTION("""COMPUTED_VALUE"""),770.0)</f>
        <v>770</v>
      </c>
      <c r="D101" s="15">
        <f>IFERROR(__xludf.DUMMYFUNCTION("""COMPUTED_VALUE"""),0.5952046868317631)</f>
        <v>0.5952046868</v>
      </c>
      <c r="E101" s="15">
        <f>IFERROR(__xludf.DUMMYFUNCTION("""COMPUTED_VALUE"""),-0.46037421810439044)</f>
        <v>-0.4603742181</v>
      </c>
      <c r="F101" s="15">
        <f>IFERROR(__xludf.DUMMYFUNCTION("""COMPUTED_VALUE"""),0.13483046872737264)</f>
        <v>0.1348304687</v>
      </c>
      <c r="G101" s="17">
        <f>IFERROR(__xludf.DUMMYFUNCTION("""COMPUTED_VALUE"""),0.5116226384312269)</f>
        <v>0.5116226384</v>
      </c>
      <c r="H101" s="4"/>
      <c r="I101" s="5" t="s">
        <v>1438</v>
      </c>
      <c r="J101" s="5" t="s">
        <v>1355</v>
      </c>
      <c r="K101" s="5">
        <v>365.0</v>
      </c>
      <c r="L101" s="5">
        <v>-1.37881</v>
      </c>
      <c r="M101" s="5">
        <v>1.54893</v>
      </c>
      <c r="N101" s="5">
        <v>0.17013</v>
      </c>
      <c r="O101" s="5">
        <v>0.24499</v>
      </c>
    </row>
    <row r="102">
      <c r="A102" s="18" t="str">
        <f>IFERROR(__xludf.DUMMYFUNCTION("""COMPUTED_VALUE"""),"Sarra Camara")</f>
        <v>Sarra Camara</v>
      </c>
      <c r="B102" s="19" t="str">
        <f>IFERROR(__xludf.DUMMYFUNCTION("""COMPUTED_VALUE"""),"CHA")</f>
        <v>CHA</v>
      </c>
      <c r="C102" s="20">
        <f>IFERROR(__xludf.DUMMYFUNCTION("""COMPUTED_VALUE"""),802.0)</f>
        <v>802</v>
      </c>
      <c r="D102" s="21">
        <f>IFERROR(__xludf.DUMMYFUNCTION("""COMPUTED_VALUE"""),-0.15320564660631164)</f>
        <v>-0.1532056466</v>
      </c>
      <c r="E102" s="21">
        <f>IFERROR(__xludf.DUMMYFUNCTION("""COMPUTED_VALUE"""),0.27401993938617275)</f>
        <v>0.2740199394</v>
      </c>
      <c r="F102" s="21">
        <f>IFERROR(__xludf.DUMMYFUNCTION("""COMPUTED_VALUE"""),0.12081429277986111)</f>
        <v>0.1208142928</v>
      </c>
      <c r="G102" s="23">
        <f>IFERROR(__xludf.DUMMYFUNCTION("""COMPUTED_VALUE"""),0.5282363441810447)</f>
        <v>0.5282363442</v>
      </c>
      <c r="H102" s="4"/>
      <c r="I102" s="5" t="s">
        <v>1439</v>
      </c>
      <c r="J102" s="5" t="s">
        <v>1314</v>
      </c>
      <c r="K102" s="5">
        <v>3.0</v>
      </c>
      <c r="L102" s="5">
        <v>0.22202</v>
      </c>
      <c r="M102" s="5">
        <v>-0.06637</v>
      </c>
      <c r="N102" s="5">
        <v>0.15565</v>
      </c>
      <c r="O102" s="5">
        <v>0.00207</v>
      </c>
    </row>
    <row r="103">
      <c r="A103" s="12" t="str">
        <f>IFERROR(__xludf.DUMMYFUNCTION("""COMPUTED_VALUE"""),"Taqwa Pinero")</f>
        <v>Taqwa Pinero</v>
      </c>
      <c r="B103" s="13" t="str">
        <f>IFERROR(__xludf.DUMMYFUNCTION("""COMPUTED_VALUE"""),"PAU")</f>
        <v>PAU</v>
      </c>
      <c r="C103" s="14">
        <f>IFERROR(__xludf.DUMMYFUNCTION("""COMPUTED_VALUE"""),850.0)</f>
        <v>850</v>
      </c>
      <c r="D103" s="15">
        <f>IFERROR(__xludf.DUMMYFUNCTION("""COMPUTED_VALUE"""),1.4498370711565347)</f>
        <v>1.449837071</v>
      </c>
      <c r="E103" s="15">
        <f>IFERROR(__xludf.DUMMYFUNCTION("""COMPUTED_VALUE"""),-1.3567289064934238)</f>
        <v>-1.356728906</v>
      </c>
      <c r="F103" s="15">
        <f>IFERROR(__xludf.DUMMYFUNCTION("""COMPUTED_VALUE"""),0.09310816466311084)</f>
        <v>0.09310816466</v>
      </c>
      <c r="G103" s="17">
        <f>IFERROR(__xludf.DUMMYFUNCTION("""COMPUTED_VALUE"""),0.549673965763471)</f>
        <v>0.5496739658</v>
      </c>
      <c r="H103" s="4"/>
      <c r="I103" s="5" t="s">
        <v>1440</v>
      </c>
      <c r="J103" s="5" t="s">
        <v>1332</v>
      </c>
      <c r="K103" s="5">
        <v>862.0</v>
      </c>
      <c r="L103" s="5">
        <v>2.32319</v>
      </c>
      <c r="M103" s="5">
        <v>-2.17067</v>
      </c>
      <c r="N103" s="5">
        <v>0.15252</v>
      </c>
      <c r="O103" s="5">
        <v>0.57624</v>
      </c>
    </row>
    <row r="104">
      <c r="A104" s="18" t="str">
        <f>IFERROR(__xludf.DUMMYFUNCTION("""COMPUTED_VALUE"""),"A.J. Slaughter")</f>
        <v>A.J. Slaughter</v>
      </c>
      <c r="B104" s="19" t="str">
        <f>IFERROR(__xludf.DUMMYFUNCTION("""COMPUTED_VALUE"""),"LYV")</f>
        <v>LYV</v>
      </c>
      <c r="C104" s="20">
        <f>IFERROR(__xludf.DUMMYFUNCTION("""COMPUTED_VALUE"""),791.0)</f>
        <v>791</v>
      </c>
      <c r="D104" s="21">
        <f>IFERROR(__xludf.DUMMYFUNCTION("""COMPUTED_VALUE"""),3.0646698207070884)</f>
        <v>3.064669821</v>
      </c>
      <c r="E104" s="21">
        <f>IFERROR(__xludf.DUMMYFUNCTION("""COMPUTED_VALUE"""),-2.998921585198065)</f>
        <v>-2.998921585</v>
      </c>
      <c r="F104" s="21">
        <f>IFERROR(__xludf.DUMMYFUNCTION("""COMPUTED_VALUE"""),0.06574823550902353)</f>
        <v>0.06574823551</v>
      </c>
      <c r="G104" s="23">
        <f>IFERROR(__xludf.DUMMYFUNCTION("""COMPUTED_VALUE"""),0.4948293796745997)</f>
        <v>0.4948293797</v>
      </c>
      <c r="H104" s="4"/>
      <c r="I104" s="5" t="s">
        <v>1441</v>
      </c>
      <c r="J104" s="5" t="s">
        <v>1379</v>
      </c>
      <c r="K104" s="5">
        <v>770.0</v>
      </c>
      <c r="L104" s="5">
        <v>0.56271</v>
      </c>
      <c r="M104" s="5">
        <v>-0.41516</v>
      </c>
      <c r="N104" s="5">
        <v>0.14755</v>
      </c>
      <c r="O104" s="5">
        <v>0.51467</v>
      </c>
    </row>
    <row r="105">
      <c r="A105" s="12" t="str">
        <f>IFERROR(__xludf.DUMMYFUNCTION("""COMPUTED_VALUE"""),"DeMarcus Nelson")</f>
        <v>DeMarcus Nelson</v>
      </c>
      <c r="B105" s="13" t="str">
        <f>IFERROR(__xludf.DUMMYFUNCTION("""COMPUTED_VALUE"""),"LYV")</f>
        <v>LYV</v>
      </c>
      <c r="C105" s="14">
        <f>IFERROR(__xludf.DUMMYFUNCTION("""COMPUTED_VALUE"""),739.0)</f>
        <v>739</v>
      </c>
      <c r="D105" s="15">
        <f>IFERROR(__xludf.DUMMYFUNCTION("""COMPUTED_VALUE"""),-0.8560772184885082)</f>
        <v>-0.8560772185</v>
      </c>
      <c r="E105" s="15">
        <f>IFERROR(__xludf.DUMMYFUNCTION("""COMPUTED_VALUE"""),0.9176146743809985)</f>
        <v>0.9176146744</v>
      </c>
      <c r="F105" s="15">
        <f>IFERROR(__xludf.DUMMYFUNCTION("""COMPUTED_VALUE"""),0.06153745589249038)</f>
        <v>0.06153745589</v>
      </c>
      <c r="G105" s="17">
        <f>IFERROR(__xludf.DUMMYFUNCTION("""COMPUTED_VALUE"""),0.4613571669378652)</f>
        <v>0.4613571669</v>
      </c>
      <c r="H105" s="4"/>
      <c r="I105" s="5" t="s">
        <v>1442</v>
      </c>
      <c r="J105" s="5" t="s">
        <v>1332</v>
      </c>
      <c r="K105" s="5">
        <v>802.0</v>
      </c>
      <c r="L105" s="5">
        <v>-0.19617</v>
      </c>
      <c r="M105" s="5">
        <v>0.3189</v>
      </c>
      <c r="N105" s="5">
        <v>0.12273</v>
      </c>
      <c r="O105" s="5">
        <v>0.52871</v>
      </c>
    </row>
    <row r="106">
      <c r="A106" s="18" t="str">
        <f>IFERROR(__xludf.DUMMYFUNCTION("""COMPUTED_VALUE"""),"Kevin Dinal")</f>
        <v>Kevin Dinal</v>
      </c>
      <c r="B106" s="19" t="str">
        <f>IFERROR(__xludf.DUMMYFUNCTION("""COMPUTED_VALUE"""),"JLB")</f>
        <v>JLB</v>
      </c>
      <c r="C106" s="20">
        <f>IFERROR(__xludf.DUMMYFUNCTION("""COMPUTED_VALUE"""),275.0)</f>
        <v>275</v>
      </c>
      <c r="D106" s="21">
        <f>IFERROR(__xludf.DUMMYFUNCTION("""COMPUTED_VALUE"""),-1.235734529569781)</f>
        <v>-1.23573453</v>
      </c>
      <c r="E106" s="21">
        <f>IFERROR(__xludf.DUMMYFUNCTION("""COMPUTED_VALUE"""),1.2901207973053952)</f>
        <v>1.290120797</v>
      </c>
      <c r="F106" s="21">
        <f>IFERROR(__xludf.DUMMYFUNCTION("""COMPUTED_VALUE"""),0.054386267735614086)</f>
        <v>0.05438626774</v>
      </c>
      <c r="G106" s="23">
        <f>IFERROR(__xludf.DUMMYFUNCTION("""COMPUTED_VALUE"""),0.1724837210102348)</f>
        <v>0.172483721</v>
      </c>
      <c r="H106" s="4"/>
      <c r="I106" s="5" t="s">
        <v>1443</v>
      </c>
      <c r="J106" s="5" t="s">
        <v>1342</v>
      </c>
      <c r="K106" s="5">
        <v>45.0</v>
      </c>
      <c r="L106" s="5">
        <v>0.53375</v>
      </c>
      <c r="M106" s="5">
        <v>-0.45279</v>
      </c>
      <c r="N106" s="5">
        <v>0.08096</v>
      </c>
      <c r="O106" s="5">
        <v>0.02835</v>
      </c>
    </row>
    <row r="107">
      <c r="A107" s="12" t="str">
        <f>IFERROR(__xludf.DUMMYFUNCTION("""COMPUTED_VALUE"""),"Edward Daniel")</f>
        <v>Edward Daniel</v>
      </c>
      <c r="B107" s="13" t="str">
        <f>IFERROR(__xludf.DUMMYFUNCTION("""COMPUTED_VALUE"""),"RCB")</f>
        <v>RCB</v>
      </c>
      <c r="C107" s="14">
        <f>IFERROR(__xludf.DUMMYFUNCTION("""COMPUTED_VALUE"""),759.0)</f>
        <v>759</v>
      </c>
      <c r="D107" s="15">
        <f>IFERROR(__xludf.DUMMYFUNCTION("""COMPUTED_VALUE"""),-0.8056730832554457)</f>
        <v>-0.8056730833</v>
      </c>
      <c r="E107" s="15">
        <f>IFERROR(__xludf.DUMMYFUNCTION("""COMPUTED_VALUE"""),0.8579110591557957)</f>
        <v>0.8579110592</v>
      </c>
      <c r="F107" s="15">
        <f>IFERROR(__xludf.DUMMYFUNCTION("""COMPUTED_VALUE"""),0.05223797590035001)</f>
        <v>0.0522379759</v>
      </c>
      <c r="G107" s="17">
        <f>IFERROR(__xludf.DUMMYFUNCTION("""COMPUTED_VALUE"""),0.4748928730818188)</f>
        <v>0.4748928731</v>
      </c>
      <c r="H107" s="4"/>
      <c r="I107" s="5" t="s">
        <v>649</v>
      </c>
      <c r="J107" s="5" t="s">
        <v>1365</v>
      </c>
      <c r="K107" s="5">
        <v>366.0</v>
      </c>
      <c r="L107" s="5">
        <v>0.37694</v>
      </c>
      <c r="M107" s="5">
        <v>-0.31125</v>
      </c>
      <c r="N107" s="5">
        <v>0.06569</v>
      </c>
      <c r="O107" s="5">
        <v>0.23043</v>
      </c>
    </row>
    <row r="108">
      <c r="A108" s="18" t="str">
        <f>IFERROR(__xludf.DUMMYFUNCTION("""COMPUTED_VALUE"""),"Sofiane Briki")</f>
        <v>Sofiane Briki</v>
      </c>
      <c r="B108" s="19" t="str">
        <f>IFERROR(__xludf.DUMMYFUNCTION("""COMPUTED_VALUE"""),"LYV")</f>
        <v>LYV</v>
      </c>
      <c r="C108" s="20">
        <f>IFERROR(__xludf.DUMMYFUNCTION("""COMPUTED_VALUE"""),45.0)</f>
        <v>45</v>
      </c>
      <c r="D108" s="21">
        <f>IFERROR(__xludf.DUMMYFUNCTION("""COMPUTED_VALUE"""),0.5142605287464622)</f>
        <v>0.5142605287</v>
      </c>
      <c r="E108" s="21">
        <f>IFERROR(__xludf.DUMMYFUNCTION("""COMPUTED_VALUE"""),-0.46978814413127457)</f>
        <v>-0.4697881441</v>
      </c>
      <c r="F108" s="21">
        <f>IFERROR(__xludf.DUMMYFUNCTION("""COMPUTED_VALUE"""),0.04447238461518765)</f>
        <v>0.04447238462</v>
      </c>
      <c r="G108" s="23">
        <f>IFERROR(__xludf.DUMMYFUNCTION("""COMPUTED_VALUE"""),0.027860914391752232)</f>
        <v>0.02786091439</v>
      </c>
      <c r="H108" s="4"/>
      <c r="I108" s="5" t="s">
        <v>1444</v>
      </c>
      <c r="J108" s="5" t="s">
        <v>1338</v>
      </c>
      <c r="K108" s="5">
        <v>275.0</v>
      </c>
      <c r="L108" s="5">
        <v>-1.27212</v>
      </c>
      <c r="M108" s="5">
        <v>1.3307</v>
      </c>
      <c r="N108" s="5">
        <v>0.05859</v>
      </c>
      <c r="O108" s="5">
        <v>0.17284</v>
      </c>
    </row>
    <row r="109">
      <c r="A109" s="12" t="str">
        <f>IFERROR(__xludf.DUMMYFUNCTION("""COMPUTED_VALUE"""),"Brian Conklin")</f>
        <v>Brian Conklin</v>
      </c>
      <c r="B109" s="13" t="str">
        <f>IFERROR(__xludf.DUMMYFUNCTION("""COMPUTED_VALUE"""),"CSP")</f>
        <v>CSP</v>
      </c>
      <c r="C109" s="14">
        <f>IFERROR(__xludf.DUMMYFUNCTION("""COMPUTED_VALUE"""),879.0)</f>
        <v>879</v>
      </c>
      <c r="D109" s="15">
        <f>IFERROR(__xludf.DUMMYFUNCTION("""COMPUTED_VALUE"""),-0.6087682039365663)</f>
        <v>-0.6087682039</v>
      </c>
      <c r="E109" s="15">
        <f>IFERROR(__xludf.DUMMYFUNCTION("""COMPUTED_VALUE"""),0.6312741036613674)</f>
        <v>0.6312741037</v>
      </c>
      <c r="F109" s="15">
        <f>IFERROR(__xludf.DUMMYFUNCTION("""COMPUTED_VALUE"""),0.022505899724801104)</f>
        <v>0.02250589972</v>
      </c>
      <c r="G109" s="17">
        <f>IFERROR(__xludf.DUMMYFUNCTION("""COMPUTED_VALUE"""),0.5680297807507985)</f>
        <v>0.5680297808</v>
      </c>
      <c r="H109" s="4"/>
      <c r="I109" s="5" t="s">
        <v>1445</v>
      </c>
      <c r="J109" s="5" t="s">
        <v>1367</v>
      </c>
      <c r="K109" s="5">
        <v>759.0</v>
      </c>
      <c r="L109" s="5">
        <v>-0.85014</v>
      </c>
      <c r="M109" s="5">
        <v>0.90295</v>
      </c>
      <c r="N109" s="5">
        <v>0.05281</v>
      </c>
      <c r="O109" s="5">
        <v>0.47503</v>
      </c>
    </row>
    <row r="110">
      <c r="A110" s="18" t="str">
        <f>IFERROR(__xludf.DUMMYFUNCTION("""COMPUTED_VALUE"""),"Frederic Loubaki")</f>
        <v>Frederic Loubaki</v>
      </c>
      <c r="B110" s="19" t="str">
        <f>IFERROR(__xludf.DUMMYFUNCTION("""COMPUTED_VALUE"""),"PLV")</f>
        <v>PLV</v>
      </c>
      <c r="C110" s="20">
        <f>IFERROR(__xludf.DUMMYFUNCTION("""COMPUTED_VALUE"""),0.0)</f>
        <v>0</v>
      </c>
      <c r="D110" s="21">
        <f>IFERROR(__xludf.DUMMYFUNCTION("""COMPUTED_VALUE"""),0.0)</f>
        <v>0</v>
      </c>
      <c r="E110" s="21">
        <f>IFERROR(__xludf.DUMMYFUNCTION("""COMPUTED_VALUE"""),0.0)</f>
        <v>0</v>
      </c>
      <c r="F110" s="21">
        <f>IFERROR(__xludf.DUMMYFUNCTION("""COMPUTED_VALUE"""),0.0)</f>
        <v>0</v>
      </c>
      <c r="G110" s="23">
        <f>IFERROR(__xludf.DUMMYFUNCTION("""COMPUTED_VALUE"""),0.0)</f>
        <v>0</v>
      </c>
      <c r="H110" s="4"/>
      <c r="I110" s="5" t="s">
        <v>1446</v>
      </c>
      <c r="J110" s="5" t="s">
        <v>1342</v>
      </c>
      <c r="K110" s="5">
        <v>806.0</v>
      </c>
      <c r="L110" s="5">
        <v>0.10816</v>
      </c>
      <c r="M110" s="5">
        <v>-0.05999</v>
      </c>
      <c r="N110" s="5">
        <v>0.04817</v>
      </c>
      <c r="O110" s="5">
        <v>0.49973</v>
      </c>
    </row>
    <row r="111">
      <c r="A111" s="12" t="str">
        <f>IFERROR(__xludf.DUMMYFUNCTION("""COMPUTED_VALUE"""),"Vee Sanford")</f>
        <v>Vee Sanford</v>
      </c>
      <c r="B111" s="13" t="str">
        <f>IFERROR(__xludf.DUMMYFUNCTION("""COMPUTED_VALUE"""),"ANT")</f>
        <v>ANT</v>
      </c>
      <c r="C111" s="14">
        <f>IFERROR(__xludf.DUMMYFUNCTION("""COMPUTED_VALUE"""),882.0)</f>
        <v>882</v>
      </c>
      <c r="D111" s="15">
        <f>IFERROR(__xludf.DUMMYFUNCTION("""COMPUTED_VALUE"""),1.0428102954100649)</f>
        <v>1.042810295</v>
      </c>
      <c r="E111" s="15">
        <f>IFERROR(__xludf.DUMMYFUNCTION("""COMPUTED_VALUE"""),-1.0451850130897387)</f>
        <v>-1.045185013</v>
      </c>
      <c r="F111" s="15">
        <f>IFERROR(__xludf.DUMMYFUNCTION("""COMPUTED_VALUE"""),-0.0023747176796738295)</f>
        <v>-0.00237471768</v>
      </c>
      <c r="G111" s="17">
        <f>IFERROR(__xludf.DUMMYFUNCTION("""COMPUTED_VALUE"""),0.5483757562790134)</f>
        <v>0.5483757563</v>
      </c>
      <c r="H111" s="4"/>
      <c r="I111" s="5" t="s">
        <v>1447</v>
      </c>
      <c r="J111" s="5" t="s">
        <v>1379</v>
      </c>
      <c r="K111" s="5">
        <v>882.0</v>
      </c>
      <c r="L111" s="5">
        <v>1.00535</v>
      </c>
      <c r="M111" s="5">
        <v>-0.99909</v>
      </c>
      <c r="N111" s="5">
        <v>0.00626</v>
      </c>
      <c r="O111" s="5">
        <v>0.55075</v>
      </c>
    </row>
    <row r="112">
      <c r="A112" s="18" t="str">
        <f>IFERROR(__xludf.DUMMYFUNCTION("""COMPUTED_VALUE"""),"Benjamin Delage")</f>
        <v>Benjamin Delage</v>
      </c>
      <c r="B112" s="19" t="str">
        <f>IFERROR(__xludf.DUMMYFUNCTION("""COMPUTED_VALUE"""),"CSP")</f>
        <v>CSP</v>
      </c>
      <c r="C112" s="20">
        <f>IFERROR(__xludf.DUMMYFUNCTION("""COMPUTED_VALUE"""),1.0)</f>
        <v>1</v>
      </c>
      <c r="D112" s="21">
        <f>IFERROR(__xludf.DUMMYFUNCTION("""COMPUTED_VALUE"""),-0.01882186464448888)</f>
        <v>-0.01882186464</v>
      </c>
      <c r="E112" s="21">
        <f>IFERROR(__xludf.DUMMYFUNCTION("""COMPUTED_VALUE"""),0.003689684553525356)</f>
        <v>0.003689684554</v>
      </c>
      <c r="F112" s="21">
        <f>IFERROR(__xludf.DUMMYFUNCTION("""COMPUTED_VALUE"""),-0.015132180090963523)</f>
        <v>-0.01513218009</v>
      </c>
      <c r="G112" s="23">
        <f>IFERROR(__xludf.DUMMYFUNCTION("""COMPUTED_VALUE"""),6.341967674288833E-4)</f>
        <v>0.0006341967674</v>
      </c>
      <c r="H112" s="4"/>
      <c r="I112" s="5" t="s">
        <v>1448</v>
      </c>
      <c r="J112" s="5" t="s">
        <v>1355</v>
      </c>
      <c r="K112" s="5">
        <v>0.0</v>
      </c>
      <c r="L112" s="5">
        <v>0.0</v>
      </c>
      <c r="M112" s="5">
        <v>0.0</v>
      </c>
      <c r="N112" s="5">
        <v>0.0</v>
      </c>
      <c r="O112" s="5">
        <v>0.0</v>
      </c>
    </row>
    <row r="113">
      <c r="A113" s="12" t="str">
        <f>IFERROR(__xludf.DUMMYFUNCTION("""COMPUTED_VALUE"""),"Mbaye N'Diaye")</f>
        <v>Mbaye N'Diaye</v>
      </c>
      <c r="B113" s="13" t="str">
        <f>IFERROR(__xludf.DUMMYFUNCTION("""COMPUTED_VALUE"""),"JLB")</f>
        <v>JLB</v>
      </c>
      <c r="C113" s="14">
        <f>IFERROR(__xludf.DUMMYFUNCTION("""COMPUTED_VALUE"""),1.0)</f>
        <v>1</v>
      </c>
      <c r="D113" s="15">
        <f>IFERROR(__xludf.DUMMYFUNCTION("""COMPUTED_VALUE"""),-0.0168236923160613)</f>
        <v>-0.01682369232</v>
      </c>
      <c r="E113" s="15">
        <f>IFERROR(__xludf.DUMMYFUNCTION("""COMPUTED_VALUE"""),-0.0017698631955190107)</f>
        <v>-0.001769863196</v>
      </c>
      <c r="F113" s="15">
        <f>IFERROR(__xludf.DUMMYFUNCTION("""COMPUTED_VALUE"""),-0.01859355551158031)</f>
        <v>-0.01859355551</v>
      </c>
      <c r="G113" s="17">
        <f>IFERROR(__xludf.DUMMYFUNCTION("""COMPUTED_VALUE"""),6.049324568632134E-4)</f>
        <v>0.0006049324569</v>
      </c>
      <c r="H113" s="4"/>
      <c r="I113" s="5" t="s">
        <v>1449</v>
      </c>
      <c r="J113" s="5" t="s">
        <v>1379</v>
      </c>
      <c r="K113" s="5">
        <v>308.0</v>
      </c>
      <c r="L113" s="5">
        <v>0.22301</v>
      </c>
      <c r="M113" s="5">
        <v>-0.23215</v>
      </c>
      <c r="N113" s="5">
        <v>-0.00914</v>
      </c>
      <c r="O113" s="5">
        <v>0.19085</v>
      </c>
    </row>
    <row r="114">
      <c r="A114" s="18" t="str">
        <f>IFERROR(__xludf.DUMMYFUNCTION("""COMPUTED_VALUE"""),"Jules Rambaut")</f>
        <v>Jules Rambaut</v>
      </c>
      <c r="B114" s="19" t="str">
        <f>IFERROR(__xludf.DUMMYFUNCTION("""COMPUTED_VALUE"""),"RCB")</f>
        <v>RCB</v>
      </c>
      <c r="C114" s="20">
        <f>IFERROR(__xludf.DUMMYFUNCTION("""COMPUTED_VALUE"""),1.0)</f>
        <v>1</v>
      </c>
      <c r="D114" s="21">
        <f>IFERROR(__xludf.DUMMYFUNCTION("""COMPUTED_VALUE"""),-0.02027828083367724)</f>
        <v>-0.02027828083</v>
      </c>
      <c r="E114" s="21">
        <f>IFERROR(__xludf.DUMMYFUNCTION("""COMPUTED_VALUE"""),6.649080073155046E-4)</f>
        <v>0.0006649080073</v>
      </c>
      <c r="F114" s="21">
        <f>IFERROR(__xludf.DUMMYFUNCTION("""COMPUTED_VALUE"""),-0.019613372826361736)</f>
        <v>-0.01961337283</v>
      </c>
      <c r="G114" s="23">
        <f>IFERROR(__xludf.DUMMYFUNCTION("""COMPUTED_VALUE"""),6.037764107236701E-4)</f>
        <v>0.0006037764107</v>
      </c>
      <c r="H114" s="4"/>
      <c r="I114" s="5" t="s">
        <v>1450</v>
      </c>
      <c r="J114" s="5" t="s">
        <v>1327</v>
      </c>
      <c r="K114" s="5">
        <v>1.0</v>
      </c>
      <c r="L114" s="5">
        <v>-0.01898</v>
      </c>
      <c r="M114" s="5">
        <v>0.004</v>
      </c>
      <c r="N114" s="5">
        <v>-0.01499</v>
      </c>
      <c r="O114" s="5">
        <v>6.3E-4</v>
      </c>
    </row>
    <row r="115">
      <c r="A115" s="12" t="str">
        <f>IFERROR(__xludf.DUMMYFUNCTION("""COMPUTED_VALUE"""),"Warren Woghiren")</f>
        <v>Warren Woghiren</v>
      </c>
      <c r="B115" s="13" t="str">
        <f>IFERROR(__xludf.DUMMYFUNCTION("""COMPUTED_VALUE"""),"CHO")</f>
        <v>CHO</v>
      </c>
      <c r="C115" s="14">
        <f>IFERROR(__xludf.DUMMYFUNCTION("""COMPUTED_VALUE"""),1.0)</f>
        <v>1</v>
      </c>
      <c r="D115" s="15">
        <f>IFERROR(__xludf.DUMMYFUNCTION("""COMPUTED_VALUE"""),-0.024772856235144615)</f>
        <v>-0.02477285624</v>
      </c>
      <c r="E115" s="15">
        <f>IFERROR(__xludf.DUMMYFUNCTION("""COMPUTED_VALUE"""),0.004163161990397797)</f>
        <v>0.00416316199</v>
      </c>
      <c r="F115" s="15">
        <f>IFERROR(__xludf.DUMMYFUNCTION("""COMPUTED_VALUE"""),-0.020609694244746818)</f>
        <v>-0.02060969424</v>
      </c>
      <c r="G115" s="17">
        <f>IFERROR(__xludf.DUMMYFUNCTION("""COMPUTED_VALUE"""),6.147736402272642E-4)</f>
        <v>0.0006147736402</v>
      </c>
      <c r="H115" s="4"/>
      <c r="I115" s="5" t="s">
        <v>1451</v>
      </c>
      <c r="J115" s="5" t="s">
        <v>1342</v>
      </c>
      <c r="K115" s="5">
        <v>5.0</v>
      </c>
      <c r="L115" s="5">
        <v>0.04906</v>
      </c>
      <c r="M115" s="5">
        <v>-0.06683</v>
      </c>
      <c r="N115" s="5">
        <v>-0.01777</v>
      </c>
      <c r="O115" s="5">
        <v>0.003</v>
      </c>
    </row>
    <row r="116">
      <c r="A116" s="18" t="str">
        <f>IFERROR(__xludf.DUMMYFUNCTION("""COMPUTED_VALUE"""),"Khadim Sow")</f>
        <v>Khadim Sow</v>
      </c>
      <c r="B116" s="19" t="str">
        <f>IFERROR(__xludf.DUMMYFUNCTION("""COMPUTED_VALUE"""),"LYV")</f>
        <v>LYV</v>
      </c>
      <c r="C116" s="20">
        <f>IFERROR(__xludf.DUMMYFUNCTION("""COMPUTED_VALUE"""),5.0)</f>
        <v>5</v>
      </c>
      <c r="D116" s="21">
        <f>IFERROR(__xludf.DUMMYFUNCTION("""COMPUTED_VALUE"""),0.04683912146734205)</f>
        <v>0.04683912147</v>
      </c>
      <c r="E116" s="21">
        <f>IFERROR(__xludf.DUMMYFUNCTION("""COMPUTED_VALUE"""),-0.0687217460432602)</f>
        <v>-0.06872174604</v>
      </c>
      <c r="F116" s="21">
        <f>IFERROR(__xludf.DUMMYFUNCTION("""COMPUTED_VALUE"""),-0.021882624575918157)</f>
        <v>-0.02188262458</v>
      </c>
      <c r="G116" s="23">
        <f>IFERROR(__xludf.DUMMYFUNCTION("""COMPUTED_VALUE"""),0.0029951850912870778)</f>
        <v>0.002995185091</v>
      </c>
      <c r="H116" s="4"/>
      <c r="I116" s="5" t="s">
        <v>1452</v>
      </c>
      <c r="J116" s="5" t="s">
        <v>1338</v>
      </c>
      <c r="K116" s="5">
        <v>1.0</v>
      </c>
      <c r="L116" s="5">
        <v>-0.01694</v>
      </c>
      <c r="M116" s="5">
        <v>-0.00162</v>
      </c>
      <c r="N116" s="5">
        <v>-0.01857</v>
      </c>
      <c r="O116" s="5">
        <v>6.0E-4</v>
      </c>
    </row>
    <row r="117">
      <c r="A117" s="12" t="str">
        <f>IFERROR(__xludf.DUMMYFUNCTION("""COMPUTED_VALUE"""),"Viktor C. Gaddefors")</f>
        <v>Viktor C. Gaddefors</v>
      </c>
      <c r="B117" s="13" t="str">
        <f>IFERROR(__xludf.DUMMYFUNCTION("""COMPUTED_VALUE"""),"ANT")</f>
        <v>ANT</v>
      </c>
      <c r="C117" s="14">
        <f>IFERROR(__xludf.DUMMYFUNCTION("""COMPUTED_VALUE"""),308.0)</f>
        <v>308</v>
      </c>
      <c r="D117" s="15">
        <f>IFERROR(__xludf.DUMMYFUNCTION("""COMPUTED_VALUE"""),0.2548376380292977)</f>
        <v>0.254837638</v>
      </c>
      <c r="E117" s="15">
        <f>IFERROR(__xludf.DUMMYFUNCTION("""COMPUTED_VALUE"""),-0.2772437784407444)</f>
        <v>-0.2772437784</v>
      </c>
      <c r="F117" s="15">
        <f>IFERROR(__xludf.DUMMYFUNCTION("""COMPUTED_VALUE"""),-0.02240614041144666)</f>
        <v>-0.02240614041</v>
      </c>
      <c r="G117" s="17">
        <f>IFERROR(__xludf.DUMMYFUNCTION("""COMPUTED_VALUE"""),0.1895760441888837)</f>
        <v>0.1895760442</v>
      </c>
      <c r="H117" s="4"/>
      <c r="I117" s="5" t="s">
        <v>1453</v>
      </c>
      <c r="J117" s="5" t="s">
        <v>1367</v>
      </c>
      <c r="K117" s="5">
        <v>1.0</v>
      </c>
      <c r="L117" s="5">
        <v>-0.0204</v>
      </c>
      <c r="M117" s="5">
        <v>8.1E-4</v>
      </c>
      <c r="N117" s="5">
        <v>-0.01959</v>
      </c>
      <c r="O117" s="5">
        <v>6.0E-4</v>
      </c>
    </row>
    <row r="118">
      <c r="A118" s="18" t="str">
        <f>IFERROR(__xludf.DUMMYFUNCTION("""COMPUTED_VALUE"""),"Marko Lukovic")</f>
        <v>Marko Lukovic</v>
      </c>
      <c r="B118" s="19" t="str">
        <f>IFERROR(__xludf.DUMMYFUNCTION("""COMPUTED_VALUE"""),"PORT")</f>
        <v>PORT</v>
      </c>
      <c r="C118" s="20">
        <f>IFERROR(__xludf.DUMMYFUNCTION("""COMPUTED_VALUE"""),2.0)</f>
        <v>2</v>
      </c>
      <c r="D118" s="21">
        <f>IFERROR(__xludf.DUMMYFUNCTION("""COMPUTED_VALUE"""),0.07256000528451446)</f>
        <v>0.07256000528</v>
      </c>
      <c r="E118" s="21">
        <f>IFERROR(__xludf.DUMMYFUNCTION("""COMPUTED_VALUE"""),-0.09590276650431562)</f>
        <v>-0.0959027665</v>
      </c>
      <c r="F118" s="21">
        <f>IFERROR(__xludf.DUMMYFUNCTION("""COMPUTED_VALUE"""),-0.023342761219801146)</f>
        <v>-0.02334276122</v>
      </c>
      <c r="G118" s="23">
        <f>IFERROR(__xludf.DUMMYFUNCTION("""COMPUTED_VALUE"""),0.001197355130476701)</f>
        <v>0.00119735513</v>
      </c>
      <c r="H118" s="4"/>
      <c r="I118" s="5" t="s">
        <v>1454</v>
      </c>
      <c r="J118" s="5" t="s">
        <v>1375</v>
      </c>
      <c r="K118" s="5">
        <v>1.0</v>
      </c>
      <c r="L118" s="5">
        <v>-0.0249</v>
      </c>
      <c r="M118" s="5">
        <v>0.00431</v>
      </c>
      <c r="N118" s="5">
        <v>-0.02059</v>
      </c>
      <c r="O118" s="5">
        <v>6.1E-4</v>
      </c>
    </row>
    <row r="119">
      <c r="A119" s="12" t="str">
        <f>IFERROR(__xludf.DUMMYFUNCTION("""COMPUTED_VALUE"""),"Youri Morose")</f>
        <v>Youri Morose</v>
      </c>
      <c r="B119" s="13" t="str">
        <f>IFERROR(__xludf.DUMMYFUNCTION("""COMPUTED_VALUE"""),"CHO")</f>
        <v>CHO</v>
      </c>
      <c r="C119" s="14">
        <f>IFERROR(__xludf.DUMMYFUNCTION("""COMPUTED_VALUE"""),7.0)</f>
        <v>7</v>
      </c>
      <c r="D119" s="15">
        <f>IFERROR(__xludf.DUMMYFUNCTION("""COMPUTED_VALUE"""),0.12438798494383711)</f>
        <v>0.1243879849</v>
      </c>
      <c r="E119" s="15">
        <f>IFERROR(__xludf.DUMMYFUNCTION("""COMPUTED_VALUE"""),-0.15165108408196631)</f>
        <v>-0.1516510841</v>
      </c>
      <c r="F119" s="15">
        <f>IFERROR(__xludf.DUMMYFUNCTION("""COMPUTED_VALUE"""),-0.027263099138129215)</f>
        <v>-0.02726309914</v>
      </c>
      <c r="G119" s="17">
        <f>IFERROR(__xludf.DUMMYFUNCTION("""COMPUTED_VALUE"""),0.004288950236641319)</f>
        <v>0.004288950237</v>
      </c>
      <c r="H119" s="4"/>
      <c r="I119" s="5" t="s">
        <v>607</v>
      </c>
      <c r="J119" s="5" t="s">
        <v>1348</v>
      </c>
      <c r="K119" s="5">
        <v>2.0</v>
      </c>
      <c r="L119" s="5">
        <v>0.07217</v>
      </c>
      <c r="M119" s="5">
        <v>-0.09559</v>
      </c>
      <c r="N119" s="5">
        <v>-0.02341</v>
      </c>
      <c r="O119" s="5">
        <v>0.0012</v>
      </c>
    </row>
    <row r="120">
      <c r="A120" s="18" t="str">
        <f>IFERROR(__xludf.DUMMYFUNCTION("""COMPUTED_VALUE"""),"Reda Diabi")</f>
        <v>Reda Diabi</v>
      </c>
      <c r="B120" s="19" t="str">
        <f>IFERROR(__xludf.DUMMYFUNCTION("""COMPUTED_VALUE"""),"HYT")</f>
        <v>HYT</v>
      </c>
      <c r="C120" s="20">
        <f>IFERROR(__xludf.DUMMYFUNCTION("""COMPUTED_VALUE"""),1.0)</f>
        <v>1</v>
      </c>
      <c r="D120" s="21">
        <f>IFERROR(__xludf.DUMMYFUNCTION("""COMPUTED_VALUE"""),-0.024357891205070228)</f>
        <v>-0.02435789121</v>
      </c>
      <c r="E120" s="21">
        <f>IFERROR(__xludf.DUMMYFUNCTION("""COMPUTED_VALUE"""),-0.005872470597463528)</f>
        <v>-0.005872470597</v>
      </c>
      <c r="F120" s="21">
        <f>IFERROR(__xludf.DUMMYFUNCTION("""COMPUTED_VALUE"""),-0.030230361802533755)</f>
        <v>-0.0302303618</v>
      </c>
      <c r="G120" s="23">
        <f>IFERROR(__xludf.DUMMYFUNCTION("""COMPUTED_VALUE"""),6.093209134760815E-4)</f>
        <v>0.0006093209135</v>
      </c>
      <c r="H120" s="4"/>
      <c r="I120" s="5" t="s">
        <v>1455</v>
      </c>
      <c r="J120" s="5" t="s">
        <v>1375</v>
      </c>
      <c r="K120" s="5">
        <v>7.0</v>
      </c>
      <c r="L120" s="5">
        <v>0.1233</v>
      </c>
      <c r="M120" s="5">
        <v>-0.15059</v>
      </c>
      <c r="N120" s="5">
        <v>-0.02729</v>
      </c>
      <c r="O120" s="5">
        <v>0.00429</v>
      </c>
    </row>
    <row r="121">
      <c r="A121" s="12" t="str">
        <f>IFERROR(__xludf.DUMMYFUNCTION("""COMPUTED_VALUE"""),"Arthur Leboeuf")</f>
        <v>Arthur Leboeuf</v>
      </c>
      <c r="B121" s="13" t="str">
        <f>IFERROR(__xludf.DUMMYFUNCTION("""COMPUTED_VALUE"""),"RCB")</f>
        <v>RCB</v>
      </c>
      <c r="C121" s="14">
        <f>IFERROR(__xludf.DUMMYFUNCTION("""COMPUTED_VALUE"""),3.0)</f>
        <v>3</v>
      </c>
      <c r="D121" s="15">
        <f>IFERROR(__xludf.DUMMYFUNCTION("""COMPUTED_VALUE"""),-0.06052549101544413)</f>
        <v>-0.06052549102</v>
      </c>
      <c r="E121" s="15">
        <f>IFERROR(__xludf.DUMMYFUNCTION("""COMPUTED_VALUE"""),0.002277649259420929)</f>
        <v>0.002277649259</v>
      </c>
      <c r="F121" s="15">
        <f>IFERROR(__xludf.DUMMYFUNCTION("""COMPUTED_VALUE"""),-0.058247841756023204)</f>
        <v>-0.05824784176</v>
      </c>
      <c r="G121" s="17">
        <f>IFERROR(__xludf.DUMMYFUNCTION("""COMPUTED_VALUE"""),0.0017759928276621737)</f>
        <v>0.001775992828</v>
      </c>
      <c r="H121" s="4"/>
      <c r="I121" s="5" t="s">
        <v>1456</v>
      </c>
      <c r="J121" s="5" t="s">
        <v>1457</v>
      </c>
      <c r="K121" s="5">
        <v>1.0</v>
      </c>
      <c r="L121" s="5">
        <v>-0.02451</v>
      </c>
      <c r="M121" s="5">
        <v>-0.00573</v>
      </c>
      <c r="N121" s="5">
        <v>-0.03024</v>
      </c>
      <c r="O121" s="5">
        <v>6.1E-4</v>
      </c>
    </row>
    <row r="122">
      <c r="A122" s="18" t="str">
        <f>IFERROR(__xludf.DUMMYFUNCTION("""COMPUTED_VALUE"""),"Robin Pradines")</f>
        <v>Robin Pradines</v>
      </c>
      <c r="B122" s="19" t="str">
        <f>IFERROR(__xludf.DUMMYFUNCTION("""COMPUTED_VALUE"""),"ANT")</f>
        <v>ANT</v>
      </c>
      <c r="C122" s="20">
        <f>IFERROR(__xludf.DUMMYFUNCTION("""COMPUTED_VALUE"""),3.0)</f>
        <v>3</v>
      </c>
      <c r="D122" s="21">
        <f>IFERROR(__xludf.DUMMYFUNCTION("""COMPUTED_VALUE"""),-0.056774613078924265)</f>
        <v>-0.05677461308</v>
      </c>
      <c r="E122" s="21">
        <f>IFERROR(__xludf.DUMMYFUNCTION("""COMPUTED_VALUE"""),-0.0032789256170520295)</f>
        <v>-0.003278925617</v>
      </c>
      <c r="F122" s="21">
        <f>IFERROR(__xludf.DUMMYFUNCTION("""COMPUTED_VALUE"""),-0.060053538695976294)</f>
        <v>-0.0600535387</v>
      </c>
      <c r="G122" s="23">
        <f>IFERROR(__xludf.DUMMYFUNCTION("""COMPUTED_VALUE"""),0.0018113677636937473)</f>
        <v>0.001811367764</v>
      </c>
      <c r="H122" s="4"/>
      <c r="I122" s="5" t="s">
        <v>1458</v>
      </c>
      <c r="J122" s="5" t="s">
        <v>1308</v>
      </c>
      <c r="K122" s="5">
        <v>21.0</v>
      </c>
      <c r="L122" s="5">
        <v>0.05991</v>
      </c>
      <c r="M122" s="5">
        <v>-0.1083</v>
      </c>
      <c r="N122" s="5">
        <v>-0.04839</v>
      </c>
      <c r="O122" s="5">
        <v>0.01254</v>
      </c>
    </row>
    <row r="123">
      <c r="A123" s="12" t="str">
        <f>IFERROR(__xludf.DUMMYFUNCTION("""COMPUTED_VALUE"""),"Damien Larribau")</f>
        <v>Damien Larribau</v>
      </c>
      <c r="B123" s="13" t="str">
        <f>IFERROR(__xludf.DUMMYFUNCTION("""COMPUTED_VALUE"""),"PAU")</f>
        <v>PAU</v>
      </c>
      <c r="C123" s="14">
        <f>IFERROR(__xludf.DUMMYFUNCTION("""COMPUTED_VALUE"""),12.0)</f>
        <v>12</v>
      </c>
      <c r="D123" s="15">
        <f>IFERROR(__xludf.DUMMYFUNCTION("""COMPUTED_VALUE"""),0.1716920428434274)</f>
        <v>0.1716920428</v>
      </c>
      <c r="E123" s="15">
        <f>IFERROR(__xludf.DUMMYFUNCTION("""COMPUTED_VALUE"""),-0.23607606458437885)</f>
        <v>-0.2360760646</v>
      </c>
      <c r="F123" s="15">
        <f>IFERROR(__xludf.DUMMYFUNCTION("""COMPUTED_VALUE"""),-0.06438402174095144)</f>
        <v>-0.06438402174</v>
      </c>
      <c r="G123" s="17">
        <f>IFERROR(__xludf.DUMMYFUNCTION("""COMPUTED_VALUE"""),0.007176207948781424)</f>
        <v>0.007176207949</v>
      </c>
      <c r="H123" s="4"/>
      <c r="I123" s="5" t="s">
        <v>1459</v>
      </c>
      <c r="J123" s="5" t="s">
        <v>1369</v>
      </c>
      <c r="K123" s="5">
        <v>12.0</v>
      </c>
      <c r="L123" s="5">
        <v>0.16993</v>
      </c>
      <c r="M123" s="5">
        <v>-0.22639</v>
      </c>
      <c r="N123" s="5">
        <v>-0.05646</v>
      </c>
      <c r="O123" s="5">
        <v>0.00721</v>
      </c>
    </row>
    <row r="124">
      <c r="A124" s="18" t="str">
        <f>IFERROR(__xludf.DUMMYFUNCTION("""COMPUTED_VALUE"""),"Mel Esso Essis")</f>
        <v>Mel Esso Essis</v>
      </c>
      <c r="B124" s="19" t="str">
        <f>IFERROR(__xludf.DUMMYFUNCTION("""COMPUTED_VALUE"""),"LEM")</f>
        <v>LEM</v>
      </c>
      <c r="C124" s="20">
        <f>IFERROR(__xludf.DUMMYFUNCTION("""COMPUTED_VALUE"""),6.0)</f>
        <v>6</v>
      </c>
      <c r="D124" s="21">
        <f>IFERROR(__xludf.DUMMYFUNCTION("""COMPUTED_VALUE"""),-0.005070039479284701)</f>
        <v>-0.005070039479</v>
      </c>
      <c r="E124" s="21">
        <f>IFERROR(__xludf.DUMMYFUNCTION("""COMPUTED_VALUE"""),-0.0702197286832178)</f>
        <v>-0.07021972868</v>
      </c>
      <c r="F124" s="21">
        <f>IFERROR(__xludf.DUMMYFUNCTION("""COMPUTED_VALUE"""),-0.07528976816250249)</f>
        <v>-0.07528976816</v>
      </c>
      <c r="G124" s="23">
        <f>IFERROR(__xludf.DUMMYFUNCTION("""COMPUTED_VALUE"""),0.003492942180180026)</f>
        <v>0.00349294218</v>
      </c>
      <c r="H124" s="4"/>
      <c r="I124" s="5" t="s">
        <v>1460</v>
      </c>
      <c r="J124" s="5" t="s">
        <v>1367</v>
      </c>
      <c r="K124" s="5">
        <v>3.0</v>
      </c>
      <c r="L124" s="5">
        <v>-0.0609</v>
      </c>
      <c r="M124" s="5">
        <v>0.00272</v>
      </c>
      <c r="N124" s="5">
        <v>-0.05818</v>
      </c>
      <c r="O124" s="5">
        <v>0.00178</v>
      </c>
    </row>
    <row r="125">
      <c r="A125" s="12" t="str">
        <f>IFERROR(__xludf.DUMMYFUNCTION("""COMPUTED_VALUE"""),"Samir Gbetkom Bikantchou")</f>
        <v>Samir Gbetkom Bikantchou</v>
      </c>
      <c r="B125" s="13" t="str">
        <f>IFERROR(__xludf.DUMMYFUNCTION("""COMPUTED_VALUE"""),"PORT")</f>
        <v>PORT</v>
      </c>
      <c r="C125" s="14">
        <f>IFERROR(__xludf.DUMMYFUNCTION("""COMPUTED_VALUE"""),27.0)</f>
        <v>27</v>
      </c>
      <c r="D125" s="15">
        <f>IFERROR(__xludf.DUMMYFUNCTION("""COMPUTED_VALUE"""),-0.29669444543799545)</f>
        <v>-0.2966944454</v>
      </c>
      <c r="E125" s="15">
        <f>IFERROR(__xludf.DUMMYFUNCTION("""COMPUTED_VALUE"""),0.2021781693430389)</f>
        <v>0.2021781693</v>
      </c>
      <c r="F125" s="15">
        <f>IFERROR(__xludf.DUMMYFUNCTION("""COMPUTED_VALUE"""),-0.09451627609495657)</f>
        <v>-0.09451627609</v>
      </c>
      <c r="G125" s="17">
        <f>IFERROR(__xludf.DUMMYFUNCTION("""COMPUTED_VALUE"""),0.015582266373397262)</f>
        <v>0.01558226637</v>
      </c>
      <c r="H125" s="4"/>
      <c r="I125" s="5" t="s">
        <v>1461</v>
      </c>
      <c r="J125" s="5" t="s">
        <v>1379</v>
      </c>
      <c r="K125" s="5">
        <v>3.0</v>
      </c>
      <c r="L125" s="5">
        <v>-0.05704</v>
      </c>
      <c r="M125" s="5">
        <v>-0.00284</v>
      </c>
      <c r="N125" s="5">
        <v>-0.05988</v>
      </c>
      <c r="O125" s="5">
        <v>0.00181</v>
      </c>
    </row>
    <row r="126">
      <c r="A126" s="18" t="str">
        <f>IFERROR(__xludf.DUMMYFUNCTION("""COMPUTED_VALUE"""),"Benjamin Sene")</f>
        <v>Benjamin Sene</v>
      </c>
      <c r="B126" s="19" t="str">
        <f>IFERROR(__xludf.DUMMYFUNCTION("""COMPUTED_VALUE"""),"GRV")</f>
        <v>GRV</v>
      </c>
      <c r="C126" s="20">
        <f>IFERROR(__xludf.DUMMYFUNCTION("""COMPUTED_VALUE"""),716.0)</f>
        <v>716</v>
      </c>
      <c r="D126" s="21">
        <f>IFERROR(__xludf.DUMMYFUNCTION("""COMPUTED_VALUE"""),0.07195705463550373)</f>
        <v>0.07195705464</v>
      </c>
      <c r="E126" s="21">
        <f>IFERROR(__xludf.DUMMYFUNCTION("""COMPUTED_VALUE"""),-0.17203837923176)</f>
        <v>-0.1720383792</v>
      </c>
      <c r="F126" s="21">
        <f>IFERROR(__xludf.DUMMYFUNCTION("""COMPUTED_VALUE"""),-0.10008132459625627)</f>
        <v>-0.1000813246</v>
      </c>
      <c r="G126" s="23">
        <f>IFERROR(__xludf.DUMMYFUNCTION("""COMPUTED_VALUE"""),0.43450848087655414)</f>
        <v>0.4345084809</v>
      </c>
      <c r="H126" s="4"/>
      <c r="I126" s="5" t="s">
        <v>1462</v>
      </c>
      <c r="J126" s="5" t="s">
        <v>1335</v>
      </c>
      <c r="K126" s="5">
        <v>6.0</v>
      </c>
      <c r="L126" s="5">
        <v>-0.0066</v>
      </c>
      <c r="M126" s="5">
        <v>-0.06519</v>
      </c>
      <c r="N126" s="5">
        <v>-0.07179</v>
      </c>
      <c r="O126" s="5">
        <v>0.00351</v>
      </c>
    </row>
    <row r="127">
      <c r="A127" s="12" t="str">
        <f>IFERROR(__xludf.DUMMYFUNCTION("""COMPUTED_VALUE"""),"Ekene Ibekwe")</f>
        <v>Ekene Ibekwe</v>
      </c>
      <c r="B127" s="13" t="str">
        <f>IFERROR(__xludf.DUMMYFUNCTION("""COMPUTED_VALUE"""),"RCB")</f>
        <v>RCB</v>
      </c>
      <c r="C127" s="14">
        <f>IFERROR(__xludf.DUMMYFUNCTION("""COMPUTED_VALUE"""),405.0)</f>
        <v>405</v>
      </c>
      <c r="D127" s="15">
        <f>IFERROR(__xludf.DUMMYFUNCTION("""COMPUTED_VALUE"""),-1.5070655564140911)</f>
        <v>-1.507065556</v>
      </c>
      <c r="E127" s="15">
        <f>IFERROR(__xludf.DUMMYFUNCTION("""COMPUTED_VALUE"""),1.4032312508874878)</f>
        <v>1.403231251</v>
      </c>
      <c r="F127" s="15">
        <f>IFERROR(__xludf.DUMMYFUNCTION("""COMPUTED_VALUE"""),-0.10383430552660325)</f>
        <v>-0.1038343055</v>
      </c>
      <c r="G127" s="17">
        <f>IFERROR(__xludf.DUMMYFUNCTION("""COMPUTED_VALUE"""),0.23413021532369682)</f>
        <v>0.2341302153</v>
      </c>
      <c r="H127" s="4"/>
      <c r="I127" s="5" t="s">
        <v>1463</v>
      </c>
      <c r="J127" s="5" t="s">
        <v>1314</v>
      </c>
      <c r="K127" s="5">
        <v>716.0</v>
      </c>
      <c r="L127" s="5">
        <v>0.04363</v>
      </c>
      <c r="M127" s="5">
        <v>-0.1246</v>
      </c>
      <c r="N127" s="5">
        <v>-0.08097</v>
      </c>
      <c r="O127" s="5">
        <v>0.43888</v>
      </c>
    </row>
    <row r="128">
      <c r="A128" s="18" t="str">
        <f>IFERROR(__xludf.DUMMYFUNCTION("""COMPUTED_VALUE"""),"Louis Rucklin")</f>
        <v>Louis Rucklin</v>
      </c>
      <c r="B128" s="19" t="str">
        <f>IFERROR(__xludf.DUMMYFUNCTION("""COMPUTED_VALUE"""),"STR")</f>
        <v>STR</v>
      </c>
      <c r="C128" s="20">
        <f>IFERROR(__xludf.DUMMYFUNCTION("""COMPUTED_VALUE"""),2.0)</f>
        <v>2</v>
      </c>
      <c r="D128" s="21">
        <f>IFERROR(__xludf.DUMMYFUNCTION("""COMPUTED_VALUE"""),-0.0730449154419788)</f>
        <v>-0.07304491544</v>
      </c>
      <c r="E128" s="21">
        <f>IFERROR(__xludf.DUMMYFUNCTION("""COMPUTED_VALUE"""),-0.045028576009829)</f>
        <v>-0.04502857601</v>
      </c>
      <c r="F128" s="21">
        <f>IFERROR(__xludf.DUMMYFUNCTION("""COMPUTED_VALUE"""),-0.1180734914518078)</f>
        <v>-0.1180734915</v>
      </c>
      <c r="G128" s="23">
        <f>IFERROR(__xludf.DUMMYFUNCTION("""COMPUTED_VALUE"""),0.0011788107833546214)</f>
        <v>0.001178810783</v>
      </c>
      <c r="H128" s="4"/>
      <c r="I128" s="5" t="s">
        <v>1464</v>
      </c>
      <c r="J128" s="5" t="s">
        <v>1348</v>
      </c>
      <c r="K128" s="5">
        <v>27.0</v>
      </c>
      <c r="L128" s="5">
        <v>-0.30027</v>
      </c>
      <c r="M128" s="5">
        <v>0.20616</v>
      </c>
      <c r="N128" s="5">
        <v>-0.09412</v>
      </c>
      <c r="O128" s="5">
        <v>0.01559</v>
      </c>
    </row>
    <row r="129">
      <c r="A129" s="12" t="str">
        <f>IFERROR(__xludf.DUMMYFUNCTION("""COMPUTED_VALUE"""),"Marc Kwedi")</f>
        <v>Marc Kwedi</v>
      </c>
      <c r="B129" s="13" t="str">
        <f>IFERROR(__xludf.DUMMYFUNCTION("""COMPUTED_VALUE"""),"STR")</f>
        <v>STR</v>
      </c>
      <c r="C129" s="14">
        <f>IFERROR(__xludf.DUMMYFUNCTION("""COMPUTED_VALUE"""),1.0)</f>
        <v>1</v>
      </c>
      <c r="D129" s="15">
        <f>IFERROR(__xludf.DUMMYFUNCTION("""COMPUTED_VALUE"""),-0.031223484994403576)</f>
        <v>-0.03122348499</v>
      </c>
      <c r="E129" s="15">
        <f>IFERROR(__xludf.DUMMYFUNCTION("""COMPUTED_VALUE"""),-0.11081407252789585)</f>
        <v>-0.1108140725</v>
      </c>
      <c r="F129" s="15">
        <f>IFERROR(__xludf.DUMMYFUNCTION("""COMPUTED_VALUE"""),-0.14203755752229943)</f>
        <v>-0.1420375575</v>
      </c>
      <c r="G129" s="17">
        <f>IFERROR(__xludf.DUMMYFUNCTION("""COMPUTED_VALUE"""),5.819000243400095E-4)</f>
        <v>0.0005819000243</v>
      </c>
      <c r="H129" s="4"/>
      <c r="I129" s="5" t="s">
        <v>877</v>
      </c>
      <c r="J129" s="5" t="s">
        <v>1367</v>
      </c>
      <c r="K129" s="5">
        <v>405.0</v>
      </c>
      <c r="L129" s="5">
        <v>-1.55201</v>
      </c>
      <c r="M129" s="5">
        <v>1.44836</v>
      </c>
      <c r="N129" s="5">
        <v>-0.10365</v>
      </c>
      <c r="O129" s="5">
        <v>0.23415</v>
      </c>
    </row>
    <row r="130">
      <c r="A130" s="18" t="str">
        <f>IFERROR(__xludf.DUMMYFUNCTION("""COMPUTED_VALUE"""),"Noah Burrell")</f>
        <v>Noah Burrell</v>
      </c>
      <c r="B130" s="19" t="str">
        <f>IFERROR(__xludf.DUMMYFUNCTION("""COMPUTED_VALUE"""),"DIJ")</f>
        <v>DIJ</v>
      </c>
      <c r="C130" s="20">
        <f>IFERROR(__xludf.DUMMYFUNCTION("""COMPUTED_VALUE"""),13.0)</f>
        <v>13</v>
      </c>
      <c r="D130" s="21">
        <f>IFERROR(__xludf.DUMMYFUNCTION("""COMPUTED_VALUE"""),-0.3126861408962457)</f>
        <v>-0.3126861409</v>
      </c>
      <c r="E130" s="21">
        <f>IFERROR(__xludf.DUMMYFUNCTION("""COMPUTED_VALUE"""),0.1608910301370256)</f>
        <v>0.1608910301</v>
      </c>
      <c r="F130" s="21">
        <f>IFERROR(__xludf.DUMMYFUNCTION("""COMPUTED_VALUE"""),-0.1517951107592201)</f>
        <v>-0.1517951108</v>
      </c>
      <c r="G130" s="23">
        <f>IFERROR(__xludf.DUMMYFUNCTION("""COMPUTED_VALUE"""),0.007365610864521698)</f>
        <v>0.007365610865</v>
      </c>
      <c r="H130" s="4"/>
      <c r="I130" s="5" t="s">
        <v>1176</v>
      </c>
      <c r="J130" s="5" t="s">
        <v>1327</v>
      </c>
      <c r="K130" s="5">
        <v>265.0</v>
      </c>
      <c r="L130" s="5">
        <v>-0.7836</v>
      </c>
      <c r="M130" s="5">
        <v>0.67633</v>
      </c>
      <c r="N130" s="5">
        <v>-0.10727</v>
      </c>
      <c r="O130" s="5">
        <v>0.16003</v>
      </c>
    </row>
    <row r="131">
      <c r="A131" s="12" t="str">
        <f>IFERROR(__xludf.DUMMYFUNCTION("""COMPUTED_VALUE"""),"Leopold Ca")</f>
        <v>Leopold Ca</v>
      </c>
      <c r="B131" s="13" t="str">
        <f>IFERROR(__xludf.DUMMYFUNCTION("""COMPUTED_VALUE"""),"ASM")</f>
        <v>ASM</v>
      </c>
      <c r="C131" s="14">
        <f>IFERROR(__xludf.DUMMYFUNCTION("""COMPUTED_VALUE"""),4.0)</f>
        <v>4</v>
      </c>
      <c r="D131" s="15">
        <f>IFERROR(__xludf.DUMMYFUNCTION("""COMPUTED_VALUE"""),-0.13119866500022645)</f>
        <v>-0.131198665</v>
      </c>
      <c r="E131" s="15">
        <f>IFERROR(__xludf.DUMMYFUNCTION("""COMPUTED_VALUE"""),-0.022231476115963905)</f>
        <v>-0.02223147612</v>
      </c>
      <c r="F131" s="15">
        <f>IFERROR(__xludf.DUMMYFUNCTION("""COMPUTED_VALUE"""),-0.15343014111619035)</f>
        <v>-0.1534301411</v>
      </c>
      <c r="G131" s="17">
        <f>IFERROR(__xludf.DUMMYFUNCTION("""COMPUTED_VALUE"""),0.002421268760346555)</f>
        <v>0.00242126876</v>
      </c>
      <c r="H131" s="4"/>
      <c r="I131" s="5" t="s">
        <v>1465</v>
      </c>
      <c r="J131" s="5" t="s">
        <v>1311</v>
      </c>
      <c r="K131" s="5">
        <v>2.0</v>
      </c>
      <c r="L131" s="5">
        <v>-0.07344</v>
      </c>
      <c r="M131" s="5">
        <v>-0.04328</v>
      </c>
      <c r="N131" s="5">
        <v>-0.11672</v>
      </c>
      <c r="O131" s="5">
        <v>0.00116</v>
      </c>
    </row>
    <row r="132">
      <c r="A132" s="18" t="str">
        <f>IFERROR(__xludf.DUMMYFUNCTION("""COMPUTED_VALUE"""),"Shekinah Munanga")</f>
        <v>Shekinah Munanga</v>
      </c>
      <c r="B132" s="19" t="str">
        <f>IFERROR(__xludf.DUMMYFUNCTION("""COMPUTED_VALUE"""),"ASM")</f>
        <v>ASM</v>
      </c>
      <c r="C132" s="20">
        <f>IFERROR(__xludf.DUMMYFUNCTION("""COMPUTED_VALUE"""),7.0)</f>
        <v>7</v>
      </c>
      <c r="D132" s="21">
        <f>IFERROR(__xludf.DUMMYFUNCTION("""COMPUTED_VALUE"""),-0.30277201110253715)</f>
        <v>-0.3027720111</v>
      </c>
      <c r="E132" s="21">
        <f>IFERROR(__xludf.DUMMYFUNCTION("""COMPUTED_VALUE"""),0.1450356096033739)</f>
        <v>0.1450356096</v>
      </c>
      <c r="F132" s="21">
        <f>IFERROR(__xludf.DUMMYFUNCTION("""COMPUTED_VALUE"""),-0.15773640149916326)</f>
        <v>-0.1577364015</v>
      </c>
      <c r="G132" s="23">
        <f>IFERROR(__xludf.DUMMYFUNCTION("""COMPUTED_VALUE"""),0.004227338996328304)</f>
        <v>0.004227338996</v>
      </c>
      <c r="H132" s="4"/>
      <c r="I132" s="5" t="s">
        <v>1466</v>
      </c>
      <c r="J132" s="5" t="s">
        <v>1327</v>
      </c>
      <c r="K132" s="5">
        <v>7.0</v>
      </c>
      <c r="L132" s="5">
        <v>-0.0077</v>
      </c>
      <c r="M132" s="5">
        <v>-0.12017</v>
      </c>
      <c r="N132" s="5">
        <v>-0.12787</v>
      </c>
      <c r="O132" s="5">
        <v>0.00418</v>
      </c>
    </row>
    <row r="133">
      <c r="A133" s="12" t="str">
        <f>IFERROR(__xludf.DUMMYFUNCTION("""COMPUTED_VALUE"""),"Theo Bottle")</f>
        <v>Theo Bottle</v>
      </c>
      <c r="B133" s="13" t="str">
        <f>IFERROR(__xludf.DUMMYFUNCTION("""COMPUTED_VALUE"""),"HYT")</f>
        <v>HYT</v>
      </c>
      <c r="C133" s="14">
        <f>IFERROR(__xludf.DUMMYFUNCTION("""COMPUTED_VALUE"""),2.0)</f>
        <v>2</v>
      </c>
      <c r="D133" s="15">
        <f>IFERROR(__xludf.DUMMYFUNCTION("""COMPUTED_VALUE"""),-0.11286761443657573)</f>
        <v>-0.1128676144</v>
      </c>
      <c r="E133" s="15">
        <f>IFERROR(__xludf.DUMMYFUNCTION("""COMPUTED_VALUE"""),-0.06478482887396664)</f>
        <v>-0.06478482887</v>
      </c>
      <c r="F133" s="15">
        <f>IFERROR(__xludf.DUMMYFUNCTION("""COMPUTED_VALUE"""),-0.17765244331054236)</f>
        <v>-0.1776524433</v>
      </c>
      <c r="G133" s="17">
        <f>IFERROR(__xludf.DUMMYFUNCTION("""COMPUTED_VALUE"""),0.0011274358751199416)</f>
        <v>0.001127435875</v>
      </c>
      <c r="H133" s="4"/>
      <c r="I133" s="5" t="s">
        <v>1467</v>
      </c>
      <c r="J133" s="5" t="s">
        <v>1311</v>
      </c>
      <c r="K133" s="5">
        <v>111.0</v>
      </c>
      <c r="L133" s="5">
        <v>-0.32868</v>
      </c>
      <c r="M133" s="5">
        <v>0.19455</v>
      </c>
      <c r="N133" s="5">
        <v>-0.13413</v>
      </c>
      <c r="O133" s="5">
        <v>0.06366</v>
      </c>
    </row>
    <row r="134">
      <c r="A134" s="18" t="str">
        <f>IFERROR(__xludf.DUMMYFUNCTION("""COMPUTED_VALUE"""),"Jean Victor Traore")</f>
        <v>Jean Victor Traore</v>
      </c>
      <c r="B134" s="19" t="str">
        <f>IFERROR(__xludf.DUMMYFUNCTION("""COMPUTED_VALUE"""),"PORT")</f>
        <v>PORT</v>
      </c>
      <c r="C134" s="20">
        <f>IFERROR(__xludf.DUMMYFUNCTION("""COMPUTED_VALUE"""),731.0)</f>
        <v>731</v>
      </c>
      <c r="D134" s="21">
        <f>IFERROR(__xludf.DUMMYFUNCTION("""COMPUTED_VALUE"""),-2.6153748993550767)</f>
        <v>-2.615374899</v>
      </c>
      <c r="E134" s="21">
        <f>IFERROR(__xludf.DUMMYFUNCTION("""COMPUTED_VALUE"""),2.4369046752383268)</f>
        <v>2.436904675</v>
      </c>
      <c r="F134" s="21">
        <f>IFERROR(__xludf.DUMMYFUNCTION("""COMPUTED_VALUE"""),-0.17847022411675018)</f>
        <v>-0.1784702241</v>
      </c>
      <c r="G134" s="23">
        <f>IFERROR(__xludf.DUMMYFUNCTION("""COMPUTED_VALUE"""),0.40328797101144054)</f>
        <v>0.403287971</v>
      </c>
      <c r="H134" s="4"/>
      <c r="I134" s="5" t="s">
        <v>1468</v>
      </c>
      <c r="J134" s="5" t="s">
        <v>1311</v>
      </c>
      <c r="K134" s="5">
        <v>1.0</v>
      </c>
      <c r="L134" s="5">
        <v>-0.03028</v>
      </c>
      <c r="M134" s="5">
        <v>-0.10991</v>
      </c>
      <c r="N134" s="5">
        <v>-0.14019</v>
      </c>
      <c r="O134" s="5">
        <v>5.7E-4</v>
      </c>
    </row>
    <row r="135">
      <c r="A135" s="12" t="str">
        <f>IFERROR(__xludf.DUMMYFUNCTION("""COMPUTED_VALUE"""),"Yakuba Ouattara")</f>
        <v>Yakuba Ouattara</v>
      </c>
      <c r="B135" s="13" t="str">
        <f>IFERROR(__xludf.DUMMYFUNCTION("""COMPUTED_VALUE"""),"ASM")</f>
        <v>ASM</v>
      </c>
      <c r="C135" s="14">
        <f>IFERROR(__xludf.DUMMYFUNCTION("""COMPUTED_VALUE"""),21.0)</f>
        <v>21</v>
      </c>
      <c r="D135" s="15">
        <f>IFERROR(__xludf.DUMMYFUNCTION("""COMPUTED_VALUE"""),-0.15352800454349871)</f>
        <v>-0.1535280045</v>
      </c>
      <c r="E135" s="15">
        <f>IFERROR(__xludf.DUMMYFUNCTION("""COMPUTED_VALUE"""),-0.02805555913868571)</f>
        <v>-0.02805555914</v>
      </c>
      <c r="F135" s="15">
        <f>IFERROR(__xludf.DUMMYFUNCTION("""COMPUTED_VALUE"""),-0.18158356368218442)</f>
        <v>-0.1815835637</v>
      </c>
      <c r="G135" s="17">
        <f>IFERROR(__xludf.DUMMYFUNCTION("""COMPUTED_VALUE"""),0.012517854750643855)</f>
        <v>0.01251785475</v>
      </c>
      <c r="H135" s="4"/>
      <c r="I135" s="5" t="s">
        <v>1469</v>
      </c>
      <c r="J135" s="5" t="s">
        <v>1308</v>
      </c>
      <c r="K135" s="5">
        <v>13.0</v>
      </c>
      <c r="L135" s="5">
        <v>-0.30767</v>
      </c>
      <c r="M135" s="5">
        <v>0.16696</v>
      </c>
      <c r="N135" s="5">
        <v>-0.1407</v>
      </c>
      <c r="O135" s="5">
        <v>0.0074</v>
      </c>
    </row>
    <row r="136">
      <c r="A136" s="18" t="str">
        <f>IFERROR(__xludf.DUMMYFUNCTION("""COMPUTED_VALUE"""),"Melvyn Govindy")</f>
        <v>Melvyn Govindy</v>
      </c>
      <c r="B136" s="19" t="str">
        <f>IFERROR(__xludf.DUMMYFUNCTION("""COMPUTED_VALUE"""),"CHO")</f>
        <v>CHO</v>
      </c>
      <c r="C136" s="20">
        <f>IFERROR(__xludf.DUMMYFUNCTION("""COMPUTED_VALUE"""),4.0)</f>
        <v>4</v>
      </c>
      <c r="D136" s="21">
        <f>IFERROR(__xludf.DUMMYFUNCTION("""COMPUTED_VALUE"""),-0.3226362631280923)</f>
        <v>-0.3226362631</v>
      </c>
      <c r="E136" s="21">
        <f>IFERROR(__xludf.DUMMYFUNCTION("""COMPUTED_VALUE"""),0.11490445187867573)</f>
        <v>0.1149044519</v>
      </c>
      <c r="F136" s="21">
        <f>IFERROR(__xludf.DUMMYFUNCTION("""COMPUTED_VALUE"""),-0.20773181124941656)</f>
        <v>-0.2077318112</v>
      </c>
      <c r="G136" s="23">
        <f>IFERROR(__xludf.DUMMYFUNCTION("""COMPUTED_VALUE"""),0.0022266234920076673)</f>
        <v>0.002226623492</v>
      </c>
      <c r="H136" s="4"/>
      <c r="I136" s="5" t="s">
        <v>1470</v>
      </c>
      <c r="J136" s="5" t="s">
        <v>1317</v>
      </c>
      <c r="K136" s="5">
        <v>4.0</v>
      </c>
      <c r="L136" s="5">
        <v>-0.13064</v>
      </c>
      <c r="M136" s="5">
        <v>-0.0201</v>
      </c>
      <c r="N136" s="5">
        <v>-0.15074</v>
      </c>
      <c r="O136" s="5">
        <v>0.00242</v>
      </c>
    </row>
    <row r="137">
      <c r="A137" s="12" t="str">
        <f>IFERROR(__xludf.DUMMYFUNCTION("""COMPUTED_VALUE"""),"Charles Lombahe-Kahudi")</f>
        <v>Charles Lombahe-Kahudi</v>
      </c>
      <c r="B137" s="13" t="str">
        <f>IFERROR(__xludf.DUMMYFUNCTION("""COMPUTED_VALUE"""),"LYV")</f>
        <v>LYV</v>
      </c>
      <c r="C137" s="14">
        <f>IFERROR(__xludf.DUMMYFUNCTION("""COMPUTED_VALUE"""),871.0)</f>
        <v>871</v>
      </c>
      <c r="D137" s="15">
        <f>IFERROR(__xludf.DUMMYFUNCTION("""COMPUTED_VALUE"""),-0.06601742257283238)</f>
        <v>-0.06601742257</v>
      </c>
      <c r="E137" s="15">
        <f>IFERROR(__xludf.DUMMYFUNCTION("""COMPUTED_VALUE"""),-0.15331748247993182)</f>
        <v>-0.1533174825</v>
      </c>
      <c r="F137" s="15">
        <f>IFERROR(__xludf.DUMMYFUNCTION("""COMPUTED_VALUE"""),-0.2193349050527642)</f>
        <v>-0.2193349051</v>
      </c>
      <c r="G137" s="17">
        <f>IFERROR(__xludf.DUMMYFUNCTION("""COMPUTED_VALUE"""),0.4696799313706381)</f>
        <v>0.4696799314</v>
      </c>
      <c r="H137" s="4"/>
      <c r="I137" s="5" t="s">
        <v>1471</v>
      </c>
      <c r="J137" s="5" t="s">
        <v>1317</v>
      </c>
      <c r="K137" s="5">
        <v>7.0</v>
      </c>
      <c r="L137" s="5">
        <v>-0.30531</v>
      </c>
      <c r="M137" s="5">
        <v>0.1487</v>
      </c>
      <c r="N137" s="5">
        <v>-0.15661</v>
      </c>
      <c r="O137" s="5">
        <v>0.00421</v>
      </c>
    </row>
    <row r="138">
      <c r="A138" s="18" t="str">
        <f>IFERROR(__xludf.DUMMYFUNCTION("""COMPUTED_VALUE"""),"Will Yeguete")</f>
        <v>Will Yeguete</v>
      </c>
      <c r="B138" s="19" t="str">
        <f>IFERROR(__xludf.DUMMYFUNCTION("""COMPUTED_VALUE"""),"LEM")</f>
        <v>LEM</v>
      </c>
      <c r="C138" s="20">
        <f>IFERROR(__xludf.DUMMYFUNCTION("""COMPUTED_VALUE"""),657.0)</f>
        <v>657</v>
      </c>
      <c r="D138" s="21">
        <f>IFERROR(__xludf.DUMMYFUNCTION("""COMPUTED_VALUE"""),-2.9995853074884655)</f>
        <v>-2.999585307</v>
      </c>
      <c r="E138" s="21">
        <f>IFERROR(__xludf.DUMMYFUNCTION("""COMPUTED_VALUE"""),2.7665344728036416)</f>
        <v>2.766534473</v>
      </c>
      <c r="F138" s="21">
        <f>IFERROR(__xludf.DUMMYFUNCTION("""COMPUTED_VALUE"""),-0.23305083468482413)</f>
        <v>-0.2330508347</v>
      </c>
      <c r="G138" s="23">
        <f>IFERROR(__xludf.DUMMYFUNCTION("""COMPUTED_VALUE"""),0.3511269919284852)</f>
        <v>0.3511269919</v>
      </c>
      <c r="H138" s="4"/>
      <c r="I138" s="5" t="s">
        <v>1472</v>
      </c>
      <c r="J138" s="5" t="s">
        <v>1311</v>
      </c>
      <c r="K138" s="5">
        <v>272.0</v>
      </c>
      <c r="L138" s="5">
        <v>-0.89816</v>
      </c>
      <c r="M138" s="5">
        <v>0.73709</v>
      </c>
      <c r="N138" s="5">
        <v>-0.16107</v>
      </c>
      <c r="O138" s="5">
        <v>0.15375</v>
      </c>
    </row>
    <row r="139">
      <c r="A139" s="12" t="str">
        <f>IFERROR(__xludf.DUMMYFUNCTION("""COMPUTED_VALUE"""),"Meven Le Douarin")</f>
        <v>Meven Le Douarin</v>
      </c>
      <c r="B139" s="13" t="str">
        <f>IFERROR(__xludf.DUMMYFUNCTION("""COMPUTED_VALUE"""),"GRV")</f>
        <v>GRV</v>
      </c>
      <c r="C139" s="14">
        <f>IFERROR(__xludf.DUMMYFUNCTION("""COMPUTED_VALUE"""),3.0)</f>
        <v>3</v>
      </c>
      <c r="D139" s="15">
        <f>IFERROR(__xludf.DUMMYFUNCTION("""COMPUTED_VALUE"""),-0.17486555750290017)</f>
        <v>-0.1748655575</v>
      </c>
      <c r="E139" s="15">
        <f>IFERROR(__xludf.DUMMYFUNCTION("""COMPUTED_VALUE"""),-0.06295777495761395)</f>
        <v>-0.06295777496</v>
      </c>
      <c r="F139" s="15">
        <f>IFERROR(__xludf.DUMMYFUNCTION("""COMPUTED_VALUE"""),-0.23782333246051413)</f>
        <v>-0.2378233325</v>
      </c>
      <c r="G139" s="17">
        <f>IFERROR(__xludf.DUMMYFUNCTION("""COMPUTED_VALUE"""),0.0016885772153146382)</f>
        <v>0.001688577215</v>
      </c>
      <c r="H139" s="4"/>
      <c r="I139" s="5" t="s">
        <v>1473</v>
      </c>
      <c r="J139" s="5" t="s">
        <v>1457</v>
      </c>
      <c r="K139" s="5">
        <v>2.0</v>
      </c>
      <c r="L139" s="5">
        <v>-0.11324</v>
      </c>
      <c r="M139" s="5">
        <v>-0.06448</v>
      </c>
      <c r="N139" s="5">
        <v>-0.17772</v>
      </c>
      <c r="O139" s="5">
        <v>0.00113</v>
      </c>
    </row>
    <row r="140">
      <c r="A140" s="18" t="str">
        <f>IFERROR(__xludf.DUMMYFUNCTION("""COMPUTED_VALUE"""),"Tim Eboh")</f>
        <v>Tim Eboh</v>
      </c>
      <c r="B140" s="19" t="str">
        <f>IFERROR(__xludf.DUMMYFUNCTION("""COMPUTED_VALUE"""),"CSP")</f>
        <v>CSP</v>
      </c>
      <c r="C140" s="20">
        <f>IFERROR(__xludf.DUMMYFUNCTION("""COMPUTED_VALUE"""),13.0)</f>
        <v>13</v>
      </c>
      <c r="D140" s="21">
        <f>IFERROR(__xludf.DUMMYFUNCTION("""COMPUTED_VALUE"""),-0.36233307696945616)</f>
        <v>-0.362333077</v>
      </c>
      <c r="E140" s="21">
        <f>IFERROR(__xludf.DUMMYFUNCTION("""COMPUTED_VALUE"""),0.06792067743835134)</f>
        <v>0.06792067744</v>
      </c>
      <c r="F140" s="21">
        <f>IFERROR(__xludf.DUMMYFUNCTION("""COMPUTED_VALUE"""),-0.2944123995311048)</f>
        <v>-0.2944123995</v>
      </c>
      <c r="G140" s="23">
        <f>IFERROR(__xludf.DUMMYFUNCTION("""COMPUTED_VALUE"""),0.007084509968446413)</f>
        <v>0.007084509968</v>
      </c>
      <c r="H140" s="4"/>
      <c r="I140" s="5" t="s">
        <v>1474</v>
      </c>
      <c r="J140" s="5" t="s">
        <v>1348</v>
      </c>
      <c r="K140" s="5">
        <v>731.0</v>
      </c>
      <c r="L140" s="5">
        <v>-2.65991</v>
      </c>
      <c r="M140" s="5">
        <v>2.48196</v>
      </c>
      <c r="N140" s="5">
        <v>-0.17795</v>
      </c>
      <c r="O140" s="5">
        <v>0.4034</v>
      </c>
    </row>
    <row r="141">
      <c r="A141" s="12" t="str">
        <f>IFERROR(__xludf.DUMMYFUNCTION("""COMPUTED_VALUE"""),"Thimotee Bazille")</f>
        <v>Thimotee Bazille</v>
      </c>
      <c r="B141" s="13" t="str">
        <f>IFERROR(__xludf.DUMMYFUNCTION("""COMPUTED_VALUE"""),"CSP")</f>
        <v>CSP</v>
      </c>
      <c r="C141" s="14">
        <f>IFERROR(__xludf.DUMMYFUNCTION("""COMPUTED_VALUE"""),27.0)</f>
        <v>27</v>
      </c>
      <c r="D141" s="15">
        <f>IFERROR(__xludf.DUMMYFUNCTION("""COMPUTED_VALUE"""),-0.40442022652315907)</f>
        <v>-0.4044202265</v>
      </c>
      <c r="E141" s="15">
        <f>IFERROR(__xludf.DUMMYFUNCTION("""COMPUTED_VALUE"""),0.09881349802233702)</f>
        <v>0.09881349802</v>
      </c>
      <c r="F141" s="15">
        <f>IFERROR(__xludf.DUMMYFUNCTION("""COMPUTED_VALUE"""),-0.30560672850082204)</f>
        <v>-0.3056067285</v>
      </c>
      <c r="G141" s="17">
        <f>IFERROR(__xludf.DUMMYFUNCTION("""COMPUTED_VALUE"""),0.014617409566777317)</f>
        <v>0.01461740957</v>
      </c>
      <c r="H141" s="4"/>
      <c r="I141" s="5" t="s">
        <v>1475</v>
      </c>
      <c r="J141" s="5" t="s">
        <v>1317</v>
      </c>
      <c r="K141" s="5">
        <v>21.0</v>
      </c>
      <c r="L141" s="5">
        <v>-0.16269</v>
      </c>
      <c r="M141" s="5">
        <v>-0.0171</v>
      </c>
      <c r="N141" s="5">
        <v>-0.1798</v>
      </c>
      <c r="O141" s="5">
        <v>0.01248</v>
      </c>
    </row>
    <row r="142">
      <c r="A142" s="18" t="str">
        <f>IFERROR(__xludf.DUMMYFUNCTION("""COMPUTED_VALUE"""),"Ludovic Beyhurst")</f>
        <v>Ludovic Beyhurst</v>
      </c>
      <c r="B142" s="19" t="str">
        <f>IFERROR(__xludf.DUMMYFUNCTION("""COMPUTED_VALUE"""),"STR")</f>
        <v>STR</v>
      </c>
      <c r="C142" s="20">
        <f>IFERROR(__xludf.DUMMYFUNCTION("""COMPUTED_VALUE"""),121.0)</f>
        <v>121</v>
      </c>
      <c r="D142" s="21">
        <f>IFERROR(__xludf.DUMMYFUNCTION("""COMPUTED_VALUE"""),-0.4773384392737886)</f>
        <v>-0.4773384393</v>
      </c>
      <c r="E142" s="21">
        <f>IFERROR(__xludf.DUMMYFUNCTION("""COMPUTED_VALUE"""),0.13609552124654978)</f>
        <v>0.1360955212</v>
      </c>
      <c r="F142" s="21">
        <f>IFERROR(__xludf.DUMMYFUNCTION("""COMPUTED_VALUE"""),-0.34124291802723883)</f>
        <v>-0.341242918</v>
      </c>
      <c r="G142" s="23">
        <f>IFERROR(__xludf.DUMMYFUNCTION("""COMPUTED_VALUE"""),0.06286075675217499)</f>
        <v>0.06286075675</v>
      </c>
      <c r="H142" s="4"/>
      <c r="I142" s="5" t="s">
        <v>1476</v>
      </c>
      <c r="J142" s="5" t="s">
        <v>1375</v>
      </c>
      <c r="K142" s="5">
        <v>4.0</v>
      </c>
      <c r="L142" s="5">
        <v>-0.32327</v>
      </c>
      <c r="M142" s="5">
        <v>0.11551</v>
      </c>
      <c r="N142" s="5">
        <v>-0.20776</v>
      </c>
      <c r="O142" s="5">
        <v>0.00223</v>
      </c>
    </row>
    <row r="143">
      <c r="A143" s="12" t="str">
        <f>IFERROR(__xludf.DUMMYFUNCTION("""COMPUTED_VALUE"""),"Quentin Goulmy")</f>
        <v>Quentin Goulmy</v>
      </c>
      <c r="B143" s="13" t="str">
        <f>IFERROR(__xludf.DUMMYFUNCTION("""COMPUTED_VALUE"""),"STR")</f>
        <v>STR</v>
      </c>
      <c r="C143" s="14">
        <f>IFERROR(__xludf.DUMMYFUNCTION("""COMPUTED_VALUE"""),10.0)</f>
        <v>10</v>
      </c>
      <c r="D143" s="15">
        <f>IFERROR(__xludf.DUMMYFUNCTION("""COMPUTED_VALUE"""),-0.2082070883045761)</f>
        <v>-0.2082070883</v>
      </c>
      <c r="E143" s="15">
        <f>IFERROR(__xludf.DUMMYFUNCTION("""COMPUTED_VALUE"""),-0.13532140757000313)</f>
        <v>-0.1353214076</v>
      </c>
      <c r="F143" s="15">
        <f>IFERROR(__xludf.DUMMYFUNCTION("""COMPUTED_VALUE"""),-0.34352849587457923)</f>
        <v>-0.3435284959</v>
      </c>
      <c r="G143" s="17">
        <f>IFERROR(__xludf.DUMMYFUNCTION("""COMPUTED_VALUE"""),0.005187945603914883)</f>
        <v>0.005187945604</v>
      </c>
      <c r="H143" s="4"/>
      <c r="I143" s="5" t="s">
        <v>1477</v>
      </c>
      <c r="J143" s="5" t="s">
        <v>1314</v>
      </c>
      <c r="K143" s="5">
        <v>3.0</v>
      </c>
      <c r="L143" s="5">
        <v>-0.17513</v>
      </c>
      <c r="M143" s="5">
        <v>-0.06249</v>
      </c>
      <c r="N143" s="5">
        <v>-0.23762</v>
      </c>
      <c r="O143" s="5">
        <v>0.00169</v>
      </c>
    </row>
    <row r="144">
      <c r="A144" s="18" t="str">
        <f>IFERROR(__xludf.DUMMYFUNCTION("""COMPUTED_VALUE"""),"Alexandre Aygalenq")</f>
        <v>Alexandre Aygalenq</v>
      </c>
      <c r="B144" s="19" t="str">
        <f>IFERROR(__xludf.DUMMYFUNCTION("""COMPUTED_VALUE"""),"BBD")</f>
        <v>BBD</v>
      </c>
      <c r="C144" s="20">
        <f>IFERROR(__xludf.DUMMYFUNCTION("""COMPUTED_VALUE"""),130.0)</f>
        <v>130</v>
      </c>
      <c r="D144" s="21">
        <f>IFERROR(__xludf.DUMMYFUNCTION("""COMPUTED_VALUE"""),0.2184140123684415)</f>
        <v>0.2184140124</v>
      </c>
      <c r="E144" s="21">
        <f>IFERROR(__xludf.DUMMYFUNCTION("""COMPUTED_VALUE"""),-0.570363510817563)</f>
        <v>-0.5703635108</v>
      </c>
      <c r="F144" s="21">
        <f>IFERROR(__xludf.DUMMYFUNCTION("""COMPUTED_VALUE"""),-0.3519494984491215)</f>
        <v>-0.3519494984</v>
      </c>
      <c r="G144" s="23">
        <f>IFERROR(__xludf.DUMMYFUNCTION("""COMPUTED_VALUE"""),0.06647285357216368)</f>
        <v>0.06647285357</v>
      </c>
      <c r="H144" s="4"/>
      <c r="I144" s="5" t="s">
        <v>1478</v>
      </c>
      <c r="J144" s="5" t="s">
        <v>1327</v>
      </c>
      <c r="K144" s="5">
        <v>13.0</v>
      </c>
      <c r="L144" s="5">
        <v>-0.36357</v>
      </c>
      <c r="M144" s="5">
        <v>0.07199</v>
      </c>
      <c r="N144" s="5">
        <v>-0.29158</v>
      </c>
      <c r="O144" s="5">
        <v>0.00709</v>
      </c>
    </row>
    <row r="145">
      <c r="A145" s="12" t="str">
        <f>IFERROR(__xludf.DUMMYFUNCTION("""COMPUTED_VALUE"""),"Babacar Niasse")</f>
        <v>Babacar Niasse</v>
      </c>
      <c r="B145" s="13" t="str">
        <f>IFERROR(__xludf.DUMMYFUNCTION("""COMPUTED_VALUE"""),"CHA")</f>
        <v>CHA</v>
      </c>
      <c r="C145" s="14">
        <f>IFERROR(__xludf.DUMMYFUNCTION("""COMPUTED_VALUE"""),22.0)</f>
        <v>22</v>
      </c>
      <c r="D145" s="15">
        <f>IFERROR(__xludf.DUMMYFUNCTION("""COMPUTED_VALUE"""),-6.616986938909397E-4)</f>
        <v>-0.0006616986939</v>
      </c>
      <c r="E145" s="15">
        <f>IFERROR(__xludf.DUMMYFUNCTION("""COMPUTED_VALUE"""),-0.42036920132543204)</f>
        <v>-0.4203692013</v>
      </c>
      <c r="F145" s="15">
        <f>IFERROR(__xludf.DUMMYFUNCTION("""COMPUTED_VALUE"""),-0.421030900019323)</f>
        <v>-0.4210309</v>
      </c>
      <c r="G145" s="17">
        <f>IFERROR(__xludf.DUMMYFUNCTION("""COMPUTED_VALUE"""),0.010788165011715086)</f>
        <v>0.01078816501</v>
      </c>
      <c r="H145" s="4"/>
      <c r="I145" s="5" t="s">
        <v>1479</v>
      </c>
      <c r="J145" s="5" t="s">
        <v>1327</v>
      </c>
      <c r="K145" s="5">
        <v>27.0</v>
      </c>
      <c r="L145" s="5">
        <v>-0.40625</v>
      </c>
      <c r="M145" s="5">
        <v>0.1073</v>
      </c>
      <c r="N145" s="5">
        <v>-0.29894</v>
      </c>
      <c r="O145" s="5">
        <v>0.01465</v>
      </c>
    </row>
    <row r="146">
      <c r="A146" s="18" t="str">
        <f>IFERROR(__xludf.DUMMYFUNCTION("""COMPUTED_VALUE"""),"Nianta Diarra")</f>
        <v>Nianta Diarra</v>
      </c>
      <c r="B146" s="19" t="str">
        <f>IFERROR(__xludf.DUMMYFUNCTION("""COMPUTED_VALUE"""),"ANT")</f>
        <v>ANT</v>
      </c>
      <c r="C146" s="20">
        <f>IFERROR(__xludf.DUMMYFUNCTION("""COMPUTED_VALUE"""),683.0)</f>
        <v>683</v>
      </c>
      <c r="D146" s="21">
        <f>IFERROR(__xludf.DUMMYFUNCTION("""COMPUTED_VALUE"""),-0.2149495446712645)</f>
        <v>-0.2149495447</v>
      </c>
      <c r="E146" s="21">
        <f>IFERROR(__xludf.DUMMYFUNCTION("""COMPUTED_VALUE"""),-0.23697588246500492)</f>
        <v>-0.2369758825</v>
      </c>
      <c r="F146" s="21">
        <f>IFERROR(__xludf.DUMMYFUNCTION("""COMPUTED_VALUE"""),-0.45192542713626943)</f>
        <v>-0.4519254271</v>
      </c>
      <c r="G146" s="23">
        <f>IFERROR(__xludf.DUMMYFUNCTION("""COMPUTED_VALUE"""),0.3290850979220284)</f>
        <v>0.3290850979</v>
      </c>
      <c r="H146" s="4"/>
      <c r="I146" s="5" t="s">
        <v>1480</v>
      </c>
      <c r="J146" s="5" t="s">
        <v>1327</v>
      </c>
      <c r="K146" s="5">
        <v>746.0</v>
      </c>
      <c r="L146" s="5">
        <v>-0.9394</v>
      </c>
      <c r="M146" s="5">
        <v>0.6337</v>
      </c>
      <c r="N146" s="5">
        <v>-0.3057</v>
      </c>
      <c r="O146" s="5">
        <v>0.40327</v>
      </c>
    </row>
    <row r="147">
      <c r="A147" s="12" t="str">
        <f>IFERROR(__xludf.DUMMYFUNCTION("""COMPUTED_VALUE"""),"Isaiah Cousins")</f>
        <v>Isaiah Cousins</v>
      </c>
      <c r="B147" s="13" t="str">
        <f>IFERROR(__xludf.DUMMYFUNCTION("""COMPUTED_VALUE"""),"CHO")</f>
        <v>CHO</v>
      </c>
      <c r="C147" s="14">
        <f>IFERROR(__xludf.DUMMYFUNCTION("""COMPUTED_VALUE"""),162.0)</f>
        <v>162</v>
      </c>
      <c r="D147" s="15">
        <f>IFERROR(__xludf.DUMMYFUNCTION("""COMPUTED_VALUE"""),-0.20415926334734824)</f>
        <v>-0.2041592633</v>
      </c>
      <c r="E147" s="15">
        <f>IFERROR(__xludf.DUMMYFUNCTION("""COMPUTED_VALUE"""),-0.2766029003187473)</f>
        <v>-0.2766029003</v>
      </c>
      <c r="F147" s="15">
        <f>IFERROR(__xludf.DUMMYFUNCTION("""COMPUTED_VALUE"""),-0.48076216366609553)</f>
        <v>-0.4807621637</v>
      </c>
      <c r="G147" s="17">
        <f>IFERROR(__xludf.DUMMYFUNCTION("""COMPUTED_VALUE"""),0.07644068696928058)</f>
        <v>0.07644068697</v>
      </c>
      <c r="H147" s="4"/>
      <c r="I147" s="5" t="s">
        <v>1481</v>
      </c>
      <c r="J147" s="5" t="s">
        <v>1311</v>
      </c>
      <c r="K147" s="5">
        <v>10.0</v>
      </c>
      <c r="L147" s="5">
        <v>-0.21028</v>
      </c>
      <c r="M147" s="5">
        <v>-0.1266</v>
      </c>
      <c r="N147" s="5">
        <v>-0.33687</v>
      </c>
      <c r="O147" s="5">
        <v>0.00511</v>
      </c>
    </row>
    <row r="148">
      <c r="A148" s="18" t="str">
        <f>IFERROR(__xludf.DUMMYFUNCTION("""COMPUTED_VALUE"""),"Abdoulaye Loum")</f>
        <v>Abdoulaye Loum</v>
      </c>
      <c r="B148" s="19" t="str">
        <f>IFERROR(__xludf.DUMMYFUNCTION("""COMPUTED_VALUE"""),"DIJ")</f>
        <v>DIJ</v>
      </c>
      <c r="C148" s="20">
        <f>IFERROR(__xludf.DUMMYFUNCTION("""COMPUTED_VALUE"""),487.0)</f>
        <v>487</v>
      </c>
      <c r="D148" s="21">
        <f>IFERROR(__xludf.DUMMYFUNCTION("""COMPUTED_VALUE"""),-0.6942264517804955)</f>
        <v>-0.6942264518</v>
      </c>
      <c r="E148" s="21">
        <f>IFERROR(__xludf.DUMMYFUNCTION("""COMPUTED_VALUE"""),0.21284310520965388)</f>
        <v>0.2128431052</v>
      </c>
      <c r="F148" s="21">
        <f>IFERROR(__xludf.DUMMYFUNCTION("""COMPUTED_VALUE"""),-0.4813833465708416)</f>
        <v>-0.4813833466</v>
      </c>
      <c r="G148" s="23">
        <f>IFERROR(__xludf.DUMMYFUNCTION("""COMPUTED_VALUE"""),0.22672135213272004)</f>
        <v>0.2267213521</v>
      </c>
      <c r="H148" s="4"/>
      <c r="I148" s="5" t="s">
        <v>1482</v>
      </c>
      <c r="J148" s="5" t="s">
        <v>1384</v>
      </c>
      <c r="K148" s="5">
        <v>130.0</v>
      </c>
      <c r="L148" s="5">
        <v>0.19969</v>
      </c>
      <c r="M148" s="5">
        <v>-0.55094</v>
      </c>
      <c r="N148" s="5">
        <v>-0.35125</v>
      </c>
      <c r="O148" s="5">
        <v>0.0665</v>
      </c>
    </row>
    <row r="149">
      <c r="A149" s="12" t="str">
        <f>IFERROR(__xludf.DUMMYFUNCTION("""COMPUTED_VALUE"""),"Ivan Fevrier")</f>
        <v>Ivan Fevrier</v>
      </c>
      <c r="B149" s="13" t="str">
        <f>IFERROR(__xludf.DUMMYFUNCTION("""COMPUTED_VALUE"""),"PLV")</f>
        <v>PLV</v>
      </c>
      <c r="C149" s="14">
        <f>IFERROR(__xludf.DUMMYFUNCTION("""COMPUTED_VALUE"""),49.0)</f>
        <v>49</v>
      </c>
      <c r="D149" s="15">
        <f>IFERROR(__xludf.DUMMYFUNCTION("""COMPUTED_VALUE"""),0.027205742998622273)</f>
        <v>0.027205743</v>
      </c>
      <c r="E149" s="15">
        <f>IFERROR(__xludf.DUMMYFUNCTION("""COMPUTED_VALUE"""),-0.5412575854523893)</f>
        <v>-0.5412575855</v>
      </c>
      <c r="F149" s="15">
        <f>IFERROR(__xludf.DUMMYFUNCTION("""COMPUTED_VALUE"""),-0.514051842453767)</f>
        <v>-0.5140518425</v>
      </c>
      <c r="G149" s="17">
        <f>IFERROR(__xludf.DUMMYFUNCTION("""COMPUTED_VALUE"""),0.022519854874519456)</f>
        <v>0.02251985487</v>
      </c>
      <c r="H149" s="4"/>
      <c r="I149" s="5" t="s">
        <v>1483</v>
      </c>
      <c r="J149" s="5" t="s">
        <v>1335</v>
      </c>
      <c r="K149" s="5">
        <v>947.0</v>
      </c>
      <c r="L149" s="5">
        <v>-1.72406</v>
      </c>
      <c r="M149" s="5">
        <v>1.34345</v>
      </c>
      <c r="N149" s="5">
        <v>-0.38061</v>
      </c>
      <c r="O149" s="5">
        <v>0.46463</v>
      </c>
    </row>
    <row r="150">
      <c r="A150" s="18" t="str">
        <f>IFERROR(__xludf.DUMMYFUNCTION("""COMPUTED_VALUE"""),"Jakim Donaldson")</f>
        <v>Jakim Donaldson</v>
      </c>
      <c r="B150" s="19" t="str">
        <f>IFERROR(__xludf.DUMMYFUNCTION("""COMPUTED_VALUE"""),"PORT")</f>
        <v>PORT</v>
      </c>
      <c r="C150" s="20">
        <f>IFERROR(__xludf.DUMMYFUNCTION("""COMPUTED_VALUE"""),693.0)</f>
        <v>693</v>
      </c>
      <c r="D150" s="21">
        <f>IFERROR(__xludf.DUMMYFUNCTION("""COMPUTED_VALUE"""),-3.1687899931591685)</f>
        <v>-3.168789993</v>
      </c>
      <c r="E150" s="21">
        <f>IFERROR(__xludf.DUMMYFUNCTION("""COMPUTED_VALUE"""),2.6140835503526345)</f>
        <v>2.61408355</v>
      </c>
      <c r="F150" s="21">
        <f>IFERROR(__xludf.DUMMYFUNCTION("""COMPUTED_VALUE"""),-0.5547064428065343)</f>
        <v>-0.5547064428</v>
      </c>
      <c r="G150" s="23">
        <f>IFERROR(__xludf.DUMMYFUNCTION("""COMPUTED_VALUE"""),0.30335483256954904)</f>
        <v>0.3033548326</v>
      </c>
      <c r="H150" s="4"/>
      <c r="I150" s="5" t="s">
        <v>1484</v>
      </c>
      <c r="J150" s="5" t="s">
        <v>1332</v>
      </c>
      <c r="K150" s="5">
        <v>22.0</v>
      </c>
      <c r="L150" s="5">
        <v>-0.00391</v>
      </c>
      <c r="M150" s="5">
        <v>-0.41706</v>
      </c>
      <c r="N150" s="5">
        <v>-0.42097</v>
      </c>
      <c r="O150" s="5">
        <v>0.01079</v>
      </c>
    </row>
    <row r="151">
      <c r="A151" s="12" t="str">
        <f>IFERROR(__xludf.DUMMYFUNCTION("""COMPUTED_VALUE"""),"Romain Poinas")</f>
        <v>Romain Poinas</v>
      </c>
      <c r="B151" s="13" t="str">
        <f>IFERROR(__xludf.DUMMYFUNCTION("""COMPUTED_VALUE"""),"ASM")</f>
        <v>ASM</v>
      </c>
      <c r="C151" s="14">
        <f>IFERROR(__xludf.DUMMYFUNCTION("""COMPUTED_VALUE"""),52.0)</f>
        <v>52</v>
      </c>
      <c r="D151" s="15">
        <f>IFERROR(__xludf.DUMMYFUNCTION("""COMPUTED_VALUE"""),-0.8105255853111593)</f>
        <v>-0.8105255853</v>
      </c>
      <c r="E151" s="15">
        <f>IFERROR(__xludf.DUMMYFUNCTION("""COMPUTED_VALUE"""),0.23679286519038778)</f>
        <v>0.2367928652</v>
      </c>
      <c r="F151" s="15">
        <f>IFERROR(__xludf.DUMMYFUNCTION("""COMPUTED_VALUE"""),-0.5737327201207715)</f>
        <v>-0.5737327201</v>
      </c>
      <c r="G151" s="17">
        <f>IFERROR(__xludf.DUMMYFUNCTION("""COMPUTED_VALUE"""),0.02431204706218117)</f>
        <v>0.02431204706</v>
      </c>
      <c r="H151" s="4"/>
      <c r="I151" s="5" t="s">
        <v>1485</v>
      </c>
      <c r="J151" s="5" t="s">
        <v>1379</v>
      </c>
      <c r="K151" s="5">
        <v>683.0</v>
      </c>
      <c r="L151" s="5">
        <v>-0.24719</v>
      </c>
      <c r="M151" s="5">
        <v>-0.19181</v>
      </c>
      <c r="N151" s="5">
        <v>-0.43899</v>
      </c>
      <c r="O151" s="5">
        <v>0.33183</v>
      </c>
    </row>
    <row r="152">
      <c r="A152" s="18" t="str">
        <f>IFERROR(__xludf.DUMMYFUNCTION("""COMPUTED_VALUE"""),"Bangaly Fofana")</f>
        <v>Bangaly Fofana</v>
      </c>
      <c r="B152" s="19" t="str">
        <f>IFERROR(__xludf.DUMMYFUNCTION("""COMPUTED_VALUE"""),"ASM")</f>
        <v>ASM</v>
      </c>
      <c r="C152" s="20">
        <f>IFERROR(__xludf.DUMMYFUNCTION("""COMPUTED_VALUE"""),50.0)</f>
        <v>50</v>
      </c>
      <c r="D152" s="21">
        <f>IFERROR(__xludf.DUMMYFUNCTION("""COMPUTED_VALUE"""),-0.7293674743632783)</f>
        <v>-0.7293674744</v>
      </c>
      <c r="E152" s="21">
        <f>IFERROR(__xludf.DUMMYFUNCTION("""COMPUTED_VALUE"""),0.14743154657116597)</f>
        <v>0.1474315466</v>
      </c>
      <c r="F152" s="21">
        <f>IFERROR(__xludf.DUMMYFUNCTION("""COMPUTED_VALUE"""),-0.5819359277921123)</f>
        <v>-0.5819359278</v>
      </c>
      <c r="G152" s="23">
        <f>IFERROR(__xludf.DUMMYFUNCTION("""COMPUTED_VALUE"""),0.023242515180837958)</f>
        <v>0.02324251518</v>
      </c>
      <c r="H152" s="4"/>
      <c r="I152" s="5" t="s">
        <v>1486</v>
      </c>
      <c r="J152" s="5" t="s">
        <v>1375</v>
      </c>
      <c r="K152" s="5">
        <v>162.0</v>
      </c>
      <c r="L152" s="5">
        <v>-0.22959</v>
      </c>
      <c r="M152" s="5">
        <v>-0.25203</v>
      </c>
      <c r="N152" s="5">
        <v>-0.48162</v>
      </c>
      <c r="O152" s="5">
        <v>0.0764</v>
      </c>
    </row>
    <row r="153">
      <c r="A153" s="12" t="str">
        <f>IFERROR(__xludf.DUMMYFUNCTION("""COMPUTED_VALUE"""),"Kevin Cham")</f>
        <v>Kevin Cham</v>
      </c>
      <c r="B153" s="13" t="str">
        <f>IFERROR(__xludf.DUMMYFUNCTION("""COMPUTED_VALUE"""),"ASM")</f>
        <v>ASM</v>
      </c>
      <c r="C153" s="14">
        <f>IFERROR(__xludf.DUMMYFUNCTION("""COMPUTED_VALUE"""),35.0)</f>
        <v>35</v>
      </c>
      <c r="D153" s="15">
        <f>IFERROR(__xludf.DUMMYFUNCTION("""COMPUTED_VALUE"""),-0.29539993862239)</f>
        <v>-0.2953999386</v>
      </c>
      <c r="E153" s="15">
        <f>IFERROR(__xludf.DUMMYFUNCTION("""COMPUTED_VALUE"""),-0.3124511011321095)</f>
        <v>-0.3124511011</v>
      </c>
      <c r="F153" s="15">
        <f>IFERROR(__xludf.DUMMYFUNCTION("""COMPUTED_VALUE"""),-0.6078510397544995)</f>
        <v>-0.6078510398</v>
      </c>
      <c r="G153" s="17">
        <f>IFERROR(__xludf.DUMMYFUNCTION("""COMPUTED_VALUE"""),0.01597243085390376)</f>
        <v>0.01597243085</v>
      </c>
      <c r="H153" s="4"/>
      <c r="I153" s="5" t="s">
        <v>1487</v>
      </c>
      <c r="J153" s="5" t="s">
        <v>1355</v>
      </c>
      <c r="K153" s="5">
        <v>49.0</v>
      </c>
      <c r="L153" s="5">
        <v>0.0183</v>
      </c>
      <c r="M153" s="5">
        <v>-0.53515</v>
      </c>
      <c r="N153" s="5">
        <v>-0.51685</v>
      </c>
      <c r="O153" s="5">
        <v>0.02248</v>
      </c>
    </row>
    <row r="154">
      <c r="A154" s="18" t="str">
        <f>IFERROR(__xludf.DUMMYFUNCTION("""COMPUTED_VALUE"""),"Gedeon Pitard")</f>
        <v>Gedeon Pitard</v>
      </c>
      <c r="B154" s="19" t="str">
        <f>IFERROR(__xludf.DUMMYFUNCTION("""COMPUTED_VALUE"""),"RCB")</f>
        <v>RCB</v>
      </c>
      <c r="C154" s="20">
        <f>IFERROR(__xludf.DUMMYFUNCTION("""COMPUTED_VALUE"""),788.0)</f>
        <v>788</v>
      </c>
      <c r="D154" s="21">
        <f>IFERROR(__xludf.DUMMYFUNCTION("""COMPUTED_VALUE"""),-2.2453366147127154)</f>
        <v>-2.245336615</v>
      </c>
      <c r="E154" s="21">
        <f>IFERROR(__xludf.DUMMYFUNCTION("""COMPUTED_VALUE"""),1.5708954248561338)</f>
        <v>1.570895425</v>
      </c>
      <c r="F154" s="21">
        <f>IFERROR(__xludf.DUMMYFUNCTION("""COMPUTED_VALUE"""),-0.6744411898565816)</f>
        <v>-0.6744411899</v>
      </c>
      <c r="G154" s="23">
        <f>IFERROR(__xludf.DUMMYFUNCTION("""COMPUTED_VALUE"""),0.31845742146128464)</f>
        <v>0.3184574215</v>
      </c>
      <c r="H154" s="4"/>
      <c r="I154" s="5" t="s">
        <v>1488</v>
      </c>
      <c r="J154" s="5" t="s">
        <v>1317</v>
      </c>
      <c r="K154" s="5">
        <v>31.0</v>
      </c>
      <c r="L154" s="5">
        <v>-0.25179</v>
      </c>
      <c r="M154" s="5">
        <v>-0.27113</v>
      </c>
      <c r="N154" s="5">
        <v>-0.52293</v>
      </c>
      <c r="O154" s="5">
        <v>0.01495</v>
      </c>
    </row>
    <row r="155">
      <c r="A155" s="12" t="str">
        <f>IFERROR(__xludf.DUMMYFUNCTION("""COMPUTED_VALUE"""),"Isaac Mayembo")</f>
        <v>Isaac Mayembo</v>
      </c>
      <c r="B155" s="13" t="str">
        <f>IFERROR(__xludf.DUMMYFUNCTION("""COMPUTED_VALUE"""),"ANT")</f>
        <v>ANT</v>
      </c>
      <c r="C155" s="14">
        <f>IFERROR(__xludf.DUMMYFUNCTION("""COMPUTED_VALUE"""),26.0)</f>
        <v>26</v>
      </c>
      <c r="D155" s="15">
        <f>IFERROR(__xludf.DUMMYFUNCTION("""COMPUTED_VALUE"""),-0.30003758864827346)</f>
        <v>-0.3000375886</v>
      </c>
      <c r="E155" s="15">
        <f>IFERROR(__xludf.DUMMYFUNCTION("""COMPUTED_VALUE"""),-0.37465946686154883)</f>
        <v>-0.3746594669</v>
      </c>
      <c r="F155" s="15">
        <f>IFERROR(__xludf.DUMMYFUNCTION("""COMPUTED_VALUE"""),-0.6746970555098223)</f>
        <v>-0.6746970555</v>
      </c>
      <c r="G155" s="17">
        <f>IFERROR(__xludf.DUMMYFUNCTION("""COMPUTED_VALUE"""),0.010724675147008957)</f>
        <v>0.01072467515</v>
      </c>
      <c r="H155" s="4"/>
      <c r="I155" s="5" t="s">
        <v>1489</v>
      </c>
      <c r="J155" s="5" t="s">
        <v>1317</v>
      </c>
      <c r="K155" s="5">
        <v>52.0</v>
      </c>
      <c r="L155" s="5">
        <v>-0.81665</v>
      </c>
      <c r="M155" s="5">
        <v>0.26434</v>
      </c>
      <c r="N155" s="5">
        <v>-0.55231</v>
      </c>
      <c r="O155" s="5">
        <v>0.02458</v>
      </c>
    </row>
    <row r="156">
      <c r="A156" s="18" t="str">
        <f>IFERROR(__xludf.DUMMYFUNCTION("""COMPUTED_VALUE"""),"Warren Racine")</f>
        <v>Warren Racine</v>
      </c>
      <c r="B156" s="19" t="str">
        <f>IFERROR(__xludf.DUMMYFUNCTION("""COMPUTED_VALUE"""),"NAN")</f>
        <v>NAN</v>
      </c>
      <c r="C156" s="20">
        <f>IFERROR(__xludf.DUMMYFUNCTION("""COMPUTED_VALUE"""),14.0)</f>
        <v>14</v>
      </c>
      <c r="D156" s="21">
        <f>IFERROR(__xludf.DUMMYFUNCTION("""COMPUTED_VALUE"""),-0.6282457557624032)</f>
        <v>-0.6282457558</v>
      </c>
      <c r="E156" s="21">
        <f>IFERROR(__xludf.DUMMYFUNCTION("""COMPUTED_VALUE"""),-0.05138990659685905)</f>
        <v>-0.0513899066</v>
      </c>
      <c r="F156" s="21">
        <f>IFERROR(__xludf.DUMMYFUNCTION("""COMPUTED_VALUE"""),-0.6796356623592622)</f>
        <v>-0.6796356624</v>
      </c>
      <c r="G156" s="23">
        <f>IFERROR(__xludf.DUMMYFUNCTION("""COMPUTED_VALUE"""),0.005577601426292279)</f>
        <v>0.005577601426</v>
      </c>
      <c r="H156" s="4"/>
      <c r="I156" s="5" t="s">
        <v>1490</v>
      </c>
      <c r="J156" s="5" t="s">
        <v>1348</v>
      </c>
      <c r="K156" s="5">
        <v>693.0</v>
      </c>
      <c r="L156" s="5">
        <v>-3.21405</v>
      </c>
      <c r="M156" s="5">
        <v>2.65927</v>
      </c>
      <c r="N156" s="5">
        <v>-0.55478</v>
      </c>
      <c r="O156" s="5">
        <v>0.30334</v>
      </c>
    </row>
    <row r="157">
      <c r="A157" s="12" t="str">
        <f>IFERROR(__xludf.DUMMYFUNCTION("""COMPUTED_VALUE"""),"Jean-Baptiste Maille")</f>
        <v>Jean-Baptiste Maille</v>
      </c>
      <c r="B157" s="13" t="str">
        <f>IFERROR(__xludf.DUMMYFUNCTION("""COMPUTED_VALUE"""),"CSP")</f>
        <v>CSP</v>
      </c>
      <c r="C157" s="14">
        <f>IFERROR(__xludf.DUMMYFUNCTION("""COMPUTED_VALUE"""),12.0)</f>
        <v>12</v>
      </c>
      <c r="D157" s="15">
        <f>IFERROR(__xludf.DUMMYFUNCTION("""COMPUTED_VALUE"""),-0.337694260176474)</f>
        <v>-0.3376942602</v>
      </c>
      <c r="E157" s="15">
        <f>IFERROR(__xludf.DUMMYFUNCTION("""COMPUTED_VALUE"""),-0.35330641363069165)</f>
        <v>-0.3533064136</v>
      </c>
      <c r="F157" s="15">
        <f>IFERROR(__xludf.DUMMYFUNCTION("""COMPUTED_VALUE"""),-0.6910006738071657)</f>
        <v>-0.6910006738</v>
      </c>
      <c r="G157" s="17">
        <f>IFERROR(__xludf.DUMMYFUNCTION("""COMPUTED_VALUE"""),0.005018952695456329)</f>
        <v>0.005018952695</v>
      </c>
      <c r="H157" s="4"/>
      <c r="I157" s="5" t="s">
        <v>1491</v>
      </c>
      <c r="J157" s="5" t="s">
        <v>1311</v>
      </c>
      <c r="K157" s="5">
        <v>321.0</v>
      </c>
      <c r="L157" s="5">
        <v>-2.0969</v>
      </c>
      <c r="M157" s="5">
        <v>1.52784</v>
      </c>
      <c r="N157" s="5">
        <v>-0.56907</v>
      </c>
      <c r="O157" s="5">
        <v>0.14119</v>
      </c>
    </row>
    <row r="158">
      <c r="A158" s="18" t="str">
        <f>IFERROR(__xludf.DUMMYFUNCTION("""COMPUTED_VALUE"""),"Martin Hermannsson")</f>
        <v>Martin Hermannsson</v>
      </c>
      <c r="B158" s="19" t="str">
        <f>IFERROR(__xludf.DUMMYFUNCTION("""COMPUTED_VALUE"""),"RCB")</f>
        <v>RCB</v>
      </c>
      <c r="C158" s="20">
        <f>IFERROR(__xludf.DUMMYFUNCTION("""COMPUTED_VALUE"""),1105.0)</f>
        <v>1105</v>
      </c>
      <c r="D158" s="21">
        <f>IFERROR(__xludf.DUMMYFUNCTION("""COMPUTED_VALUE"""),0.6834558182216603)</f>
        <v>0.6834558182</v>
      </c>
      <c r="E158" s="21">
        <f>IFERROR(__xludf.DUMMYFUNCTION("""COMPUTED_VALUE"""),-1.392039711458862)</f>
        <v>-1.392039711</v>
      </c>
      <c r="F158" s="21">
        <f>IFERROR(__xludf.DUMMYFUNCTION("""COMPUTED_VALUE"""),-0.7085838932372017)</f>
        <v>-0.7085838932</v>
      </c>
      <c r="G158" s="23">
        <f>IFERROR(__xludf.DUMMYFUNCTION("""COMPUTED_VALUE"""),0.4350654871868573)</f>
        <v>0.4350654872</v>
      </c>
      <c r="H158" s="4"/>
      <c r="I158" s="5" t="s">
        <v>1492</v>
      </c>
      <c r="J158" s="5" t="s">
        <v>1335</v>
      </c>
      <c r="K158" s="5">
        <v>6.0</v>
      </c>
      <c r="L158" s="5">
        <v>-0.39338</v>
      </c>
      <c r="M158" s="5">
        <v>-0.23476</v>
      </c>
      <c r="N158" s="5">
        <v>-0.62814</v>
      </c>
      <c r="O158" s="5">
        <v>0.00249</v>
      </c>
    </row>
    <row r="159">
      <c r="A159" s="12" t="str">
        <f>IFERROR(__xludf.DUMMYFUNCTION("""COMPUTED_VALUE"""),"Trent Meacham")</f>
        <v>Trent Meacham</v>
      </c>
      <c r="B159" s="13" t="str">
        <f>IFERROR(__xludf.DUMMYFUNCTION("""COMPUTED_VALUE"""),"BBD")</f>
        <v>BBD</v>
      </c>
      <c r="C159" s="14">
        <f>IFERROR(__xludf.DUMMYFUNCTION("""COMPUTED_VALUE"""),818.0)</f>
        <v>818</v>
      </c>
      <c r="D159" s="15">
        <f>IFERROR(__xludf.DUMMYFUNCTION("""COMPUTED_VALUE"""),1.8273447220140913)</f>
        <v>1.827344722</v>
      </c>
      <c r="E159" s="15">
        <f>IFERROR(__xludf.DUMMYFUNCTION("""COMPUTED_VALUE"""),-2.537472859028153)</f>
        <v>-2.537472859</v>
      </c>
      <c r="F159" s="15">
        <f>IFERROR(__xludf.DUMMYFUNCTION("""COMPUTED_VALUE"""),-0.7101281370140615)</f>
        <v>-0.710128137</v>
      </c>
      <c r="G159" s="17">
        <f>IFERROR(__xludf.DUMMYFUNCTION("""COMPUTED_VALUE"""),0.32736355449454047)</f>
        <v>0.3273635545</v>
      </c>
      <c r="H159" s="4"/>
      <c r="I159" s="5" t="s">
        <v>1493</v>
      </c>
      <c r="J159" s="5" t="s">
        <v>1317</v>
      </c>
      <c r="K159" s="5">
        <v>28.0</v>
      </c>
      <c r="L159" s="5">
        <v>-0.79407</v>
      </c>
      <c r="M159" s="5">
        <v>0.14549</v>
      </c>
      <c r="N159" s="5">
        <v>-0.64858</v>
      </c>
      <c r="O159" s="5">
        <v>0.01236</v>
      </c>
    </row>
    <row r="160">
      <c r="A160" s="18" t="str">
        <f>IFERROR(__xludf.DUMMYFUNCTION("""COMPUTED_VALUE"""),"Darion Atkins")</f>
        <v>Darion Atkins</v>
      </c>
      <c r="B160" s="19" t="str">
        <f>IFERROR(__xludf.DUMMYFUNCTION("""COMPUTED_VALUE"""),"STR")</f>
        <v>STR</v>
      </c>
      <c r="C160" s="20">
        <f>IFERROR(__xludf.DUMMYFUNCTION("""COMPUTED_VALUE"""),869.0)</f>
        <v>869</v>
      </c>
      <c r="D160" s="21">
        <f>IFERROR(__xludf.DUMMYFUNCTION("""COMPUTED_VALUE"""),-2.762493091876304)</f>
        <v>-2.762493092</v>
      </c>
      <c r="E160" s="21">
        <f>IFERROR(__xludf.DUMMYFUNCTION("""COMPUTED_VALUE"""),2.030433970577211)</f>
        <v>2.030433971</v>
      </c>
      <c r="F160" s="21">
        <f>IFERROR(__xludf.DUMMYFUNCTION("""COMPUTED_VALUE"""),-0.732059121299093)</f>
        <v>-0.7320591213</v>
      </c>
      <c r="G160" s="23">
        <f>IFERROR(__xludf.DUMMYFUNCTION("""COMPUTED_VALUE"""),0.3450882918986457)</f>
        <v>0.3450882919</v>
      </c>
      <c r="H160" s="4"/>
      <c r="I160" s="5" t="s">
        <v>1494</v>
      </c>
      <c r="J160" s="5" t="s">
        <v>1367</v>
      </c>
      <c r="K160" s="5">
        <v>788.0</v>
      </c>
      <c r="L160" s="5">
        <v>-2.28752</v>
      </c>
      <c r="M160" s="5">
        <v>1.61553</v>
      </c>
      <c r="N160" s="5">
        <v>-0.67199</v>
      </c>
      <c r="O160" s="5">
        <v>0.31905</v>
      </c>
    </row>
    <row r="161">
      <c r="A161" s="12" t="str">
        <f>IFERROR(__xludf.DUMMYFUNCTION("""COMPUTED_VALUE"""),"Adrien Labanere")</f>
        <v>Adrien Labanere</v>
      </c>
      <c r="B161" s="13" t="str">
        <f>IFERROR(__xludf.DUMMYFUNCTION("""COMPUTED_VALUE"""),"BBD")</f>
        <v>BBD</v>
      </c>
      <c r="C161" s="14">
        <f>IFERROR(__xludf.DUMMYFUNCTION("""COMPUTED_VALUE"""),26.0)</f>
        <v>26</v>
      </c>
      <c r="D161" s="15">
        <f>IFERROR(__xludf.DUMMYFUNCTION("""COMPUTED_VALUE"""),-0.5253337785756861)</f>
        <v>-0.5253337786</v>
      </c>
      <c r="E161" s="15">
        <f>IFERROR(__xludf.DUMMYFUNCTION("""COMPUTED_VALUE"""),-0.24939377876437996)</f>
        <v>-0.2493937788</v>
      </c>
      <c r="F161" s="15">
        <f>IFERROR(__xludf.DUMMYFUNCTION("""COMPUTED_VALUE"""),-0.774727557340066)</f>
        <v>-0.7747275573</v>
      </c>
      <c r="G161" s="17">
        <f>IFERROR(__xludf.DUMMYFUNCTION("""COMPUTED_VALUE"""),0.00988408493432647)</f>
        <v>0.009884084934</v>
      </c>
      <c r="H161" s="4"/>
      <c r="I161" s="5" t="s">
        <v>1495</v>
      </c>
      <c r="J161" s="5" t="s">
        <v>1379</v>
      </c>
      <c r="K161" s="5">
        <v>26.0</v>
      </c>
      <c r="L161" s="5">
        <v>-0.30266</v>
      </c>
      <c r="M161" s="5">
        <v>-0.37078</v>
      </c>
      <c r="N161" s="5">
        <v>-0.67343</v>
      </c>
      <c r="O161" s="5">
        <v>0.01073</v>
      </c>
    </row>
    <row r="162">
      <c r="A162" s="18" t="str">
        <f>IFERROR(__xludf.DUMMYFUNCTION("""COMPUTED_VALUE"""),"Jonathan Fairell")</f>
        <v>Jonathan Fairell</v>
      </c>
      <c r="B162" s="19" t="str">
        <f>IFERROR(__xludf.DUMMYFUNCTION("""COMPUTED_VALUE"""),"DIJ")</f>
        <v>DIJ</v>
      </c>
      <c r="C162" s="20">
        <f>IFERROR(__xludf.DUMMYFUNCTION("""COMPUTED_VALUE"""),26.0)</f>
        <v>26</v>
      </c>
      <c r="D162" s="21">
        <f>IFERROR(__xludf.DUMMYFUNCTION("""COMPUTED_VALUE"""),-0.41542330162330676)</f>
        <v>-0.4154233016</v>
      </c>
      <c r="E162" s="21">
        <f>IFERROR(__xludf.DUMMYFUNCTION("""COMPUTED_VALUE"""),-0.37108242674470326)</f>
        <v>-0.3710824267</v>
      </c>
      <c r="F162" s="21">
        <f>IFERROR(__xludf.DUMMYFUNCTION("""COMPUTED_VALUE"""),-0.78650572836801)</f>
        <v>-0.7865057284</v>
      </c>
      <c r="G162" s="23">
        <f>IFERROR(__xludf.DUMMYFUNCTION("""COMPUTED_VALUE"""),0.009672224809273289)</f>
        <v>0.009672224809</v>
      </c>
      <c r="H162" s="4"/>
      <c r="I162" s="5" t="s">
        <v>1496</v>
      </c>
      <c r="J162" s="5" t="s">
        <v>1365</v>
      </c>
      <c r="K162" s="5">
        <v>14.0</v>
      </c>
      <c r="L162" s="5">
        <v>-0.63076</v>
      </c>
      <c r="M162" s="5">
        <v>-0.05034</v>
      </c>
      <c r="N162" s="5">
        <v>-0.6811</v>
      </c>
      <c r="O162" s="5">
        <v>0.00563</v>
      </c>
    </row>
    <row r="163">
      <c r="A163" s="12" t="str">
        <f>IFERROR(__xludf.DUMMYFUNCTION("""COMPUTED_VALUE"""),"Thibault Desseignet")</f>
        <v>Thibault Desseignet</v>
      </c>
      <c r="B163" s="13" t="str">
        <f>IFERROR(__xludf.DUMMYFUNCTION("""COMPUTED_VALUE"""),"JLB")</f>
        <v>JLB</v>
      </c>
      <c r="C163" s="14">
        <f>IFERROR(__xludf.DUMMYFUNCTION("""COMPUTED_VALUE"""),11.0)</f>
        <v>11</v>
      </c>
      <c r="D163" s="15">
        <f>IFERROR(__xludf.DUMMYFUNCTION("""COMPUTED_VALUE"""),-0.30117681869942087)</f>
        <v>-0.3011768187</v>
      </c>
      <c r="E163" s="15">
        <f>IFERROR(__xludf.DUMMYFUNCTION("""COMPUTED_VALUE"""),-0.5072743769067252)</f>
        <v>-0.5072743769</v>
      </c>
      <c r="F163" s="15">
        <f>IFERROR(__xludf.DUMMYFUNCTION("""COMPUTED_VALUE"""),-0.8084511956061461)</f>
        <v>-0.8084511956</v>
      </c>
      <c r="G163" s="17">
        <f>IFERROR(__xludf.DUMMYFUNCTION("""COMPUTED_VALUE"""),0.004001638343770272)</f>
        <v>0.004001638344</v>
      </c>
      <c r="H163" s="4"/>
      <c r="I163" s="5" t="s">
        <v>1497</v>
      </c>
      <c r="J163" s="5" t="s">
        <v>1342</v>
      </c>
      <c r="K163" s="5">
        <v>693.0</v>
      </c>
      <c r="L163" s="5">
        <v>-1.61118</v>
      </c>
      <c r="M163" s="5">
        <v>0.90991</v>
      </c>
      <c r="N163" s="5">
        <v>-0.70127</v>
      </c>
      <c r="O163" s="5">
        <v>0.27245</v>
      </c>
    </row>
    <row r="164">
      <c r="A164" s="18" t="str">
        <f>IFERROR(__xludf.DUMMYFUNCTION("""COMPUTED_VALUE"""),"Mathieu Nzita")</f>
        <v>Mathieu Nzita</v>
      </c>
      <c r="B164" s="19" t="str">
        <f>IFERROR(__xludf.DUMMYFUNCTION("""COMPUTED_VALUE"""),"LEM")</f>
        <v>LEM</v>
      </c>
      <c r="C164" s="20">
        <f>IFERROR(__xludf.DUMMYFUNCTION("""COMPUTED_VALUE"""),7.0)</f>
        <v>7</v>
      </c>
      <c r="D164" s="21">
        <f>IFERROR(__xludf.DUMMYFUNCTION("""COMPUTED_VALUE"""),-0.535758256450324)</f>
        <v>-0.5357582565</v>
      </c>
      <c r="E164" s="21">
        <f>IFERROR(__xludf.DUMMYFUNCTION("""COMPUTED_VALUE"""),-0.2838296516275661)</f>
        <v>-0.2838296516</v>
      </c>
      <c r="F164" s="21">
        <f>IFERROR(__xludf.DUMMYFUNCTION("""COMPUTED_VALUE"""),-0.8195879080778902)</f>
        <v>-0.8195879081</v>
      </c>
      <c r="G164" s="23">
        <f>IFERROR(__xludf.DUMMYFUNCTION("""COMPUTED_VALUE"""),0.002499231470766292)</f>
        <v>0.002499231471</v>
      </c>
      <c r="H164" s="4"/>
      <c r="I164" s="5" t="s">
        <v>1498</v>
      </c>
      <c r="J164" s="5" t="s">
        <v>1367</v>
      </c>
      <c r="K164" s="24">
        <v>1105.0</v>
      </c>
      <c r="L164" s="5">
        <v>0.63802</v>
      </c>
      <c r="M164" s="5">
        <v>-1.34683</v>
      </c>
      <c r="N164" s="5">
        <v>-0.7088</v>
      </c>
      <c r="O164" s="5">
        <v>0.43499</v>
      </c>
    </row>
    <row r="165">
      <c r="A165" s="12" t="str">
        <f>IFERROR(__xludf.DUMMYFUNCTION("""COMPUTED_VALUE"""),"Louis Cassier")</f>
        <v>Louis Cassier</v>
      </c>
      <c r="B165" s="13" t="str">
        <f>IFERROR(__xludf.DUMMYFUNCTION("""COMPUTED_VALUE"""),"RCB")</f>
        <v>RCB</v>
      </c>
      <c r="C165" s="14">
        <f>IFERROR(__xludf.DUMMYFUNCTION("""COMPUTED_VALUE"""),34.0)</f>
        <v>34</v>
      </c>
      <c r="D165" s="15">
        <f>IFERROR(__xludf.DUMMYFUNCTION("""COMPUTED_VALUE"""),-0.7947735330379263)</f>
        <v>-0.794773533</v>
      </c>
      <c r="E165" s="15">
        <f>IFERROR(__xludf.DUMMYFUNCTION("""COMPUTED_VALUE"""),-0.029713599560197035)</f>
        <v>-0.02971359956</v>
      </c>
      <c r="F165" s="15">
        <f>IFERROR(__xludf.DUMMYFUNCTION("""COMPUTED_VALUE"""),-0.8244871325981233)</f>
        <v>-0.8244871326</v>
      </c>
      <c r="G165" s="17">
        <f>IFERROR(__xludf.DUMMYFUNCTION("""COMPUTED_VALUE"""),0.012185194357214576)</f>
        <v>0.01218519436</v>
      </c>
      <c r="H165" s="4"/>
      <c r="I165" s="5" t="s">
        <v>1499</v>
      </c>
      <c r="J165" s="5" t="s">
        <v>1384</v>
      </c>
      <c r="K165" s="5">
        <v>818.0</v>
      </c>
      <c r="L165" s="5">
        <v>1.78243</v>
      </c>
      <c r="M165" s="5">
        <v>-2.49235</v>
      </c>
      <c r="N165" s="5">
        <v>-0.70993</v>
      </c>
      <c r="O165" s="5">
        <v>0.32742</v>
      </c>
    </row>
    <row r="166">
      <c r="A166" s="18" t="str">
        <f>IFERROR(__xludf.DUMMYFUNCTION("""COMPUTED_VALUE"""),"Kevin Jones")</f>
        <v>Kevin Jones</v>
      </c>
      <c r="B166" s="19" t="str">
        <f>IFERROR(__xludf.DUMMYFUNCTION("""COMPUTED_VALUE"""),"NAN")</f>
        <v>NAN</v>
      </c>
      <c r="C166" s="20">
        <f>IFERROR(__xludf.DUMMYFUNCTION("""COMPUTED_VALUE"""),447.0)</f>
        <v>447</v>
      </c>
      <c r="D166" s="21">
        <f>IFERROR(__xludf.DUMMYFUNCTION("""COMPUTED_VALUE"""),0.3421808618789701)</f>
        <v>0.3421808619</v>
      </c>
      <c r="E166" s="21">
        <f>IFERROR(__xludf.DUMMYFUNCTION("""COMPUTED_VALUE"""),-1.1700456281421234)</f>
        <v>-1.170045628</v>
      </c>
      <c r="F166" s="21">
        <f>IFERROR(__xludf.DUMMYFUNCTION("""COMPUTED_VALUE"""),-0.8278647662631533)</f>
        <v>-0.8278647663</v>
      </c>
      <c r="G166" s="23">
        <f>IFERROR(__xludf.DUMMYFUNCTION("""COMPUTED_VALUE"""),0.15809236594831397)</f>
        <v>0.1580923659</v>
      </c>
      <c r="H166" s="4"/>
      <c r="I166" s="5" t="s">
        <v>475</v>
      </c>
      <c r="J166" s="5" t="s">
        <v>1317</v>
      </c>
      <c r="K166" s="5">
        <v>260.0</v>
      </c>
      <c r="L166" s="5">
        <v>-0.18619</v>
      </c>
      <c r="M166" s="5">
        <v>-0.55393</v>
      </c>
      <c r="N166" s="5">
        <v>-0.74012</v>
      </c>
      <c r="O166" s="5">
        <v>0.10697</v>
      </c>
    </row>
    <row r="167">
      <c r="A167" s="12" t="str">
        <f>IFERROR(__xludf.DUMMYFUNCTION("""COMPUTED_VALUE"""),"Damjan Rudez")</f>
        <v>Damjan Rudez</v>
      </c>
      <c r="B167" s="13" t="str">
        <f>IFERROR(__xludf.DUMMYFUNCTION("""COMPUTED_VALUE"""),"ASM")</f>
        <v>ASM</v>
      </c>
      <c r="C167" s="14">
        <f>IFERROR(__xludf.DUMMYFUNCTION("""COMPUTED_VALUE"""),274.0)</f>
        <v>274</v>
      </c>
      <c r="D167" s="15">
        <f>IFERROR(__xludf.DUMMYFUNCTION("""COMPUTED_VALUE"""),-0.01895392760272323)</f>
        <v>-0.0189539276</v>
      </c>
      <c r="E167" s="15">
        <f>IFERROR(__xludf.DUMMYFUNCTION("""COMPUTED_VALUE"""),-0.8234084708146912)</f>
        <v>-0.8234084708</v>
      </c>
      <c r="F167" s="15">
        <f>IFERROR(__xludf.DUMMYFUNCTION("""COMPUTED_VALUE"""),-0.8423623984174143)</f>
        <v>-0.8423623984</v>
      </c>
      <c r="G167" s="17">
        <f>IFERROR(__xludf.DUMMYFUNCTION("""COMPUTED_VALUE"""),0.1039777589087787)</f>
        <v>0.1039777589</v>
      </c>
      <c r="H167" s="4"/>
      <c r="I167" s="5" t="s">
        <v>1500</v>
      </c>
      <c r="J167" s="5" t="s">
        <v>1384</v>
      </c>
      <c r="K167" s="5">
        <v>26.0</v>
      </c>
      <c r="L167" s="5">
        <v>-0.52898</v>
      </c>
      <c r="M167" s="5">
        <v>-0.24553</v>
      </c>
      <c r="N167" s="5">
        <v>-0.77451</v>
      </c>
      <c r="O167" s="5">
        <v>0.00989</v>
      </c>
    </row>
    <row r="168">
      <c r="A168" s="18" t="str">
        <f>IFERROR(__xludf.DUMMYFUNCTION("""COMPUTED_VALUE"""),"Etienne Ca")</f>
        <v>Etienne Ca</v>
      </c>
      <c r="B168" s="19" t="str">
        <f>IFERROR(__xludf.DUMMYFUNCTION("""COMPUTED_VALUE"""),"CHA")</f>
        <v>CHA</v>
      </c>
      <c r="C168" s="20">
        <f>IFERROR(__xludf.DUMMYFUNCTION("""COMPUTED_VALUE"""),34.0)</f>
        <v>34</v>
      </c>
      <c r="D168" s="21">
        <f>IFERROR(__xludf.DUMMYFUNCTION("""COMPUTED_VALUE"""),-0.07807354209053753)</f>
        <v>-0.07807354209</v>
      </c>
      <c r="E168" s="21">
        <f>IFERROR(__xludf.DUMMYFUNCTION("""COMPUTED_VALUE"""),-0.8211894417883849)</f>
        <v>-0.8211894418</v>
      </c>
      <c r="F168" s="21">
        <f>IFERROR(__xludf.DUMMYFUNCTION("""COMPUTED_VALUE"""),-0.8992629838789225)</f>
        <v>-0.8992629839</v>
      </c>
      <c r="G168" s="23">
        <f>IFERROR(__xludf.DUMMYFUNCTION("""COMPUTED_VALUE"""),0.011622880086044212)</f>
        <v>0.01162288009</v>
      </c>
      <c r="H168" s="4"/>
      <c r="I168" s="5" t="s">
        <v>1501</v>
      </c>
      <c r="J168" s="5" t="s">
        <v>1338</v>
      </c>
      <c r="K168" s="5">
        <v>11.0</v>
      </c>
      <c r="L168" s="5">
        <v>-0.30315</v>
      </c>
      <c r="M168" s="5">
        <v>-0.50556</v>
      </c>
      <c r="N168" s="5">
        <v>-0.80871</v>
      </c>
      <c r="O168" s="5">
        <v>0.004</v>
      </c>
    </row>
    <row r="169">
      <c r="A169" s="12" t="str">
        <f>IFERROR(__xludf.DUMMYFUNCTION("""COMPUTED_VALUE"""),"Jean-Marc Pansa")</f>
        <v>Jean-Marc Pansa</v>
      </c>
      <c r="B169" s="13" t="str">
        <f>IFERROR(__xludf.DUMMYFUNCTION("""COMPUTED_VALUE"""),"NAN")</f>
        <v>NAN</v>
      </c>
      <c r="C169" s="14">
        <f>IFERROR(__xludf.DUMMYFUNCTION("""COMPUTED_VALUE"""),154.0)</f>
        <v>154</v>
      </c>
      <c r="D169" s="15">
        <f>IFERROR(__xludf.DUMMYFUNCTION("""COMPUTED_VALUE"""),-0.8162715315044121)</f>
        <v>-0.8162715315</v>
      </c>
      <c r="E169" s="15">
        <f>IFERROR(__xludf.DUMMYFUNCTION("""COMPUTED_VALUE"""),-0.10387241394365121)</f>
        <v>-0.1038724139</v>
      </c>
      <c r="F169" s="15">
        <f>IFERROR(__xludf.DUMMYFUNCTION("""COMPUTED_VALUE"""),-0.9201439454480633)</f>
        <v>-0.9201439454</v>
      </c>
      <c r="G169" s="17">
        <f>IFERROR(__xludf.DUMMYFUNCTION("""COMPUTED_VALUE"""),0.0501778724871003)</f>
        <v>0.05017787249</v>
      </c>
      <c r="H169" s="4"/>
      <c r="I169" s="5" t="s">
        <v>1502</v>
      </c>
      <c r="J169" s="5" t="s">
        <v>1342</v>
      </c>
      <c r="K169" s="5">
        <v>468.0</v>
      </c>
      <c r="L169" s="5">
        <v>1.83398</v>
      </c>
      <c r="M169" s="5">
        <v>-2.64952</v>
      </c>
      <c r="N169" s="5">
        <v>-0.81555</v>
      </c>
      <c r="O169" s="5">
        <v>0.1678</v>
      </c>
    </row>
    <row r="170">
      <c r="A170" s="18" t="str">
        <f>IFERROR(__xludf.DUMMYFUNCTION("""COMPUTED_VALUE"""),"Nicolas Lang")</f>
        <v>Nicolas Lang</v>
      </c>
      <c r="B170" s="19" t="str">
        <f>IFERROR(__xludf.DUMMYFUNCTION("""COMPUTED_VALUE"""),"LYV")</f>
        <v>LYV</v>
      </c>
      <c r="C170" s="20">
        <f>IFERROR(__xludf.DUMMYFUNCTION("""COMPUTED_VALUE"""),495.0)</f>
        <v>495</v>
      </c>
      <c r="D170" s="21">
        <f>IFERROR(__xludf.DUMMYFUNCTION("""COMPUTED_VALUE"""),1.8261402678566427)</f>
        <v>1.826140268</v>
      </c>
      <c r="E170" s="21">
        <f>IFERROR(__xludf.DUMMYFUNCTION("""COMPUTED_VALUE"""),-2.7495812464376495)</f>
        <v>-2.749581246</v>
      </c>
      <c r="F170" s="21">
        <f>IFERROR(__xludf.DUMMYFUNCTION("""COMPUTED_VALUE"""),-0.9234409785810067)</f>
        <v>-0.9234409786</v>
      </c>
      <c r="G170" s="23">
        <f>IFERROR(__xludf.DUMMYFUNCTION("""COMPUTED_VALUE"""),0.16137811816409284)</f>
        <v>0.1613781182</v>
      </c>
      <c r="H170" s="4"/>
      <c r="I170" s="5" t="s">
        <v>1503</v>
      </c>
      <c r="J170" s="5" t="s">
        <v>1367</v>
      </c>
      <c r="K170" s="5">
        <v>34.0</v>
      </c>
      <c r="L170" s="5">
        <v>-0.79937</v>
      </c>
      <c r="M170" s="5">
        <v>-0.02469</v>
      </c>
      <c r="N170" s="5">
        <v>-0.82406</v>
      </c>
      <c r="O170" s="5">
        <v>0.01219</v>
      </c>
    </row>
    <row r="171">
      <c r="A171" s="12" t="str">
        <f>IFERROR(__xludf.DUMMYFUNCTION("""COMPUTED_VALUE"""),"Samardo Samuels")</f>
        <v>Samardo Samuels</v>
      </c>
      <c r="B171" s="13" t="str">
        <f>IFERROR(__xludf.DUMMYFUNCTION("""COMPUTED_VALUE"""),"CSP")</f>
        <v>CSP</v>
      </c>
      <c r="C171" s="14">
        <f>IFERROR(__xludf.DUMMYFUNCTION("""COMPUTED_VALUE"""),376.0)</f>
        <v>376</v>
      </c>
      <c r="D171" s="15">
        <f>IFERROR(__xludf.DUMMYFUNCTION("""COMPUTED_VALUE"""),-1.1977939297653477)</f>
        <v>-1.19779393</v>
      </c>
      <c r="E171" s="15">
        <f>IFERROR(__xludf.DUMMYFUNCTION("""COMPUTED_VALUE"""),0.2515804796309644)</f>
        <v>0.2515804796</v>
      </c>
      <c r="F171" s="15">
        <f>IFERROR(__xludf.DUMMYFUNCTION("""COMPUTED_VALUE"""),-0.9462134501343833)</f>
        <v>-0.9462134501</v>
      </c>
      <c r="G171" s="17">
        <f>IFERROR(__xludf.DUMMYFUNCTION("""COMPUTED_VALUE"""),0.12659977370271666)</f>
        <v>0.1265997737</v>
      </c>
      <c r="H171" s="4"/>
      <c r="I171" s="5" t="s">
        <v>1504</v>
      </c>
      <c r="J171" s="5" t="s">
        <v>1332</v>
      </c>
      <c r="K171" s="5">
        <v>34.0</v>
      </c>
      <c r="L171" s="5">
        <v>-0.08311</v>
      </c>
      <c r="M171" s="5">
        <v>-0.81607</v>
      </c>
      <c r="N171" s="5">
        <v>-0.89918</v>
      </c>
      <c r="O171" s="5">
        <v>0.01162</v>
      </c>
    </row>
    <row r="172">
      <c r="A172" s="18" t="str">
        <f>IFERROR(__xludf.DUMMYFUNCTION("""COMPUTED_VALUE"""),"Corentin Lopez")</f>
        <v>Corentin Lopez</v>
      </c>
      <c r="B172" s="19" t="str">
        <f>IFERROR(__xludf.DUMMYFUNCTION("""COMPUTED_VALUE"""),"HYT")</f>
        <v>HYT</v>
      </c>
      <c r="C172" s="20">
        <f>IFERROR(__xludf.DUMMYFUNCTION("""COMPUTED_VALUE"""),29.0)</f>
        <v>29</v>
      </c>
      <c r="D172" s="21">
        <f>IFERROR(__xludf.DUMMYFUNCTION("""COMPUTED_VALUE"""),-0.5049684666771324)</f>
        <v>-0.5049684667</v>
      </c>
      <c r="E172" s="21">
        <f>IFERROR(__xludf.DUMMYFUNCTION("""COMPUTED_VALUE"""),-0.4776926130444398)</f>
        <v>-0.477692613</v>
      </c>
      <c r="F172" s="21">
        <f>IFERROR(__xludf.DUMMYFUNCTION("""COMPUTED_VALUE"""),-0.9826610797215721)</f>
        <v>-0.9826610797</v>
      </c>
      <c r="G172" s="23">
        <f>IFERROR(__xludf.DUMMYFUNCTION("""COMPUTED_VALUE"""),0.009126290799565926)</f>
        <v>0.0091262908</v>
      </c>
      <c r="H172" s="4"/>
      <c r="I172" s="5" t="s">
        <v>1505</v>
      </c>
      <c r="J172" s="5" t="s">
        <v>1457</v>
      </c>
      <c r="K172" s="5">
        <v>29.0</v>
      </c>
      <c r="L172" s="5">
        <v>-0.50974</v>
      </c>
      <c r="M172" s="5">
        <v>-0.47343</v>
      </c>
      <c r="N172" s="5">
        <v>-0.98317</v>
      </c>
      <c r="O172" s="5">
        <v>0.00912</v>
      </c>
    </row>
    <row r="173">
      <c r="A173" s="12" t="str">
        <f>IFERROR(__xludf.DUMMYFUNCTION("""COMPUTED_VALUE"""),"Antoine Mendy")</f>
        <v>Antoine Mendy</v>
      </c>
      <c r="B173" s="13" t="str">
        <f>IFERROR(__xludf.DUMMYFUNCTION("""COMPUTED_VALUE"""),"JLB")</f>
        <v>JLB</v>
      </c>
      <c r="C173" s="14">
        <f>IFERROR(__xludf.DUMMYFUNCTION("""COMPUTED_VALUE"""),44.0)</f>
        <v>44</v>
      </c>
      <c r="D173" s="15">
        <f>IFERROR(__xludf.DUMMYFUNCTION("""COMPUTED_VALUE"""),-0.34604627382264996)</f>
        <v>-0.3460462738</v>
      </c>
      <c r="E173" s="15">
        <f>IFERROR(__xludf.DUMMYFUNCTION("""COMPUTED_VALUE"""),-0.6451234643551454)</f>
        <v>-0.6451234644</v>
      </c>
      <c r="F173" s="15">
        <f>IFERROR(__xludf.DUMMYFUNCTION("""COMPUTED_VALUE"""),-0.9911697381777954)</f>
        <v>-0.9911697382</v>
      </c>
      <c r="G173" s="17">
        <f>IFERROR(__xludf.DUMMYFUNCTION("""COMPUTED_VALUE"""),0.013552021849804675)</f>
        <v>0.01355202185</v>
      </c>
      <c r="H173" s="4"/>
      <c r="I173" s="5" t="s">
        <v>1506</v>
      </c>
      <c r="J173" s="5" t="s">
        <v>1338</v>
      </c>
      <c r="K173" s="5">
        <v>44.0</v>
      </c>
      <c r="L173" s="5">
        <v>-0.35282</v>
      </c>
      <c r="M173" s="5">
        <v>-0.63846</v>
      </c>
      <c r="N173" s="5">
        <v>-0.99128</v>
      </c>
      <c r="O173" s="5">
        <v>0.01355</v>
      </c>
    </row>
    <row r="174">
      <c r="A174" s="18" t="str">
        <f>IFERROR(__xludf.DUMMYFUNCTION("""COMPUTED_VALUE"""),"Abdel Sylla")</f>
        <v>Abdel Sylla</v>
      </c>
      <c r="B174" s="19" t="str">
        <f>IFERROR(__xludf.DUMMYFUNCTION("""COMPUTED_VALUE"""),"JLB")</f>
        <v>JLB</v>
      </c>
      <c r="C174" s="20">
        <f>IFERROR(__xludf.DUMMYFUNCTION("""COMPUTED_VALUE"""),128.5)</f>
        <v>128.5</v>
      </c>
      <c r="D174" s="21">
        <f>IFERROR(__xludf.DUMMYFUNCTION("""COMPUTED_VALUE"""),-1.2720364737547027)</f>
        <v>-1.272036474</v>
      </c>
      <c r="E174" s="21">
        <f>IFERROR(__xludf.DUMMYFUNCTION("""COMPUTED_VALUE"""),0.2449704364258367)</f>
        <v>0.2449704364</v>
      </c>
      <c r="F174" s="21">
        <f>IFERROR(__xludf.DUMMYFUNCTION("""COMPUTED_VALUE"""),-1.027066037328866)</f>
        <v>-1.027066037</v>
      </c>
      <c r="G174" s="23">
        <f>IFERROR(__xludf.DUMMYFUNCTION("""COMPUTED_VALUE"""),0.038169793191260605)</f>
        <v>0.03816979319</v>
      </c>
      <c r="H174" s="4"/>
      <c r="I174" s="5" t="s">
        <v>1507</v>
      </c>
      <c r="J174" s="5" t="s">
        <v>1338</v>
      </c>
      <c r="K174" s="5">
        <v>129.0</v>
      </c>
      <c r="L174" s="5">
        <v>-1.30164</v>
      </c>
      <c r="M174" s="5">
        <v>0.30859</v>
      </c>
      <c r="N174" s="5">
        <v>-0.99305</v>
      </c>
      <c r="O174" s="5">
        <v>0.0395</v>
      </c>
    </row>
    <row r="175">
      <c r="A175" s="12" t="str">
        <f>IFERROR(__xludf.DUMMYFUNCTION("""COMPUTED_VALUE"""),"Pape Sy")</f>
        <v>Pape Sy</v>
      </c>
      <c r="B175" s="13" t="str">
        <f>IFERROR(__xludf.DUMMYFUNCTION("""COMPUTED_VALUE"""),"STR")</f>
        <v>STR</v>
      </c>
      <c r="C175" s="14">
        <f>IFERROR(__xludf.DUMMYFUNCTION("""COMPUTED_VALUE"""),370.0)</f>
        <v>370</v>
      </c>
      <c r="D175" s="15">
        <f>IFERROR(__xludf.DUMMYFUNCTION("""COMPUTED_VALUE"""),-1.1688782859415578)</f>
        <v>-1.168878286</v>
      </c>
      <c r="E175" s="15">
        <f>IFERROR(__xludf.DUMMYFUNCTION("""COMPUTED_VALUE"""),0.13429080214591016)</f>
        <v>0.1342908021</v>
      </c>
      <c r="F175" s="15">
        <f>IFERROR(__xludf.DUMMYFUNCTION("""COMPUTED_VALUE"""),-1.0345874837956477)</f>
        <v>-1.034587484</v>
      </c>
      <c r="G175" s="17">
        <f>IFERROR(__xludf.DUMMYFUNCTION("""COMPUTED_VALUE"""),0.11187320847749364)</f>
        <v>0.1118732085</v>
      </c>
      <c r="H175" s="4"/>
      <c r="I175" s="5" t="s">
        <v>1508</v>
      </c>
      <c r="J175" s="5" t="s">
        <v>1308</v>
      </c>
      <c r="K175" s="5">
        <v>13.0</v>
      </c>
      <c r="L175" s="5">
        <v>-0.78942</v>
      </c>
      <c r="M175" s="5">
        <v>-0.25293</v>
      </c>
      <c r="N175" s="5">
        <v>-1.04236</v>
      </c>
      <c r="O175" s="5">
        <v>0.00381</v>
      </c>
    </row>
    <row r="176">
      <c r="A176" s="18" t="str">
        <f>IFERROR(__xludf.DUMMYFUNCTION("""COMPUTED_VALUE"""),"Nicolas Dorez")</f>
        <v>Nicolas Dorez</v>
      </c>
      <c r="B176" s="19" t="str">
        <f>IFERROR(__xludf.DUMMYFUNCTION("""COMPUTED_VALUE"""),"DIJ")</f>
        <v>DIJ</v>
      </c>
      <c r="C176" s="20">
        <f>IFERROR(__xludf.DUMMYFUNCTION("""COMPUTED_VALUE"""),13.0)</f>
        <v>13</v>
      </c>
      <c r="D176" s="21">
        <f>IFERROR(__xludf.DUMMYFUNCTION("""COMPUTED_VALUE"""),-0.791206255291656)</f>
        <v>-0.7912062553</v>
      </c>
      <c r="E176" s="21">
        <f>IFERROR(__xludf.DUMMYFUNCTION("""COMPUTED_VALUE"""),-0.25895913077338084)</f>
        <v>-0.2589591308</v>
      </c>
      <c r="F176" s="21">
        <f>IFERROR(__xludf.DUMMYFUNCTION("""COMPUTED_VALUE"""),-1.0501653860650368)</f>
        <v>-1.050165386</v>
      </c>
      <c r="G176" s="23">
        <f>IFERROR(__xludf.DUMMYFUNCTION("""COMPUTED_VALUE"""),0.003785355288596848)</f>
        <v>0.003785355289</v>
      </c>
      <c r="H176" s="4"/>
      <c r="I176" s="5" t="s">
        <v>1509</v>
      </c>
      <c r="J176" s="5" t="s">
        <v>1457</v>
      </c>
      <c r="K176" s="5">
        <v>15.0</v>
      </c>
      <c r="L176" s="5">
        <v>-0.84115</v>
      </c>
      <c r="M176" s="5">
        <v>-0.24798</v>
      </c>
      <c r="N176" s="5">
        <v>-1.08913</v>
      </c>
      <c r="O176" s="5">
        <v>0.00423</v>
      </c>
    </row>
    <row r="177">
      <c r="A177" s="12" t="str">
        <f>IFERROR(__xludf.DUMMYFUNCTION("""COMPUTED_VALUE"""),"Wilfried Gantswa-Babami")</f>
        <v>Wilfried Gantswa-Babami</v>
      </c>
      <c r="B177" s="13" t="str">
        <f>IFERROR(__xludf.DUMMYFUNCTION("""COMPUTED_VALUE"""),"HYT")</f>
        <v>HYT</v>
      </c>
      <c r="C177" s="14">
        <f>IFERROR(__xludf.DUMMYFUNCTION("""COMPUTED_VALUE"""),15.0)</f>
        <v>15</v>
      </c>
      <c r="D177" s="15">
        <f>IFERROR(__xludf.DUMMYFUNCTION("""COMPUTED_VALUE"""),-0.8386841243042733)</f>
        <v>-0.8386841243</v>
      </c>
      <c r="E177" s="15">
        <f>IFERROR(__xludf.DUMMYFUNCTION("""COMPUTED_VALUE"""),-0.250187341590691)</f>
        <v>-0.2501873416</v>
      </c>
      <c r="F177" s="15">
        <f>IFERROR(__xludf.DUMMYFUNCTION("""COMPUTED_VALUE"""),-1.0888714658949643)</f>
        <v>-1.088871466</v>
      </c>
      <c r="G177" s="17">
        <f>IFERROR(__xludf.DUMMYFUNCTION("""COMPUTED_VALUE"""),0.004227674596530779)</f>
        <v>0.004227674597</v>
      </c>
      <c r="H177" s="4"/>
      <c r="I177" s="5" t="s">
        <v>1510</v>
      </c>
      <c r="J177" s="5" t="s">
        <v>1384</v>
      </c>
      <c r="K177" s="5">
        <v>983.0</v>
      </c>
      <c r="L177" s="5">
        <v>1.43642</v>
      </c>
      <c r="M177" s="5">
        <v>-2.53691</v>
      </c>
      <c r="N177" s="5">
        <v>-1.10049</v>
      </c>
      <c r="O177" s="5">
        <v>0.27434</v>
      </c>
    </row>
    <row r="178">
      <c r="A178" s="18" t="str">
        <f>IFERROR(__xludf.DUMMYFUNCTION("""COMPUTED_VALUE"""),"Karvel Anderson")</f>
        <v>Karvel Anderson</v>
      </c>
      <c r="B178" s="19" t="str">
        <f>IFERROR(__xludf.DUMMYFUNCTION("""COMPUTED_VALUE"""),"BBD")</f>
        <v>BBD</v>
      </c>
      <c r="C178" s="20">
        <f>IFERROR(__xludf.DUMMYFUNCTION("""COMPUTED_VALUE"""),983.0)</f>
        <v>983</v>
      </c>
      <c r="D178" s="21">
        <f>IFERROR(__xludf.DUMMYFUNCTION("""COMPUTED_VALUE"""),1.4841257846191933)</f>
        <v>1.484125785</v>
      </c>
      <c r="E178" s="21">
        <f>IFERROR(__xludf.DUMMYFUNCTION("""COMPUTED_VALUE"""),-2.5825303321145303)</f>
        <v>-2.582530332</v>
      </c>
      <c r="F178" s="21">
        <f>IFERROR(__xludf.DUMMYFUNCTION("""COMPUTED_VALUE"""),-1.098404547495337)</f>
        <v>-1.098404547</v>
      </c>
      <c r="G178" s="23">
        <f>IFERROR(__xludf.DUMMYFUNCTION("""COMPUTED_VALUE"""),0.2749765666385621)</f>
        <v>0.2749765666</v>
      </c>
      <c r="H178" s="4"/>
      <c r="I178" s="5" t="s">
        <v>1511</v>
      </c>
      <c r="J178" s="5" t="s">
        <v>1338</v>
      </c>
      <c r="K178" s="5">
        <v>906.0</v>
      </c>
      <c r="L178" s="5">
        <v>0.80874</v>
      </c>
      <c r="M178" s="5">
        <v>-1.92859</v>
      </c>
      <c r="N178" s="5">
        <v>-1.11985</v>
      </c>
      <c r="O178" s="5">
        <v>0.24346</v>
      </c>
    </row>
    <row r="179">
      <c r="A179" s="12" t="str">
        <f>IFERROR(__xludf.DUMMYFUNCTION("""COMPUTED_VALUE"""),"Damien Inglis")</f>
        <v>Damien Inglis</v>
      </c>
      <c r="B179" s="13" t="str">
        <f>IFERROR(__xludf.DUMMYFUNCTION("""COMPUTED_VALUE"""),"STR")</f>
        <v>STR</v>
      </c>
      <c r="C179" s="14">
        <f>IFERROR(__xludf.DUMMYFUNCTION("""COMPUTED_VALUE"""),446.0)</f>
        <v>446</v>
      </c>
      <c r="D179" s="15">
        <f>IFERROR(__xludf.DUMMYFUNCTION("""COMPUTED_VALUE"""),-2.035312037516211)</f>
        <v>-2.035312038</v>
      </c>
      <c r="E179" s="15">
        <f>IFERROR(__xludf.DUMMYFUNCTION("""COMPUTED_VALUE"""),0.9270189031331155)</f>
        <v>0.9270189031</v>
      </c>
      <c r="F179" s="15">
        <f>IFERROR(__xludf.DUMMYFUNCTION("""COMPUTED_VALUE"""),-1.1082931343830953)</f>
        <v>-1.108293134</v>
      </c>
      <c r="G179" s="17">
        <f>IFERROR(__xludf.DUMMYFUNCTION("""COMPUTED_VALUE"""),0.12455707864963192)</f>
        <v>0.1245570786</v>
      </c>
      <c r="H179" s="4"/>
      <c r="I179" s="5" t="s">
        <v>1512</v>
      </c>
      <c r="J179" s="5" t="s">
        <v>1365</v>
      </c>
      <c r="K179" s="5">
        <v>560.0</v>
      </c>
      <c r="L179" s="5">
        <v>-2.72471</v>
      </c>
      <c r="M179" s="5">
        <v>1.59459</v>
      </c>
      <c r="N179" s="5">
        <v>-1.13012</v>
      </c>
      <c r="O179" s="5">
        <v>0.14847</v>
      </c>
    </row>
    <row r="180">
      <c r="A180" s="18" t="str">
        <f>IFERROR(__xludf.DUMMYFUNCTION("""COMPUTED_VALUE"""),"Chase Simon")</f>
        <v>Chase Simon</v>
      </c>
      <c r="B180" s="19" t="str">
        <f>IFERROR(__xludf.DUMMYFUNCTION("""COMPUTED_VALUE"""),"JLB")</f>
        <v>JLB</v>
      </c>
      <c r="C180" s="20">
        <f>IFERROR(__xludf.DUMMYFUNCTION("""COMPUTED_VALUE"""),906.0)</f>
        <v>906</v>
      </c>
      <c r="D180" s="21">
        <f>IFERROR(__xludf.DUMMYFUNCTION("""COMPUTED_VALUE"""),0.8538624054152559)</f>
        <v>0.8538624054</v>
      </c>
      <c r="E180" s="21">
        <f>IFERROR(__xludf.DUMMYFUNCTION("""COMPUTED_VALUE"""),-1.973826115776712)</f>
        <v>-1.973826116</v>
      </c>
      <c r="F180" s="21">
        <f>IFERROR(__xludf.DUMMYFUNCTION("""COMPUTED_VALUE"""),-1.1199637103614561)</f>
        <v>-1.11996371</v>
      </c>
      <c r="G180" s="23">
        <f>IFERROR(__xludf.DUMMYFUNCTION("""COMPUTED_VALUE"""),0.24342327126693952)</f>
        <v>0.2434232713</v>
      </c>
      <c r="H180" s="4"/>
      <c r="I180" s="5" t="s">
        <v>1513</v>
      </c>
      <c r="J180" s="5" t="s">
        <v>1457</v>
      </c>
      <c r="K180" s="5">
        <v>568.0</v>
      </c>
      <c r="L180" s="5">
        <v>1.21207</v>
      </c>
      <c r="M180" s="5">
        <v>-2.37932</v>
      </c>
      <c r="N180" s="5">
        <v>-1.16725</v>
      </c>
      <c r="O180" s="5">
        <v>0.14632</v>
      </c>
    </row>
    <row r="181">
      <c r="A181" s="12" t="str">
        <f>IFERROR(__xludf.DUMMYFUNCTION("""COMPUTED_VALUE"""),"Ferdinand Prenom")</f>
        <v>Ferdinand Prenom</v>
      </c>
      <c r="B181" s="13" t="str">
        <f>IFERROR(__xludf.DUMMYFUNCTION("""COMPUTED_VALUE"""),"HYT")</f>
        <v>HYT</v>
      </c>
      <c r="C181" s="14">
        <f>IFERROR(__xludf.DUMMYFUNCTION("""COMPUTED_VALUE"""),568.0)</f>
        <v>568</v>
      </c>
      <c r="D181" s="15">
        <f>IFERROR(__xludf.DUMMYFUNCTION("""COMPUTED_VALUE"""),1.2666576074859937)</f>
        <v>1.266657607</v>
      </c>
      <c r="E181" s="15">
        <f>IFERROR(__xludf.DUMMYFUNCTION("""COMPUTED_VALUE"""),-2.424379359462227)</f>
        <v>-2.424379359</v>
      </c>
      <c r="F181" s="15">
        <f>IFERROR(__xludf.DUMMYFUNCTION("""COMPUTED_VALUE"""),-1.1577217519762337)</f>
        <v>-1.157721752</v>
      </c>
      <c r="G181" s="17">
        <f>IFERROR(__xludf.DUMMYFUNCTION("""COMPUTED_VALUE"""),0.14799074835537784)</f>
        <v>0.1479907484</v>
      </c>
      <c r="H181" s="4"/>
      <c r="I181" s="5" t="s">
        <v>1514</v>
      </c>
      <c r="J181" s="5" t="s">
        <v>1342</v>
      </c>
      <c r="K181" s="5">
        <v>32.0</v>
      </c>
      <c r="L181" s="5">
        <v>-0.92731</v>
      </c>
      <c r="M181" s="5">
        <v>-0.29245</v>
      </c>
      <c r="N181" s="5">
        <v>-1.21976</v>
      </c>
      <c r="O181" s="5">
        <v>0.00756</v>
      </c>
    </row>
    <row r="182">
      <c r="A182" s="18" t="str">
        <f>IFERROR(__xludf.DUMMYFUNCTION("""COMPUTED_VALUE"""),"Theo Maledon")</f>
        <v>Theo Maledon</v>
      </c>
      <c r="B182" s="19" t="str">
        <f>IFERROR(__xludf.DUMMYFUNCTION("""COMPUTED_VALUE"""),"LYV")</f>
        <v>LYV</v>
      </c>
      <c r="C182" s="20">
        <f>IFERROR(__xludf.DUMMYFUNCTION("""COMPUTED_VALUE"""),32.0)</f>
        <v>32</v>
      </c>
      <c r="D182" s="21">
        <f>IFERROR(__xludf.DUMMYFUNCTION("""COMPUTED_VALUE"""),-0.9358884687482038)</f>
        <v>-0.9358884687</v>
      </c>
      <c r="E182" s="21">
        <f>IFERROR(__xludf.DUMMYFUNCTION("""COMPUTED_VALUE"""),-0.3044595141438521)</f>
        <v>-0.3044595141</v>
      </c>
      <c r="F182" s="21">
        <f>IFERROR(__xludf.DUMMYFUNCTION("""COMPUTED_VALUE"""),-1.2403479828920558)</f>
        <v>-1.240347983</v>
      </c>
      <c r="G182" s="23">
        <f>IFERROR(__xludf.DUMMYFUNCTION("""COMPUTED_VALUE"""),0.0073614993309527406)</f>
        <v>0.007361499331</v>
      </c>
      <c r="H182" s="4"/>
      <c r="I182" s="5" t="s">
        <v>1515</v>
      </c>
      <c r="J182" s="5" t="s">
        <v>1308</v>
      </c>
      <c r="K182" s="5">
        <v>471.0</v>
      </c>
      <c r="L182" s="5">
        <v>-1.18295</v>
      </c>
      <c r="M182" s="5">
        <v>-0.06552</v>
      </c>
      <c r="N182" s="5">
        <v>-1.24846</v>
      </c>
      <c r="O182" s="5">
        <v>0.10834</v>
      </c>
    </row>
    <row r="183">
      <c r="A183" s="12" t="str">
        <f>IFERROR(__xludf.DUMMYFUNCTION("""COMPUTED_VALUE"""),"Johan Passave-Ducteil")</f>
        <v>Johan Passave-Ducteil</v>
      </c>
      <c r="B183" s="13" t="str">
        <f>IFERROR(__xludf.DUMMYFUNCTION("""COMPUTED_VALUE"""),"NAN")</f>
        <v>NAN</v>
      </c>
      <c r="C183" s="14">
        <f>IFERROR(__xludf.DUMMYFUNCTION("""COMPUTED_VALUE"""),579.0)</f>
        <v>579</v>
      </c>
      <c r="D183" s="15">
        <f>IFERROR(__xludf.DUMMYFUNCTION("""COMPUTED_VALUE"""),-2.789456485381502)</f>
        <v>-2.789456485</v>
      </c>
      <c r="E183" s="15">
        <f>IFERROR(__xludf.DUMMYFUNCTION("""COMPUTED_VALUE"""),1.5188276719137068)</f>
        <v>1.518827672</v>
      </c>
      <c r="F183" s="15">
        <f>IFERROR(__xludf.DUMMYFUNCTION("""COMPUTED_VALUE"""),-1.2706288134677952)</f>
        <v>-1.270628813</v>
      </c>
      <c r="G183" s="17">
        <f>IFERROR(__xludf.DUMMYFUNCTION("""COMPUTED_VALUE"""),0.12742446577887248)</f>
        <v>0.1274244658</v>
      </c>
      <c r="H183" s="4"/>
      <c r="I183" s="5" t="s">
        <v>1516</v>
      </c>
      <c r="J183" s="5" t="s">
        <v>1332</v>
      </c>
      <c r="K183" s="5">
        <v>28.0</v>
      </c>
      <c r="L183" s="5">
        <v>-0.70732</v>
      </c>
      <c r="M183" s="5">
        <v>-0.56686</v>
      </c>
      <c r="N183" s="5">
        <v>-1.27418</v>
      </c>
      <c r="O183" s="5">
        <v>0.00631</v>
      </c>
    </row>
    <row r="184">
      <c r="A184" s="18" t="str">
        <f>IFERROR(__xludf.DUMMYFUNCTION("""COMPUTED_VALUE"""),"Jevohn Shepherd")</f>
        <v>Jevohn Shepherd</v>
      </c>
      <c r="B184" s="19" t="str">
        <f>IFERROR(__xludf.DUMMYFUNCTION("""COMPUTED_VALUE"""),"CHA")</f>
        <v>CHA</v>
      </c>
      <c r="C184" s="20">
        <f>IFERROR(__xludf.DUMMYFUNCTION("""COMPUTED_VALUE"""),28.0)</f>
        <v>28</v>
      </c>
      <c r="D184" s="21">
        <f>IFERROR(__xludf.DUMMYFUNCTION("""COMPUTED_VALUE"""),-0.7031043768440797)</f>
        <v>-0.7031043768</v>
      </c>
      <c r="E184" s="21">
        <f>IFERROR(__xludf.DUMMYFUNCTION("""COMPUTED_VALUE"""),-0.5710814557196726)</f>
        <v>-0.5710814557</v>
      </c>
      <c r="F184" s="21">
        <f>IFERROR(__xludf.DUMMYFUNCTION("""COMPUTED_VALUE"""),-1.2741858325637523)</f>
        <v>-1.274185833</v>
      </c>
      <c r="G184" s="23">
        <f>IFERROR(__xludf.DUMMYFUNCTION("""COMPUTED_VALUE"""),0.006311531313077013)</f>
        <v>0.006311531313</v>
      </c>
      <c r="H184" s="4"/>
      <c r="I184" s="5" t="s">
        <v>1517</v>
      </c>
      <c r="J184" s="5" t="s">
        <v>1365</v>
      </c>
      <c r="K184" s="5">
        <v>874.0</v>
      </c>
      <c r="L184" s="5">
        <v>0.20815</v>
      </c>
      <c r="M184" s="5">
        <v>-1.49897</v>
      </c>
      <c r="N184" s="5">
        <v>-1.29082</v>
      </c>
      <c r="O184" s="5">
        <v>0.18892</v>
      </c>
    </row>
    <row r="185">
      <c r="A185" s="12" t="str">
        <f>IFERROR(__xludf.DUMMYFUNCTION("""COMPUTED_VALUE"""),"Maxime Roos")</f>
        <v>Maxime Roos</v>
      </c>
      <c r="B185" s="13" t="str">
        <f>IFERROR(__xludf.DUMMYFUNCTION("""COMPUTED_VALUE"""),"PLV")</f>
        <v>PLV</v>
      </c>
      <c r="C185" s="14">
        <f>IFERROR(__xludf.DUMMYFUNCTION("""COMPUTED_VALUE"""),390.0)</f>
        <v>390</v>
      </c>
      <c r="D185" s="15">
        <f>IFERROR(__xludf.DUMMYFUNCTION("""COMPUTED_VALUE"""),-4.315257636935861)</f>
        <v>-4.315257637</v>
      </c>
      <c r="E185" s="15">
        <f>IFERROR(__xludf.DUMMYFUNCTION("""COMPUTED_VALUE"""),3.0079603068826133)</f>
        <v>3.007960307</v>
      </c>
      <c r="F185" s="15">
        <f>IFERROR(__xludf.DUMMYFUNCTION("""COMPUTED_VALUE"""),-1.307297330053248)</f>
        <v>-1.30729733</v>
      </c>
      <c r="G185" s="17">
        <f>IFERROR(__xludf.DUMMYFUNCTION("""COMPUTED_VALUE"""),0.0835559378535815)</f>
        <v>0.08355593785</v>
      </c>
      <c r="H185" s="4"/>
      <c r="I185" s="5" t="s">
        <v>1518</v>
      </c>
      <c r="J185" s="5" t="s">
        <v>1327</v>
      </c>
      <c r="K185" s="5">
        <v>685.0</v>
      </c>
      <c r="L185" s="5">
        <v>-0.92536</v>
      </c>
      <c r="M185" s="5">
        <v>-0.3944</v>
      </c>
      <c r="N185" s="5">
        <v>-1.31976</v>
      </c>
      <c r="O185" s="5">
        <v>0.14867</v>
      </c>
    </row>
    <row r="186">
      <c r="A186" s="18" t="str">
        <f>IFERROR(__xludf.DUMMYFUNCTION("""COMPUTED_VALUE"""),"Jerome Sanchez")</f>
        <v>Jerome Sanchez</v>
      </c>
      <c r="B186" s="19" t="str">
        <f>IFERROR(__xludf.DUMMYFUNCTION("""COMPUTED_VALUE"""),"BBD")</f>
        <v>BBD</v>
      </c>
      <c r="C186" s="20">
        <f>IFERROR(__xludf.DUMMYFUNCTION("""COMPUTED_VALUE"""),689.0)</f>
        <v>689</v>
      </c>
      <c r="D186" s="21">
        <f>IFERROR(__xludf.DUMMYFUNCTION("""COMPUTED_VALUE"""),-1.761247312852376)</f>
        <v>-1.761247313</v>
      </c>
      <c r="E186" s="21">
        <f>IFERROR(__xludf.DUMMYFUNCTION("""COMPUTED_VALUE"""),0.39057225815339214)</f>
        <v>0.3905722582</v>
      </c>
      <c r="F186" s="21">
        <f>IFERROR(__xludf.DUMMYFUNCTION("""COMPUTED_VALUE"""),-1.3706750546989839)</f>
        <v>-1.370675055</v>
      </c>
      <c r="G186" s="23">
        <f>IFERROR(__xludf.DUMMYFUNCTION("""COMPUTED_VALUE"""),0.1345316978844828)</f>
        <v>0.1345316979</v>
      </c>
      <c r="H186" s="4"/>
      <c r="I186" s="5" t="s">
        <v>1519</v>
      </c>
      <c r="J186" s="5" t="s">
        <v>1355</v>
      </c>
      <c r="K186" s="5">
        <v>390.0</v>
      </c>
      <c r="L186" s="5">
        <v>-4.36674</v>
      </c>
      <c r="M186" s="5">
        <v>3.04482</v>
      </c>
      <c r="N186" s="5">
        <v>-1.32192</v>
      </c>
      <c r="O186" s="5">
        <v>0.08179</v>
      </c>
    </row>
    <row r="187">
      <c r="A187" s="12" t="str">
        <f>IFERROR(__xludf.DUMMYFUNCTION("""COMPUTED_VALUE"""),"Jamal Shuler")</f>
        <v>Jamal Shuler</v>
      </c>
      <c r="B187" s="13" t="str">
        <f>IFERROR(__xludf.DUMMYFUNCTION("""COMPUTED_VALUE"""),"NAN")</f>
        <v>NAN</v>
      </c>
      <c r="C187" s="14">
        <f>IFERROR(__xludf.DUMMYFUNCTION("""COMPUTED_VALUE"""),916.0)</f>
        <v>916</v>
      </c>
      <c r="D187" s="15">
        <f>IFERROR(__xludf.DUMMYFUNCTION("""COMPUTED_VALUE"""),-0.09026504928977341)</f>
        <v>-0.09026504929</v>
      </c>
      <c r="E187" s="15">
        <f>IFERROR(__xludf.DUMMYFUNCTION("""COMPUTED_VALUE"""),-1.3263102114368615)</f>
        <v>-1.326310211</v>
      </c>
      <c r="F187" s="15">
        <f>IFERROR(__xludf.DUMMYFUNCTION("""COMPUTED_VALUE"""),-1.4165752607266349)</f>
        <v>-1.416575261</v>
      </c>
      <c r="G187" s="17">
        <f>IFERROR(__xludf.DUMMYFUNCTION("""COMPUTED_VALUE"""),0.16125231918764973)</f>
        <v>0.1612523192</v>
      </c>
      <c r="H187" s="4"/>
      <c r="I187" s="5" t="s">
        <v>164</v>
      </c>
      <c r="J187" s="5" t="s">
        <v>1365</v>
      </c>
      <c r="K187" s="5">
        <v>408.0</v>
      </c>
      <c r="L187" s="5">
        <v>0.31541</v>
      </c>
      <c r="M187" s="5">
        <v>-1.65377</v>
      </c>
      <c r="N187" s="5">
        <v>-1.33836</v>
      </c>
      <c r="O187" s="5">
        <v>0.08228</v>
      </c>
    </row>
    <row r="188">
      <c r="A188" s="18" t="str">
        <f>IFERROR(__xludf.DUMMYFUNCTION("""COMPUTED_VALUE"""),"Ndudi Ebi")</f>
        <v>Ndudi Ebi</v>
      </c>
      <c r="B188" s="19" t="str">
        <f>IFERROR(__xludf.DUMMYFUNCTION("""COMPUTED_VALUE"""),"BBD")</f>
        <v>BBD</v>
      </c>
      <c r="C188" s="20">
        <f>IFERROR(__xludf.DUMMYFUNCTION("""COMPUTED_VALUE"""),314.0)</f>
        <v>314</v>
      </c>
      <c r="D188" s="21">
        <f>IFERROR(__xludf.DUMMYFUNCTION("""COMPUTED_VALUE"""),-1.877075308792199)</f>
        <v>-1.877075309</v>
      </c>
      <c r="E188" s="21">
        <f>IFERROR(__xludf.DUMMYFUNCTION("""COMPUTED_VALUE"""),0.4170294510089696)</f>
        <v>0.417029451</v>
      </c>
      <c r="F188" s="21">
        <f>IFERROR(__xludf.DUMMYFUNCTION("""COMPUTED_VALUE"""),-1.4600458577832294)</f>
        <v>-1.460045858</v>
      </c>
      <c r="G188" s="23">
        <f>IFERROR(__xludf.DUMMYFUNCTION("""COMPUTED_VALUE"""),0.05260378328870543)</f>
        <v>0.05260378329</v>
      </c>
      <c r="H188" s="4"/>
      <c r="I188" s="5" t="s">
        <v>1520</v>
      </c>
      <c r="J188" s="5" t="s">
        <v>1384</v>
      </c>
      <c r="K188" s="5">
        <v>689.0</v>
      </c>
      <c r="L188" s="5">
        <v>-1.80576</v>
      </c>
      <c r="M188" s="5">
        <v>0.43562</v>
      </c>
      <c r="N188" s="5">
        <v>-1.37014</v>
      </c>
      <c r="O188" s="5">
        <v>0.13465</v>
      </c>
    </row>
    <row r="189">
      <c r="A189" s="12" t="str">
        <f>IFERROR(__xludf.DUMMYFUNCTION("""COMPUTED_VALUE"""),"Maxence Dadiet")</f>
        <v>Maxence Dadiet</v>
      </c>
      <c r="B189" s="13" t="str">
        <f>IFERROR(__xludf.DUMMYFUNCTION("""COMPUTED_VALUE"""),"NAN")</f>
        <v>NAN</v>
      </c>
      <c r="C189" s="14">
        <f>IFERROR(__xludf.DUMMYFUNCTION("""COMPUTED_VALUE"""),20.0)</f>
        <v>20</v>
      </c>
      <c r="D189" s="15">
        <f>IFERROR(__xludf.DUMMYFUNCTION("""COMPUTED_VALUE"""),-1.2961200564771018)</f>
        <v>-1.296120056</v>
      </c>
      <c r="E189" s="15">
        <f>IFERROR(__xludf.DUMMYFUNCTION("""COMPUTED_VALUE"""),-0.17918666336951783)</f>
        <v>-0.1791866634</v>
      </c>
      <c r="F189" s="15">
        <f>IFERROR(__xludf.DUMMYFUNCTION("""COMPUTED_VALUE"""),-1.4753067198466197)</f>
        <v>-1.47530672</v>
      </c>
      <c r="G189" s="17">
        <f>IFERROR(__xludf.DUMMYFUNCTION("""COMPUTED_VALUE"""),0.00316636628707094)</f>
        <v>0.003166366287</v>
      </c>
      <c r="H189" s="4"/>
      <c r="I189" s="5" t="s">
        <v>1521</v>
      </c>
      <c r="J189" s="5" t="s">
        <v>1365</v>
      </c>
      <c r="K189" s="5">
        <v>141.0</v>
      </c>
      <c r="L189" s="5">
        <v>-1.37764</v>
      </c>
      <c r="M189" s="5">
        <v>-0.01478</v>
      </c>
      <c r="N189" s="5">
        <v>-1.39242</v>
      </c>
      <c r="O189" s="5">
        <v>0.02611</v>
      </c>
    </row>
    <row r="190">
      <c r="A190" s="18" t="str">
        <f>IFERROR(__xludf.DUMMYFUNCTION("""COMPUTED_VALUE"""),"Jean-Michel Mipoka")</f>
        <v>Jean-Michel Mipoka</v>
      </c>
      <c r="B190" s="19" t="str">
        <f>IFERROR(__xludf.DUMMYFUNCTION("""COMPUTED_VALUE"""),"GRV")</f>
        <v>GRV</v>
      </c>
      <c r="C190" s="20">
        <f>IFERROR(__xludf.DUMMYFUNCTION("""COMPUTED_VALUE"""),670.0)</f>
        <v>670</v>
      </c>
      <c r="D190" s="21">
        <f>IFERROR(__xludf.DUMMYFUNCTION("""COMPUTED_VALUE"""),-1.0981315164197363)</f>
        <v>-1.098131516</v>
      </c>
      <c r="E190" s="21">
        <f>IFERROR(__xludf.DUMMYFUNCTION("""COMPUTED_VALUE"""),-0.4319947302512348)</f>
        <v>-0.4319947303</v>
      </c>
      <c r="F190" s="21">
        <f>IFERROR(__xludf.DUMMYFUNCTION("""COMPUTED_VALUE"""),-1.530126246670971)</f>
        <v>-1.530126247</v>
      </c>
      <c r="G190" s="23">
        <f>IFERROR(__xludf.DUMMYFUNCTION("""COMPUTED_VALUE"""),0.10055558865273906)</f>
        <v>0.1005555887</v>
      </c>
      <c r="H190" s="4"/>
      <c r="I190" s="5" t="s">
        <v>1522</v>
      </c>
      <c r="J190" s="5" t="s">
        <v>1384</v>
      </c>
      <c r="K190" s="5">
        <v>314.0</v>
      </c>
      <c r="L190" s="5">
        <v>-1.92292</v>
      </c>
      <c r="M190" s="5">
        <v>0.46232</v>
      </c>
      <c r="N190" s="5">
        <v>-1.46061</v>
      </c>
      <c r="O190" s="5">
        <v>0.05255</v>
      </c>
    </row>
    <row r="191">
      <c r="A191" s="12" t="str">
        <f>IFERROR(__xludf.DUMMYFUNCTION("""COMPUTED_VALUE"""),"Jerry Boutsiele")</f>
        <v>Jerry Boutsiele</v>
      </c>
      <c r="B191" s="13" t="str">
        <f>IFERROR(__xludf.DUMMYFUNCTION("""COMPUTED_VALUE"""),"CHO")</f>
        <v>CHO</v>
      </c>
      <c r="C191" s="14">
        <f>IFERROR(__xludf.DUMMYFUNCTION("""COMPUTED_VALUE"""),890.0)</f>
        <v>890</v>
      </c>
      <c r="D191" s="15">
        <f>IFERROR(__xludf.DUMMYFUNCTION("""COMPUTED_VALUE"""),-2.9900483398943765)</f>
        <v>-2.99004834</v>
      </c>
      <c r="E191" s="15">
        <f>IFERROR(__xludf.DUMMYFUNCTION("""COMPUTED_VALUE"""),1.435483170377275)</f>
        <v>1.43548317</v>
      </c>
      <c r="F191" s="15">
        <f>IFERROR(__xludf.DUMMYFUNCTION("""COMPUTED_VALUE"""),-1.5545651695171014)</f>
        <v>-1.55456517</v>
      </c>
      <c r="G191" s="17">
        <f>IFERROR(__xludf.DUMMYFUNCTION("""COMPUTED_VALUE"""),0.12312832712535406)</f>
        <v>0.1231283271</v>
      </c>
      <c r="H191" s="4"/>
      <c r="I191" s="5" t="s">
        <v>1523</v>
      </c>
      <c r="J191" s="5" t="s">
        <v>1308</v>
      </c>
      <c r="K191" s="5">
        <v>841.0</v>
      </c>
      <c r="L191" s="5">
        <v>-0.89944</v>
      </c>
      <c r="M191" s="5">
        <v>-0.57432</v>
      </c>
      <c r="N191" s="5">
        <v>-1.47376</v>
      </c>
      <c r="O191" s="5">
        <v>0.13546</v>
      </c>
    </row>
    <row r="192">
      <c r="A192" s="18" t="str">
        <f>IFERROR(__xludf.DUMMYFUNCTION("""COMPUTED_VALUE"""),"Meredis Houmounou")</f>
        <v>Meredis Houmounou</v>
      </c>
      <c r="B192" s="19" t="str">
        <f>IFERROR(__xludf.DUMMYFUNCTION("""COMPUTED_VALUE"""),"JLB")</f>
        <v>JLB</v>
      </c>
      <c r="C192" s="20">
        <f>IFERROR(__xludf.DUMMYFUNCTION("""COMPUTED_VALUE"""),388.0)</f>
        <v>388</v>
      </c>
      <c r="D192" s="21">
        <f>IFERROR(__xludf.DUMMYFUNCTION("""COMPUTED_VALUE"""),-2.3924537115628612)</f>
        <v>-2.392453712</v>
      </c>
      <c r="E192" s="21">
        <f>IFERROR(__xludf.DUMMYFUNCTION("""COMPUTED_VALUE"""),0.7856489871867369)</f>
        <v>0.7856489872</v>
      </c>
      <c r="F192" s="21">
        <f>IFERROR(__xludf.DUMMYFUNCTION("""COMPUTED_VALUE"""),-1.6068047243761243)</f>
        <v>-1.606804724</v>
      </c>
      <c r="G192" s="23">
        <f>IFERROR(__xludf.DUMMYFUNCTION("""COMPUTED_VALUE"""),0.046577195149160755)</f>
        <v>0.04657719515</v>
      </c>
      <c r="H192" s="4"/>
      <c r="I192" s="5" t="s">
        <v>1524</v>
      </c>
      <c r="J192" s="5" t="s">
        <v>1365</v>
      </c>
      <c r="K192" s="5">
        <v>20.0</v>
      </c>
      <c r="L192" s="5">
        <v>-1.30061</v>
      </c>
      <c r="M192" s="5">
        <v>-0.17769</v>
      </c>
      <c r="N192" s="5">
        <v>-1.4783</v>
      </c>
      <c r="O192" s="5">
        <v>0.00318</v>
      </c>
    </row>
    <row r="193">
      <c r="A193" s="12" t="str">
        <f>IFERROR(__xludf.DUMMYFUNCTION("""COMPUTED_VALUE"""),"Kris Joseph")</f>
        <v>Kris Joseph</v>
      </c>
      <c r="B193" s="13" t="str">
        <f>IFERROR(__xludf.DUMMYFUNCTION("""COMPUTED_VALUE"""),"CHA")</f>
        <v>CHA</v>
      </c>
      <c r="C193" s="14">
        <f>IFERROR(__xludf.DUMMYFUNCTION("""COMPUTED_VALUE"""),97.0)</f>
        <v>97</v>
      </c>
      <c r="D193" s="15">
        <f>IFERROR(__xludf.DUMMYFUNCTION("""COMPUTED_VALUE"""),-0.3444293347988372)</f>
        <v>-0.3444293348</v>
      </c>
      <c r="E193" s="15">
        <f>IFERROR(__xludf.DUMMYFUNCTION("""COMPUTED_VALUE"""),-1.2936602624492)</f>
        <v>-1.293660262</v>
      </c>
      <c r="F193" s="15">
        <f>IFERROR(__xludf.DUMMYFUNCTION("""COMPUTED_VALUE"""),-1.6380895972480372)</f>
        <v>-1.638089597</v>
      </c>
      <c r="G193" s="17">
        <f>IFERROR(__xludf.DUMMYFUNCTION("""COMPUTED_VALUE"""),0.010902449147647417)</f>
        <v>0.01090244915</v>
      </c>
      <c r="H193" s="4"/>
      <c r="I193" s="5" t="s">
        <v>1525</v>
      </c>
      <c r="J193" s="5" t="s">
        <v>1308</v>
      </c>
      <c r="K193" s="5">
        <v>176.0</v>
      </c>
      <c r="L193" s="5">
        <v>-0.80373</v>
      </c>
      <c r="M193" s="5">
        <v>-0.69872</v>
      </c>
      <c r="N193" s="5">
        <v>-1.50245</v>
      </c>
      <c r="O193" s="5">
        <v>0.02673</v>
      </c>
    </row>
    <row r="194">
      <c r="A194" s="18" t="str">
        <f>IFERROR(__xludf.DUMMYFUNCTION("""COMPUTED_VALUE"""),"Tyler Harvey")</f>
        <v>Tyler Harvey</v>
      </c>
      <c r="B194" s="19" t="str">
        <f>IFERROR(__xludf.DUMMYFUNCTION("""COMPUTED_VALUE"""),"ANT")</f>
        <v>ANT</v>
      </c>
      <c r="C194" s="20">
        <f>IFERROR(__xludf.DUMMYFUNCTION("""COMPUTED_VALUE"""),697.0)</f>
        <v>697</v>
      </c>
      <c r="D194" s="21">
        <f>IFERROR(__xludf.DUMMYFUNCTION("""COMPUTED_VALUE"""),1.318821572759785)</f>
        <v>1.318821573</v>
      </c>
      <c r="E194" s="21">
        <f>IFERROR(__xludf.DUMMYFUNCTION("""COMPUTED_VALUE"""),-2.957229178382744)</f>
        <v>-2.957229178</v>
      </c>
      <c r="F194" s="21">
        <f>IFERROR(__xludf.DUMMYFUNCTION("""COMPUTED_VALUE"""),-1.638407605622959)</f>
        <v>-1.638407606</v>
      </c>
      <c r="G194" s="23">
        <f>IFERROR(__xludf.DUMMYFUNCTION("""COMPUTED_VALUE"""),0.07844182703420269)</f>
        <v>0.07844182703</v>
      </c>
      <c r="H194" s="4"/>
      <c r="I194" s="5" t="s">
        <v>1526</v>
      </c>
      <c r="J194" s="5" t="s">
        <v>1314</v>
      </c>
      <c r="K194" s="5">
        <v>670.0</v>
      </c>
      <c r="L194" s="5">
        <v>-1.12642</v>
      </c>
      <c r="M194" s="5">
        <v>-0.38456</v>
      </c>
      <c r="N194" s="5">
        <v>-1.51098</v>
      </c>
      <c r="O194" s="5">
        <v>0.10465</v>
      </c>
    </row>
    <row r="195">
      <c r="A195" s="12" t="str">
        <f>IFERROR(__xludf.DUMMYFUNCTION("""COMPUTED_VALUE"""),"Thibault Daval-Braquet")</f>
        <v>Thibault Daval-Braquet</v>
      </c>
      <c r="B195" s="13" t="str">
        <f>IFERROR(__xludf.DUMMYFUNCTION("""COMPUTED_VALUE"""),"PAU")</f>
        <v>PAU</v>
      </c>
      <c r="C195" s="14">
        <f>IFERROR(__xludf.DUMMYFUNCTION("""COMPUTED_VALUE"""),40.0)</f>
        <v>40</v>
      </c>
      <c r="D195" s="15">
        <f>IFERROR(__xludf.DUMMYFUNCTION("""COMPUTED_VALUE"""),-0.7142213300106229)</f>
        <v>-0.71422133</v>
      </c>
      <c r="E195" s="15">
        <f>IFERROR(__xludf.DUMMYFUNCTION("""COMPUTED_VALUE"""),-0.9271409826819558)</f>
        <v>-0.9271409827</v>
      </c>
      <c r="F195" s="15">
        <f>IFERROR(__xludf.DUMMYFUNCTION("""COMPUTED_VALUE"""),-1.6413623126925787)</f>
        <v>-1.641362313</v>
      </c>
      <c r="G195" s="17">
        <f>IFERROR(__xludf.DUMMYFUNCTION("""COMPUTED_VALUE"""),0.00443210955633002)</f>
        <v>0.004432109556</v>
      </c>
      <c r="H195" s="4"/>
      <c r="I195" s="5" t="s">
        <v>1527</v>
      </c>
      <c r="J195" s="5" t="s">
        <v>1375</v>
      </c>
      <c r="K195" s="5">
        <v>890.0</v>
      </c>
      <c r="L195" s="5">
        <v>-3.03498</v>
      </c>
      <c r="M195" s="5">
        <v>1.48061</v>
      </c>
      <c r="N195" s="5">
        <v>-1.55437</v>
      </c>
      <c r="O195" s="5">
        <v>0.12318</v>
      </c>
    </row>
    <row r="196">
      <c r="A196" s="18" t="str">
        <f>IFERROR(__xludf.DUMMYFUNCTION("""COMPUTED_VALUE"""),"Tweety Carter")</f>
        <v>Tweety Carter</v>
      </c>
      <c r="B196" s="19" t="str">
        <f>IFERROR(__xludf.DUMMYFUNCTION("""COMPUTED_VALUE"""),"PORT")</f>
        <v>PORT</v>
      </c>
      <c r="C196" s="20">
        <f>IFERROR(__xludf.DUMMYFUNCTION("""COMPUTED_VALUE"""),692.0)</f>
        <v>692</v>
      </c>
      <c r="D196" s="21">
        <f>IFERROR(__xludf.DUMMYFUNCTION("""COMPUTED_VALUE"""),-0.6335949719881537)</f>
        <v>-0.633594972</v>
      </c>
      <c r="E196" s="21">
        <f>IFERROR(__xludf.DUMMYFUNCTION("""COMPUTED_VALUE"""),-1.018247718471485)</f>
        <v>-1.018247718</v>
      </c>
      <c r="F196" s="21">
        <f>IFERROR(__xludf.DUMMYFUNCTION("""COMPUTED_VALUE"""),-1.6518426904596388)</f>
        <v>-1.65184269</v>
      </c>
      <c r="G196" s="23">
        <f>IFERROR(__xludf.DUMMYFUNCTION("""COMPUTED_VALUE"""),0.07296981220817775)</f>
        <v>0.07296981221</v>
      </c>
      <c r="H196" s="4"/>
      <c r="I196" s="5" t="s">
        <v>1528</v>
      </c>
      <c r="J196" s="5" t="s">
        <v>1338</v>
      </c>
      <c r="K196" s="5">
        <v>388.0</v>
      </c>
      <c r="L196" s="5">
        <v>-2.43378</v>
      </c>
      <c r="M196" s="5">
        <v>0.83021</v>
      </c>
      <c r="N196" s="5">
        <v>-1.60356</v>
      </c>
      <c r="O196" s="5">
        <v>0.04696</v>
      </c>
    </row>
    <row r="197">
      <c r="A197" s="12" t="str">
        <f>IFERROR(__xludf.DUMMYFUNCTION("""COMPUTED_VALUE"""),"Dustin Ware")</f>
        <v>Dustin Ware</v>
      </c>
      <c r="B197" s="13" t="str">
        <f>IFERROR(__xludf.DUMMYFUNCTION("""COMPUTED_VALUE"""),"BBD")</f>
        <v>BBD</v>
      </c>
      <c r="C197" s="14">
        <f>IFERROR(__xludf.DUMMYFUNCTION("""COMPUTED_VALUE"""),157.0)</f>
        <v>157</v>
      </c>
      <c r="D197" s="15">
        <f>IFERROR(__xludf.DUMMYFUNCTION("""COMPUTED_VALUE"""),-0.08109448115783684)</f>
        <v>-0.08109448116</v>
      </c>
      <c r="E197" s="15">
        <f>IFERROR(__xludf.DUMMYFUNCTION("""COMPUTED_VALUE"""),-1.5844948679679929)</f>
        <v>-1.584494868</v>
      </c>
      <c r="F197" s="15">
        <f>IFERROR(__xludf.DUMMYFUNCTION("""COMPUTED_VALUE"""),-1.6655893491258298)</f>
        <v>-1.665589349</v>
      </c>
      <c r="G197" s="17">
        <f>IFERROR(__xludf.DUMMYFUNCTION("""COMPUTED_VALUE"""),0.016289592052946573)</f>
        <v>0.01628959205</v>
      </c>
      <c r="H197" s="4"/>
      <c r="I197" s="5" t="s">
        <v>1529</v>
      </c>
      <c r="J197" s="5" t="s">
        <v>1369</v>
      </c>
      <c r="K197" s="5">
        <v>40.0</v>
      </c>
      <c r="L197" s="5">
        <v>-0.72063</v>
      </c>
      <c r="M197" s="5">
        <v>-0.89484</v>
      </c>
      <c r="N197" s="5">
        <v>-1.61547</v>
      </c>
      <c r="O197" s="5">
        <v>0.00475</v>
      </c>
    </row>
    <row r="198">
      <c r="A198" s="18" t="str">
        <f>IFERROR(__xludf.DUMMYFUNCTION("""COMPUTED_VALUE"""),"Alexandre Karolak")</f>
        <v>Alexandre Karolak</v>
      </c>
      <c r="B198" s="19" t="str">
        <f>IFERROR(__xludf.DUMMYFUNCTION("""COMPUTED_VALUE"""),"RCB")</f>
        <v>RCB</v>
      </c>
      <c r="C198" s="20">
        <f>IFERROR(__xludf.DUMMYFUNCTION("""COMPUTED_VALUE"""),110.0)</f>
        <v>110</v>
      </c>
      <c r="D198" s="21">
        <f>IFERROR(__xludf.DUMMYFUNCTION("""COMPUTED_VALUE"""),-0.7353057000991704)</f>
        <v>-0.7353057001</v>
      </c>
      <c r="E198" s="21">
        <f>IFERROR(__xludf.DUMMYFUNCTION("""COMPUTED_VALUE"""),-0.9424469046248777)</f>
        <v>-0.9424469046</v>
      </c>
      <c r="F198" s="21">
        <f>IFERROR(__xludf.DUMMYFUNCTION("""COMPUTED_VALUE"""),-1.677752604724048)</f>
        <v>-1.677752605</v>
      </c>
      <c r="G198" s="23">
        <f>IFERROR(__xludf.DUMMYFUNCTION("""COMPUTED_VALUE"""),0.010807077280595948)</f>
        <v>0.01080707728</v>
      </c>
      <c r="H198" s="4"/>
      <c r="I198" s="5" t="s">
        <v>1530</v>
      </c>
      <c r="J198" s="5" t="s">
        <v>1379</v>
      </c>
      <c r="K198" s="24">
        <v>697.0</v>
      </c>
      <c r="L198" s="5">
        <v>1.28172</v>
      </c>
      <c r="M198" s="5">
        <v>-2.91119</v>
      </c>
      <c r="N198" s="5">
        <v>-1.62947</v>
      </c>
      <c r="O198" s="5">
        <v>0.08038</v>
      </c>
    </row>
    <row r="199">
      <c r="A199" s="12" t="str">
        <f>IFERROR(__xludf.DUMMYFUNCTION("""COMPUTED_VALUE"""),"Louis Campbell")</f>
        <v>Louis Campbell</v>
      </c>
      <c r="B199" s="13" t="str">
        <f>IFERROR(__xludf.DUMMYFUNCTION("""COMPUTED_VALUE"""),"PLV")</f>
        <v>PLV</v>
      </c>
      <c r="C199" s="14">
        <f>IFERROR(__xludf.DUMMYFUNCTION("""COMPUTED_VALUE"""),769.0)</f>
        <v>769</v>
      </c>
      <c r="D199" s="15">
        <f>IFERROR(__xludf.DUMMYFUNCTION("""COMPUTED_VALUE"""),-1.9841363590711156)</f>
        <v>-1.984136359</v>
      </c>
      <c r="E199" s="15">
        <f>IFERROR(__xludf.DUMMYFUNCTION("""COMPUTED_VALUE"""),0.30238673324106613)</f>
        <v>0.3023867332</v>
      </c>
      <c r="F199" s="15">
        <f>IFERROR(__xludf.DUMMYFUNCTION("""COMPUTED_VALUE"""),-1.6817496258300495)</f>
        <v>-1.681749626</v>
      </c>
      <c r="G199" s="17">
        <f>IFERROR(__xludf.DUMMYFUNCTION("""COMPUTED_VALUE"""),0.07569394012735038)</f>
        <v>0.07569394013</v>
      </c>
      <c r="H199" s="4"/>
      <c r="I199" s="5" t="s">
        <v>1531</v>
      </c>
      <c r="J199" s="5" t="s">
        <v>1332</v>
      </c>
      <c r="K199" s="5">
        <v>97.0</v>
      </c>
      <c r="L199" s="5">
        <v>-0.35844</v>
      </c>
      <c r="M199" s="5">
        <v>-1.27913</v>
      </c>
      <c r="N199" s="5">
        <v>-1.63757</v>
      </c>
      <c r="O199" s="5">
        <v>0.01092</v>
      </c>
    </row>
    <row r="200">
      <c r="A200" s="18" t="str">
        <f>IFERROR(__xludf.DUMMYFUNCTION("""COMPUTED_VALUE"""),"Axel Julien")</f>
        <v>Axel Julien</v>
      </c>
      <c r="B200" s="19" t="str">
        <f>IFERROR(__xludf.DUMMYFUNCTION("""COMPUTED_VALUE"""),"DIJ")</f>
        <v>DIJ</v>
      </c>
      <c r="C200" s="20">
        <f>IFERROR(__xludf.DUMMYFUNCTION("""COMPUTED_VALUE"""),865.0)</f>
        <v>865</v>
      </c>
      <c r="D200" s="21">
        <f>IFERROR(__xludf.DUMMYFUNCTION("""COMPUTED_VALUE"""),-0.9520438453996912)</f>
        <v>-0.9520438454</v>
      </c>
      <c r="E200" s="21">
        <f>IFERROR(__xludf.DUMMYFUNCTION("""COMPUTED_VALUE"""),-0.782323486779633)</f>
        <v>-0.7823234868</v>
      </c>
      <c r="F200" s="21">
        <f>IFERROR(__xludf.DUMMYFUNCTION("""COMPUTED_VALUE"""),-1.7343673321793243)</f>
        <v>-1.734367332</v>
      </c>
      <c r="G200" s="23">
        <f>IFERROR(__xludf.DUMMYFUNCTION("""COMPUTED_VALUE"""),0.07043895350624312)</f>
        <v>0.07043895351</v>
      </c>
      <c r="H200" s="4"/>
      <c r="I200" s="5" t="s">
        <v>1532</v>
      </c>
      <c r="J200" s="5" t="s">
        <v>1348</v>
      </c>
      <c r="K200" s="5">
        <v>692.0</v>
      </c>
      <c r="L200" s="5">
        <v>-0.67877</v>
      </c>
      <c r="M200" s="5">
        <v>-0.97308</v>
      </c>
      <c r="N200" s="5">
        <v>-1.65185</v>
      </c>
      <c r="O200" s="5">
        <v>0.07297</v>
      </c>
    </row>
    <row r="201">
      <c r="A201" s="12" t="str">
        <f>IFERROR(__xludf.DUMMYFUNCTION("""COMPUTED_VALUE"""),"Jordan Tolbert")</f>
        <v>Jordan Tolbert</v>
      </c>
      <c r="B201" s="13" t="str">
        <f>IFERROR(__xludf.DUMMYFUNCTION("""COMPUTED_VALUE"""),"HYT")</f>
        <v>HYT</v>
      </c>
      <c r="C201" s="14">
        <f>IFERROR(__xludf.DUMMYFUNCTION("""COMPUTED_VALUE"""),654.0)</f>
        <v>654</v>
      </c>
      <c r="D201" s="15">
        <f>IFERROR(__xludf.DUMMYFUNCTION("""COMPUTED_VALUE"""),-1.2089801902218762)</f>
        <v>-1.20898019</v>
      </c>
      <c r="E201" s="15">
        <f>IFERROR(__xludf.DUMMYFUNCTION("""COMPUTED_VALUE"""),-0.5562454009287763)</f>
        <v>-0.5562454009</v>
      </c>
      <c r="F201" s="15">
        <f>IFERROR(__xludf.DUMMYFUNCTION("""COMPUTED_VALUE"""),-1.7652255911506525)</f>
        <v>-1.765225591</v>
      </c>
      <c r="G201" s="17">
        <f>IFERROR(__xludf.DUMMYFUNCTION("""COMPUTED_VALUE"""),0.047496231150276326)</f>
        <v>0.04749623115</v>
      </c>
      <c r="H201" s="4"/>
      <c r="I201" s="5" t="s">
        <v>809</v>
      </c>
      <c r="J201" s="5" t="s">
        <v>1384</v>
      </c>
      <c r="K201" s="5">
        <v>157.0</v>
      </c>
      <c r="L201" s="5">
        <v>-0.10489</v>
      </c>
      <c r="M201" s="5">
        <v>-1.56083</v>
      </c>
      <c r="N201" s="5">
        <v>-1.66572</v>
      </c>
      <c r="O201" s="5">
        <v>0.01628</v>
      </c>
    </row>
    <row r="202">
      <c r="A202" s="18" t="str">
        <f>IFERROR(__xludf.DUMMYFUNCTION("""COMPUTED_VALUE"""),"Killian Hayes")</f>
        <v>Killian Hayes</v>
      </c>
      <c r="B202" s="19" t="str">
        <f>IFERROR(__xludf.DUMMYFUNCTION("""COMPUTED_VALUE"""),"CHO")</f>
        <v>CHO</v>
      </c>
      <c r="C202" s="20">
        <f>IFERROR(__xludf.DUMMYFUNCTION("""COMPUTED_VALUE"""),82.0)</f>
        <v>82</v>
      </c>
      <c r="D202" s="21">
        <f>IFERROR(__xludf.DUMMYFUNCTION("""COMPUTED_VALUE"""),-1.3253835769771722)</f>
        <v>-1.325383577</v>
      </c>
      <c r="E202" s="21">
        <f>IFERROR(__xludf.DUMMYFUNCTION("""COMPUTED_VALUE"""),-0.5099064822610697)</f>
        <v>-0.5099064823</v>
      </c>
      <c r="F202" s="21">
        <f>IFERROR(__xludf.DUMMYFUNCTION("""COMPUTED_VALUE"""),-1.835290059238242)</f>
        <v>-1.835290059</v>
      </c>
      <c r="G202" s="23">
        <f>IFERROR(__xludf.DUMMYFUNCTION("""COMPUTED_VALUE"""),0.004194859914531665)</f>
        <v>0.004194859915</v>
      </c>
      <c r="H202" s="4"/>
      <c r="I202" s="5" t="s">
        <v>1533</v>
      </c>
      <c r="J202" s="5" t="s">
        <v>1367</v>
      </c>
      <c r="K202" s="5">
        <v>110.0</v>
      </c>
      <c r="L202" s="5">
        <v>-0.75118</v>
      </c>
      <c r="M202" s="5">
        <v>-0.92601</v>
      </c>
      <c r="N202" s="5">
        <v>-1.67719</v>
      </c>
      <c r="O202" s="5">
        <v>0.01083</v>
      </c>
    </row>
    <row r="203">
      <c r="A203" s="12" t="str">
        <f>IFERROR(__xludf.DUMMYFUNCTION("""COMPUTED_VALUE"""),"Danny Gibson")</f>
        <v>Danny Gibson</v>
      </c>
      <c r="B203" s="13" t="str">
        <f>IFERROR(__xludf.DUMMYFUNCTION("""COMPUTED_VALUE"""),"CSP")</f>
        <v>CSP</v>
      </c>
      <c r="C203" s="14">
        <f>IFERROR(__xludf.DUMMYFUNCTION("""COMPUTED_VALUE"""),771.0)</f>
        <v>771</v>
      </c>
      <c r="D203" s="15">
        <f>IFERROR(__xludf.DUMMYFUNCTION("""COMPUTED_VALUE"""),-1.1398058619905163)</f>
        <v>-1.139805862</v>
      </c>
      <c r="E203" s="15">
        <f>IFERROR(__xludf.DUMMYFUNCTION("""COMPUTED_VALUE"""),-0.71378412951557)</f>
        <v>-0.7137841295</v>
      </c>
      <c r="F203" s="15">
        <f>IFERROR(__xludf.DUMMYFUNCTION("""COMPUTED_VALUE"""),-1.8535899915060863)</f>
        <v>-1.853589992</v>
      </c>
      <c r="G203" s="17">
        <f>IFERROR(__xludf.DUMMYFUNCTION("""COMPUTED_VALUE"""),0.036067627626239114)</f>
        <v>0.03606762763</v>
      </c>
      <c r="H203" s="4"/>
      <c r="I203" s="5" t="s">
        <v>1534</v>
      </c>
      <c r="J203" s="5" t="s">
        <v>1355</v>
      </c>
      <c r="K203" s="5">
        <v>769.0</v>
      </c>
      <c r="L203" s="5">
        <v>-2.03627</v>
      </c>
      <c r="M203" s="5">
        <v>0.33936</v>
      </c>
      <c r="N203" s="5">
        <v>-1.69691</v>
      </c>
      <c r="O203" s="5">
        <v>0.07209</v>
      </c>
    </row>
    <row r="204">
      <c r="A204" s="18" t="str">
        <f>IFERROR(__xludf.DUMMYFUNCTION("""COMPUTED_VALUE"""),"Brandon Ubel")</f>
        <v>Brandon Ubel</v>
      </c>
      <c r="B204" s="19" t="str">
        <f>IFERROR(__xludf.DUMMYFUNCTION("""COMPUTED_VALUE"""),"BBD")</f>
        <v>BBD</v>
      </c>
      <c r="C204" s="20">
        <f>IFERROR(__xludf.DUMMYFUNCTION("""COMPUTED_VALUE"""),776.0)</f>
        <v>776</v>
      </c>
      <c r="D204" s="21">
        <f>IFERROR(__xludf.DUMMYFUNCTION("""COMPUTED_VALUE"""),-0.7680444230243003)</f>
        <v>-0.768044423</v>
      </c>
      <c r="E204" s="21">
        <f>IFERROR(__xludf.DUMMYFUNCTION("""COMPUTED_VALUE"""),-1.0892169087153927)</f>
        <v>-1.089216909</v>
      </c>
      <c r="F204" s="21">
        <f>IFERROR(__xludf.DUMMYFUNCTION("""COMPUTED_VALUE"""),-1.8572613317396929)</f>
        <v>-1.857261332</v>
      </c>
      <c r="G204" s="23">
        <f>IFERROR(__xludf.DUMMYFUNCTION("""COMPUTED_VALUE"""),0.03436638225816694)</f>
        <v>0.03436638226</v>
      </c>
      <c r="H204" s="4"/>
      <c r="I204" s="5" t="s">
        <v>668</v>
      </c>
      <c r="J204" s="5" t="s">
        <v>1342</v>
      </c>
      <c r="K204" s="5">
        <v>23.0</v>
      </c>
      <c r="L204" s="5">
        <v>-1.104</v>
      </c>
      <c r="M204" s="5">
        <v>-0.64087</v>
      </c>
      <c r="N204" s="5">
        <v>-1.74487</v>
      </c>
      <c r="O204" s="5">
        <v>0.00178</v>
      </c>
    </row>
    <row r="205">
      <c r="A205" s="12" t="str">
        <f>IFERROR(__xludf.DUMMYFUNCTION("""COMPUTED_VALUE"""),"Levi Randolph")</f>
        <v>Levi Randolph</v>
      </c>
      <c r="B205" s="13" t="str">
        <f>IFERROR(__xludf.DUMMYFUNCTION("""COMPUTED_VALUE"""),"STR")</f>
        <v>STR</v>
      </c>
      <c r="C205" s="14">
        <f>IFERROR(__xludf.DUMMYFUNCTION("""COMPUTED_VALUE"""),429.0)</f>
        <v>429</v>
      </c>
      <c r="D205" s="15">
        <f>IFERROR(__xludf.DUMMYFUNCTION("""COMPUTED_VALUE"""),-0.6388417989508487)</f>
        <v>-0.638841799</v>
      </c>
      <c r="E205" s="15">
        <f>IFERROR(__xludf.DUMMYFUNCTION("""COMPUTED_VALUE"""),-1.2510228692471586)</f>
        <v>-1.251022869</v>
      </c>
      <c r="F205" s="15">
        <f>IFERROR(__xludf.DUMMYFUNCTION("""COMPUTED_VALUE"""),-1.8898646681980074)</f>
        <v>-1.889864668</v>
      </c>
      <c r="G205" s="17">
        <f>IFERROR(__xludf.DUMMYFUNCTION("""COMPUTED_VALUE"""),0.014797740303769224)</f>
        <v>0.0147977403</v>
      </c>
      <c r="H205" s="4"/>
      <c r="I205" s="5" t="s">
        <v>1535</v>
      </c>
      <c r="J205" s="5" t="s">
        <v>1457</v>
      </c>
      <c r="K205" s="5">
        <v>654.0</v>
      </c>
      <c r="L205" s="5">
        <v>-1.26061</v>
      </c>
      <c r="M205" s="5">
        <v>-0.51171</v>
      </c>
      <c r="N205" s="5">
        <v>-1.77232</v>
      </c>
      <c r="O205" s="5">
        <v>0.04606</v>
      </c>
    </row>
    <row r="206">
      <c r="A206" s="18" t="str">
        <f>IFERROR(__xludf.DUMMYFUNCTION("""COMPUTED_VALUE"""),"Luc Loubaki")</f>
        <v>Luc Loubaki</v>
      </c>
      <c r="B206" s="19" t="str">
        <f>IFERROR(__xludf.DUMMYFUNCTION("""COMPUTED_VALUE"""),"ASM")</f>
        <v>ASM</v>
      </c>
      <c r="C206" s="20">
        <f>IFERROR(__xludf.DUMMYFUNCTION("""COMPUTED_VALUE"""),90.0)</f>
        <v>90</v>
      </c>
      <c r="D206" s="21">
        <f>IFERROR(__xludf.DUMMYFUNCTION("""COMPUTED_VALUE"""),-1.8539636108728161)</f>
        <v>-1.853963611</v>
      </c>
      <c r="E206" s="21">
        <f>IFERROR(__xludf.DUMMYFUNCTION("""COMPUTED_VALUE"""),-0.049280868552198376)</f>
        <v>-0.04928086855</v>
      </c>
      <c r="F206" s="21">
        <f>IFERROR(__xludf.DUMMYFUNCTION("""COMPUTED_VALUE"""),-1.9032444794250145)</f>
        <v>-1.903244479</v>
      </c>
      <c r="G206" s="23">
        <f>IFERROR(__xludf.DUMMYFUNCTION("""COMPUTED_VALUE"""),0.002854536025390354)</f>
        <v>0.002854536025</v>
      </c>
      <c r="H206" s="4"/>
      <c r="I206" s="5" t="s">
        <v>1536</v>
      </c>
      <c r="J206" s="5" t="s">
        <v>1375</v>
      </c>
      <c r="K206" s="5">
        <v>82.0</v>
      </c>
      <c r="L206" s="5">
        <v>-1.33672</v>
      </c>
      <c r="M206" s="5">
        <v>-0.49774</v>
      </c>
      <c r="N206" s="5">
        <v>-1.83446</v>
      </c>
      <c r="O206" s="5">
        <v>0.00422</v>
      </c>
    </row>
    <row r="207">
      <c r="A207" s="12" t="str">
        <f>IFERROR(__xludf.DUMMYFUNCTION("""COMPUTED_VALUE"""),"Sadio Doucoure")</f>
        <v>Sadio Doucoure</v>
      </c>
      <c r="B207" s="13" t="str">
        <f>IFERROR(__xludf.DUMMYFUNCTION("""COMPUTED_VALUE"""),"RCB")</f>
        <v>RCB</v>
      </c>
      <c r="C207" s="14">
        <f>IFERROR(__xludf.DUMMYFUNCTION("""COMPUTED_VALUE"""),240.0)</f>
        <v>240</v>
      </c>
      <c r="D207" s="15">
        <f>IFERROR(__xludf.DUMMYFUNCTION("""COMPUTED_VALUE"""),-0.6314488392872241)</f>
        <v>-0.6314488393</v>
      </c>
      <c r="E207" s="15">
        <f>IFERROR(__xludf.DUMMYFUNCTION("""COMPUTED_VALUE"""),-1.2904982021890548)</f>
        <v>-1.290498202</v>
      </c>
      <c r="F207" s="15">
        <f>IFERROR(__xludf.DUMMYFUNCTION("""COMPUTED_VALUE"""),-1.921947041476279)</f>
        <v>-1.921947041</v>
      </c>
      <c r="G207" s="17">
        <f>IFERROR(__xludf.DUMMYFUNCTION("""COMPUTED_VALUE"""),0.005711192087101542)</f>
        <v>0.005711192087</v>
      </c>
      <c r="H207" s="4"/>
      <c r="I207" s="5" t="s">
        <v>1537</v>
      </c>
      <c r="J207" s="5" t="s">
        <v>1384</v>
      </c>
      <c r="K207" s="5">
        <v>776.0</v>
      </c>
      <c r="L207" s="5">
        <v>-0.81303</v>
      </c>
      <c r="M207" s="5">
        <v>-1.04408</v>
      </c>
      <c r="N207" s="5">
        <v>-1.85712</v>
      </c>
      <c r="O207" s="5">
        <v>0.0344</v>
      </c>
    </row>
    <row r="208">
      <c r="A208" s="18" t="str">
        <f>IFERROR(__xludf.DUMMYFUNCTION("""COMPUTED_VALUE"""),"Ian Miller")</f>
        <v>Ian Miller</v>
      </c>
      <c r="B208" s="19" t="str">
        <f>IFERROR(__xludf.DUMMYFUNCTION("""COMPUTED_VALUE"""),"GRV")</f>
        <v>GRV</v>
      </c>
      <c r="C208" s="20">
        <f>IFERROR(__xludf.DUMMYFUNCTION("""COMPUTED_VALUE"""),186.0)</f>
        <v>186</v>
      </c>
      <c r="D208" s="21">
        <f>IFERROR(__xludf.DUMMYFUNCTION("""COMPUTED_VALUE"""),-1.4021544941415203)</f>
        <v>-1.402154494</v>
      </c>
      <c r="E208" s="21">
        <f>IFERROR(__xludf.DUMMYFUNCTION("""COMPUTED_VALUE"""),-0.5339837960269151)</f>
        <v>-0.533983796</v>
      </c>
      <c r="F208" s="21">
        <f>IFERROR(__xludf.DUMMYFUNCTION("""COMPUTED_VALUE"""),-1.9361382901684354)</f>
        <v>-1.93613829</v>
      </c>
      <c r="G208" s="23">
        <f>IFERROR(__xludf.DUMMYFUNCTION("""COMPUTED_VALUE"""),0.003794055765587593)</f>
        <v>0.003794055766</v>
      </c>
      <c r="H208" s="4"/>
      <c r="I208" s="5" t="s">
        <v>1538</v>
      </c>
      <c r="J208" s="5" t="s">
        <v>1369</v>
      </c>
      <c r="K208" s="5">
        <v>634.0</v>
      </c>
      <c r="L208" s="5">
        <v>-2.19055</v>
      </c>
      <c r="M208" s="5">
        <v>0.31718</v>
      </c>
      <c r="N208" s="5">
        <v>-1.87338</v>
      </c>
      <c r="O208" s="5">
        <v>0.02481</v>
      </c>
    </row>
    <row r="209">
      <c r="A209" s="12" t="str">
        <f>IFERROR(__xludf.DUMMYFUNCTION("""COMPUTED_VALUE"""),"Ilian Evtimov")</f>
        <v>Ilian Evtimov</v>
      </c>
      <c r="B209" s="13" t="str">
        <f>IFERROR(__xludf.DUMMYFUNCTION("""COMPUTED_VALUE"""),"CHO")</f>
        <v>CHO</v>
      </c>
      <c r="C209" s="14">
        <f>IFERROR(__xludf.DUMMYFUNCTION("""COMPUTED_VALUE"""),485.0)</f>
        <v>485</v>
      </c>
      <c r="D209" s="15">
        <f>IFERROR(__xludf.DUMMYFUNCTION("""COMPUTED_VALUE"""),-1.9355915682086702)</f>
        <v>-1.935591568</v>
      </c>
      <c r="E209" s="15">
        <f>IFERROR(__xludf.DUMMYFUNCTION("""COMPUTED_VALUE"""),-0.03378571650213691)</f>
        <v>-0.0337857165</v>
      </c>
      <c r="F209" s="15">
        <f>IFERROR(__xludf.DUMMYFUNCTION("""COMPUTED_VALUE"""),-1.969377284710807)</f>
        <v>-1.969377285</v>
      </c>
      <c r="G209" s="17">
        <f>IFERROR(__xludf.DUMMYFUNCTION("""COMPUTED_VALUE"""),0.004612848955136486)</f>
        <v>0.004612848955</v>
      </c>
      <c r="H209" s="4"/>
      <c r="I209" s="5" t="s">
        <v>1540</v>
      </c>
      <c r="J209" s="5" t="s">
        <v>1317</v>
      </c>
      <c r="K209" s="5">
        <v>90.0</v>
      </c>
      <c r="L209" s="5">
        <v>-1.88463</v>
      </c>
      <c r="M209" s="5">
        <v>-0.00186</v>
      </c>
      <c r="N209" s="5">
        <v>-1.88649</v>
      </c>
      <c r="O209" s="5">
        <v>0.00334</v>
      </c>
    </row>
    <row r="210">
      <c r="A210" s="18" t="str">
        <f>IFERROR(__xludf.DUMMYFUNCTION("""COMPUTED_VALUE"""),"Markus Kennedy")</f>
        <v>Markus Kennedy</v>
      </c>
      <c r="B210" s="19" t="str">
        <f>IFERROR(__xludf.DUMMYFUNCTION("""COMPUTED_VALUE"""),"DIJ")</f>
        <v>DIJ</v>
      </c>
      <c r="C210" s="20">
        <f>IFERROR(__xludf.DUMMYFUNCTION("""COMPUTED_VALUE"""),187.5)</f>
        <v>187.5</v>
      </c>
      <c r="D210" s="21">
        <f>IFERROR(__xludf.DUMMYFUNCTION("""COMPUTED_VALUE"""),-1.1370356183072416)</f>
        <v>-1.137035618</v>
      </c>
      <c r="E210" s="21">
        <f>IFERROR(__xludf.DUMMYFUNCTION("""COMPUTED_VALUE"""),-0.8519016929608354)</f>
        <v>-0.851901693</v>
      </c>
      <c r="F210" s="21">
        <f>IFERROR(__xludf.DUMMYFUNCTION("""COMPUTED_VALUE"""),-1.988937311268077)</f>
        <v>-1.988937311</v>
      </c>
      <c r="G210" s="23">
        <f>IFERROR(__xludf.DUMMYFUNCTION("""COMPUTED_VALUE"""),6.358830792617352E-4)</f>
        <v>0.0006358830793</v>
      </c>
      <c r="H210" s="4"/>
      <c r="I210" s="5" t="s">
        <v>1541</v>
      </c>
      <c r="J210" s="5" t="s">
        <v>1367</v>
      </c>
      <c r="K210" s="5">
        <v>240.0</v>
      </c>
      <c r="L210" s="5">
        <v>-0.66807</v>
      </c>
      <c r="M210" s="5">
        <v>-1.25428</v>
      </c>
      <c r="N210" s="5">
        <v>-1.92235</v>
      </c>
      <c r="O210" s="5">
        <v>0.00568</v>
      </c>
    </row>
    <row r="211">
      <c r="A211" s="12" t="str">
        <f>IFERROR(__xludf.DUMMYFUNCTION("""COMPUTED_VALUE"""),"Rod Odom")</f>
        <v>Rod Odom</v>
      </c>
      <c r="B211" s="13" t="str">
        <f>IFERROR(__xludf.DUMMYFUNCTION("""COMPUTED_VALUE"""),"PLV")</f>
        <v>PLV</v>
      </c>
      <c r="C211" s="14">
        <f>IFERROR(__xludf.DUMMYFUNCTION("""COMPUTED_VALUE"""),313.0)</f>
        <v>313</v>
      </c>
      <c r="D211" s="15">
        <f>IFERROR(__xludf.DUMMYFUNCTION("""COMPUTED_VALUE"""),-1.4370169971443971)</f>
        <v>-1.437016997</v>
      </c>
      <c r="E211" s="15">
        <f>IFERROR(__xludf.DUMMYFUNCTION("""COMPUTED_VALUE"""),-0.5862620270475412)</f>
        <v>-0.586262027</v>
      </c>
      <c r="F211" s="15">
        <f>IFERROR(__xludf.DUMMYFUNCTION("""COMPUTED_VALUE"""),-2.0232790241919383)</f>
        <v>-2.023279024</v>
      </c>
      <c r="G211" s="17">
        <f>IFERROR(__xludf.DUMMYFUNCTION("""COMPUTED_VALUE"""),-0.0022535902694698694)</f>
        <v>-0.002253590269</v>
      </c>
      <c r="H211" s="4"/>
      <c r="I211" s="5" t="s">
        <v>1544</v>
      </c>
      <c r="J211" s="5" t="s">
        <v>1314</v>
      </c>
      <c r="K211" s="5">
        <v>186.0</v>
      </c>
      <c r="L211" s="5">
        <v>-1.42036</v>
      </c>
      <c r="M211" s="5">
        <v>-0.50446</v>
      </c>
      <c r="N211" s="5">
        <v>-1.92482</v>
      </c>
      <c r="O211" s="5">
        <v>0.00447</v>
      </c>
    </row>
    <row r="212">
      <c r="A212" s="18" t="str">
        <f>IFERROR(__xludf.DUMMYFUNCTION("""COMPUTED_VALUE"""),"Alexandre Chassang")</f>
        <v>Alexandre Chassang</v>
      </c>
      <c r="B212" s="19" t="str">
        <f>IFERROR(__xludf.DUMMYFUNCTION("""COMPUTED_VALUE"""),"HYT")</f>
        <v>HYT</v>
      </c>
      <c r="C212" s="20">
        <f>IFERROR(__xludf.DUMMYFUNCTION("""COMPUTED_VALUE"""),802.0)</f>
        <v>802</v>
      </c>
      <c r="D212" s="21">
        <f>IFERROR(__xludf.DUMMYFUNCTION("""COMPUTED_VALUE"""),-1.8251474728487178)</f>
        <v>-1.825147473</v>
      </c>
      <c r="E212" s="21">
        <f>IFERROR(__xludf.DUMMYFUNCTION("""COMPUTED_VALUE"""),-0.2383965841350828)</f>
        <v>-0.2383965841</v>
      </c>
      <c r="F212" s="21">
        <f>IFERROR(__xludf.DUMMYFUNCTION("""COMPUTED_VALUE"""),-2.0635440569838006)</f>
        <v>-2.063544057</v>
      </c>
      <c r="G212" s="23">
        <f>IFERROR(__xludf.DUMMYFUNCTION("""COMPUTED_VALUE"""),-0.01576449099499126)</f>
        <v>-0.01576449099</v>
      </c>
      <c r="H212" s="4"/>
      <c r="I212" s="5" t="s">
        <v>1547</v>
      </c>
      <c r="J212" s="5" t="s">
        <v>1375</v>
      </c>
      <c r="K212" s="5">
        <v>485.0</v>
      </c>
      <c r="L212" s="5">
        <v>-1.9787</v>
      </c>
      <c r="M212" s="5">
        <v>0.01101</v>
      </c>
      <c r="N212" s="5">
        <v>-1.96769</v>
      </c>
      <c r="O212" s="5">
        <v>0.00487</v>
      </c>
    </row>
    <row r="213">
      <c r="A213" s="12" t="str">
        <f>IFERROR(__xludf.DUMMYFUNCTION("""COMPUTED_VALUE"""),"Lance Jeter")</f>
        <v>Lance Jeter</v>
      </c>
      <c r="B213" s="13" t="str">
        <f>IFERROR(__xludf.DUMMYFUNCTION("""COMPUTED_VALUE"""),"JLB")</f>
        <v>JLB</v>
      </c>
      <c r="C213" s="14">
        <f>IFERROR(__xludf.DUMMYFUNCTION("""COMPUTED_VALUE"""),524.0)</f>
        <v>524</v>
      </c>
      <c r="D213" s="15">
        <f>IFERROR(__xludf.DUMMYFUNCTION("""COMPUTED_VALUE"""),-0.842456039051738)</f>
        <v>-0.8424560391</v>
      </c>
      <c r="E213" s="15">
        <f>IFERROR(__xludf.DUMMYFUNCTION("""COMPUTED_VALUE"""),-1.297311330978168)</f>
        <v>-1.297311331</v>
      </c>
      <c r="F213" s="15">
        <f>IFERROR(__xludf.DUMMYFUNCTION("""COMPUTED_VALUE"""),-2.1397673700299062)</f>
        <v>-2.13976737</v>
      </c>
      <c r="G213" s="17">
        <f>IFERROR(__xludf.DUMMYFUNCTION("""COMPUTED_VALUE"""),-0.022359927736676683)</f>
        <v>-0.02235992774</v>
      </c>
      <c r="H213" s="4"/>
      <c r="I213" s="5" t="s">
        <v>1548</v>
      </c>
      <c r="J213" s="5" t="s">
        <v>1355</v>
      </c>
      <c r="K213" s="5">
        <v>313.0</v>
      </c>
      <c r="L213" s="5">
        <v>-1.48958</v>
      </c>
      <c r="M213" s="5">
        <v>-0.54921</v>
      </c>
      <c r="N213" s="5">
        <v>-2.0388</v>
      </c>
      <c r="O213" s="5">
        <v>-0.00376</v>
      </c>
    </row>
    <row r="214">
      <c r="A214" s="18" t="str">
        <f>IFERROR(__xludf.DUMMYFUNCTION("""COMPUTED_VALUE"""),"Jessie Begarin")</f>
        <v>Jessie Begarin</v>
      </c>
      <c r="B214" s="19" t="str">
        <f>IFERROR(__xludf.DUMMYFUNCTION("""COMPUTED_VALUE"""),"PORT")</f>
        <v>PORT</v>
      </c>
      <c r="C214" s="20">
        <f>IFERROR(__xludf.DUMMYFUNCTION("""COMPUTED_VALUE"""),556.0)</f>
        <v>556</v>
      </c>
      <c r="D214" s="21">
        <f>IFERROR(__xludf.DUMMYFUNCTION("""COMPUTED_VALUE"""),-3.0965242581874595)</f>
        <v>-3.096524258</v>
      </c>
      <c r="E214" s="21">
        <f>IFERROR(__xludf.DUMMYFUNCTION("""COMPUTED_VALUE"""),0.9471895849578669)</f>
        <v>0.947189585</v>
      </c>
      <c r="F214" s="21">
        <f>IFERROR(__xludf.DUMMYFUNCTION("""COMPUTED_VALUE"""),-2.1493346732295926)</f>
        <v>-2.149334673</v>
      </c>
      <c r="G214" s="23">
        <f>IFERROR(__xludf.DUMMYFUNCTION("""COMPUTED_VALUE"""),-0.025147630126425007)</f>
        <v>-0.02514763013</v>
      </c>
      <c r="H214" s="4"/>
      <c r="I214" s="5" t="s">
        <v>1549</v>
      </c>
      <c r="J214" s="5" t="s">
        <v>1457</v>
      </c>
      <c r="K214" s="5">
        <v>802.0</v>
      </c>
      <c r="L214" s="5">
        <v>-1.87609</v>
      </c>
      <c r="M214" s="5">
        <v>-0.19399</v>
      </c>
      <c r="N214" s="5">
        <v>-2.07008</v>
      </c>
      <c r="O214" s="5">
        <v>-0.01739</v>
      </c>
    </row>
    <row r="215">
      <c r="A215" s="12" t="str">
        <f>IFERROR(__xludf.DUMMYFUNCTION("""COMPUTED_VALUE"""),"Darnell Jackson")</f>
        <v>Darnell Jackson</v>
      </c>
      <c r="B215" s="13" t="str">
        <f>IFERROR(__xludf.DUMMYFUNCTION("""COMPUTED_VALUE"""),"BBD")</f>
        <v>BBD</v>
      </c>
      <c r="C215" s="14">
        <f>IFERROR(__xludf.DUMMYFUNCTION("""COMPUTED_VALUE"""),245.0)</f>
        <v>245</v>
      </c>
      <c r="D215" s="15">
        <f>IFERROR(__xludf.DUMMYFUNCTION("""COMPUTED_VALUE"""),-1.1895239163735642)</f>
        <v>-1.189523916</v>
      </c>
      <c r="E215" s="15">
        <f>IFERROR(__xludf.DUMMYFUNCTION("""COMPUTED_VALUE"""),-0.9796103935651381)</f>
        <v>-0.9796103936</v>
      </c>
      <c r="F215" s="15">
        <f>IFERROR(__xludf.DUMMYFUNCTION("""COMPUTED_VALUE"""),-2.1691343099387024)</f>
        <v>-2.16913431</v>
      </c>
      <c r="G215" s="17">
        <f>IFERROR(__xludf.DUMMYFUNCTION("""COMPUTED_VALUE"""),-0.012856662840597095)</f>
        <v>-0.01285666284</v>
      </c>
      <c r="H215" s="4"/>
      <c r="I215" s="5" t="s">
        <v>1551</v>
      </c>
      <c r="J215" s="5" t="s">
        <v>1369</v>
      </c>
      <c r="K215" s="5">
        <v>812.0</v>
      </c>
      <c r="L215" s="5">
        <v>-2.50211</v>
      </c>
      <c r="M215" s="5">
        <v>0.39632</v>
      </c>
      <c r="N215" s="5">
        <v>-2.10579</v>
      </c>
      <c r="O215" s="5">
        <v>-0.02655</v>
      </c>
    </row>
    <row r="216">
      <c r="A216" s="18" t="str">
        <f>IFERROR(__xludf.DUMMYFUNCTION("""COMPUTED_VALUE"""),"Yancy Gates")</f>
        <v>Yancy Gates</v>
      </c>
      <c r="B216" s="19" t="str">
        <f>IFERROR(__xludf.DUMMYFUNCTION("""COMPUTED_VALUE"""),"CHO")</f>
        <v>CHO</v>
      </c>
      <c r="C216" s="20">
        <f>IFERROR(__xludf.DUMMYFUNCTION("""COMPUTED_VALUE"""),556.0)</f>
        <v>556</v>
      </c>
      <c r="D216" s="21">
        <f>IFERROR(__xludf.DUMMYFUNCTION("""COMPUTED_VALUE"""),-2.5645200101533328)</f>
        <v>-2.56452001</v>
      </c>
      <c r="E216" s="21">
        <f>IFERROR(__xludf.DUMMYFUNCTION("""COMPUTED_VALUE"""),0.3846004085209396)</f>
        <v>0.3846004085</v>
      </c>
      <c r="F216" s="21">
        <f>IFERROR(__xludf.DUMMYFUNCTION("""COMPUTED_VALUE"""),-2.179919601632393)</f>
        <v>-2.179919602</v>
      </c>
      <c r="G216" s="23">
        <f>IFERROR(__xludf.DUMMYFUNCTION("""COMPUTED_VALUE"""),-0.031069700824506805)</f>
        <v>-0.03106970082</v>
      </c>
      <c r="H216" s="4"/>
      <c r="I216" s="5" t="s">
        <v>1552</v>
      </c>
      <c r="J216" s="5" t="s">
        <v>1342</v>
      </c>
      <c r="K216" s="5">
        <v>131.0</v>
      </c>
      <c r="L216" s="5">
        <v>-1.61925</v>
      </c>
      <c r="M216" s="5">
        <v>-0.49479</v>
      </c>
      <c r="N216" s="5">
        <v>-2.11404</v>
      </c>
      <c r="O216" s="5">
        <v>-0.00452</v>
      </c>
    </row>
    <row r="217">
      <c r="A217" s="12" t="str">
        <f>IFERROR(__xludf.DUMMYFUNCTION("""COMPUTED_VALUE"""),"Yannick Bokolo")</f>
        <v>Yannick Bokolo</v>
      </c>
      <c r="B217" s="13" t="str">
        <f>IFERROR(__xludf.DUMMYFUNCTION("""COMPUTED_VALUE"""),"PAU")</f>
        <v>PAU</v>
      </c>
      <c r="C217" s="14">
        <f>IFERROR(__xludf.DUMMYFUNCTION("""COMPUTED_VALUE"""),646.0)</f>
        <v>646</v>
      </c>
      <c r="D217" s="15">
        <f>IFERROR(__xludf.DUMMYFUNCTION("""COMPUTED_VALUE"""),-2.2772358247884874)</f>
        <v>-2.277235825</v>
      </c>
      <c r="E217" s="15">
        <f>IFERROR(__xludf.DUMMYFUNCTION("""COMPUTED_VALUE"""),0.09054495930630813)</f>
        <v>0.09054495931</v>
      </c>
      <c r="F217" s="15">
        <f>IFERROR(__xludf.DUMMYFUNCTION("""COMPUTED_VALUE"""),-2.1866908654821793)</f>
        <v>-2.186690865</v>
      </c>
      <c r="G217" s="17">
        <f>IFERROR(__xludf.DUMMYFUNCTION("""COMPUTED_VALUE"""),-0.037260626900100936)</f>
        <v>-0.0372606269</v>
      </c>
      <c r="H217" s="4"/>
      <c r="I217" s="5" t="s">
        <v>1555</v>
      </c>
      <c r="J217" s="5" t="s">
        <v>1308</v>
      </c>
      <c r="K217" s="5">
        <v>902.0</v>
      </c>
      <c r="L217" s="5">
        <v>-0.6786</v>
      </c>
      <c r="M217" s="5">
        <v>-1.44339</v>
      </c>
      <c r="N217" s="5">
        <v>-2.12198</v>
      </c>
      <c r="O217" s="5">
        <v>-0.03368</v>
      </c>
    </row>
    <row r="218">
      <c r="A218" s="18" t="str">
        <f>IFERROR(__xludf.DUMMYFUNCTION("""COMPUTED_VALUE"""),"Cliff Alexander")</f>
        <v>Cliff Alexander</v>
      </c>
      <c r="B218" s="19" t="str">
        <f>IFERROR(__xludf.DUMMYFUNCTION("""COMPUTED_VALUE"""),"LYV")</f>
        <v>LYV</v>
      </c>
      <c r="C218" s="20">
        <f>IFERROR(__xludf.DUMMYFUNCTION("""COMPUTED_VALUE"""),131.0)</f>
        <v>131</v>
      </c>
      <c r="D218" s="21">
        <f>IFERROR(__xludf.DUMMYFUNCTION("""COMPUTED_VALUE"""),-1.6546368306222257)</f>
        <v>-1.654636831</v>
      </c>
      <c r="E218" s="21">
        <f>IFERROR(__xludf.DUMMYFUNCTION("""COMPUTED_VALUE"""),-0.5439182619263252)</f>
        <v>-0.5439182619</v>
      </c>
      <c r="F218" s="21">
        <f>IFERROR(__xludf.DUMMYFUNCTION("""COMPUTED_VALUE"""),-2.198555092548551)</f>
        <v>-2.198555093</v>
      </c>
      <c r="G218" s="23">
        <f>IFERROR(__xludf.DUMMYFUNCTION("""COMPUTED_VALUE"""),-0.00787687455870704)</f>
        <v>-0.007876874559</v>
      </c>
      <c r="H218" s="4"/>
      <c r="I218" s="5" t="s">
        <v>1557</v>
      </c>
      <c r="J218" s="5" t="s">
        <v>1338</v>
      </c>
      <c r="K218" s="5">
        <v>524.0</v>
      </c>
      <c r="L218" s="5">
        <v>-0.88536</v>
      </c>
      <c r="M218" s="5">
        <v>-1.25247</v>
      </c>
      <c r="N218" s="5">
        <v>-2.13783</v>
      </c>
      <c r="O218" s="5">
        <v>-0.02205</v>
      </c>
    </row>
    <row r="219">
      <c r="A219" s="12" t="str">
        <f>IFERROR(__xludf.DUMMYFUNCTION("""COMPUTED_VALUE"""),"Tautvydas Lydeka")</f>
        <v>Tautvydas Lydeka</v>
      </c>
      <c r="B219" s="13" t="str">
        <f>IFERROR(__xludf.DUMMYFUNCTION("""COMPUTED_VALUE"""),"CSP")</f>
        <v>CSP</v>
      </c>
      <c r="C219" s="14">
        <f>IFERROR(__xludf.DUMMYFUNCTION("""COMPUTED_VALUE"""),104.0)</f>
        <v>104</v>
      </c>
      <c r="D219" s="15">
        <f>IFERROR(__xludf.DUMMYFUNCTION("""COMPUTED_VALUE"""),-2.2068806931200116)</f>
        <v>-2.206880693</v>
      </c>
      <c r="E219" s="15">
        <f>IFERROR(__xludf.DUMMYFUNCTION("""COMPUTED_VALUE"""),-0.003642189986571065)</f>
        <v>-0.003642189987</v>
      </c>
      <c r="F219" s="15">
        <f>IFERROR(__xludf.DUMMYFUNCTION("""COMPUTED_VALUE"""),-2.2105228831065826)</f>
        <v>-2.210522883</v>
      </c>
      <c r="G219" s="17">
        <f>IFERROR(__xludf.DUMMYFUNCTION("""COMPUTED_VALUE"""),-0.00699560181391862)</f>
        <v>-0.006995601814</v>
      </c>
      <c r="H219" s="4"/>
      <c r="I219" s="5" t="s">
        <v>1558</v>
      </c>
      <c r="J219" s="5" t="s">
        <v>1348</v>
      </c>
      <c r="K219" s="5">
        <v>556.0</v>
      </c>
      <c r="L219" s="5">
        <v>-3.13779</v>
      </c>
      <c r="M219" s="5">
        <v>0.99166</v>
      </c>
      <c r="N219" s="5">
        <v>-2.14613</v>
      </c>
      <c r="O219" s="5">
        <v>-0.02461</v>
      </c>
    </row>
    <row r="220">
      <c r="A220" s="18" t="str">
        <f>IFERROR(__xludf.DUMMYFUNCTION("""COMPUTED_VALUE"""),"A.J. English III")</f>
        <v>A.J. English III</v>
      </c>
      <c r="B220" s="19" t="str">
        <f>IFERROR(__xludf.DUMMYFUNCTION("""COMPUTED_VALUE"""),"CSP")</f>
        <v>CSP</v>
      </c>
      <c r="C220" s="20">
        <f>IFERROR(__xludf.DUMMYFUNCTION("""COMPUTED_VALUE"""),127.0)</f>
        <v>127</v>
      </c>
      <c r="D220" s="21">
        <f>IFERROR(__xludf.DUMMYFUNCTION("""COMPUTED_VALUE"""),-2.110480815833921)</f>
        <v>-2.110480816</v>
      </c>
      <c r="E220" s="21">
        <f>IFERROR(__xludf.DUMMYFUNCTION("""COMPUTED_VALUE"""),-0.15100769169264394)</f>
        <v>-0.1510076917</v>
      </c>
      <c r="F220" s="21">
        <f>IFERROR(__xludf.DUMMYFUNCTION("""COMPUTED_VALUE"""),-2.261488507526565)</f>
        <v>-2.261488508</v>
      </c>
      <c r="G220" s="23">
        <f>IFERROR(__xludf.DUMMYFUNCTION("""COMPUTED_VALUE"""),-0.010610815438327453)</f>
        <v>-0.01061081544</v>
      </c>
      <c r="H220" s="4"/>
      <c r="I220" s="5" t="s">
        <v>682</v>
      </c>
      <c r="J220" s="5" t="s">
        <v>1384</v>
      </c>
      <c r="K220" s="5">
        <v>245.0</v>
      </c>
      <c r="L220" s="5">
        <v>-1.2267</v>
      </c>
      <c r="M220" s="5">
        <v>-0.94267</v>
      </c>
      <c r="N220" s="5">
        <v>-2.16937</v>
      </c>
      <c r="O220" s="5">
        <v>-0.01287</v>
      </c>
    </row>
    <row r="221">
      <c r="A221" s="12" t="str">
        <f>IFERROR(__xludf.DUMMYFUNCTION("""COMPUTED_VALUE"""),"Steven Smith")</f>
        <v>Steven Smith</v>
      </c>
      <c r="B221" s="13" t="str">
        <f>IFERROR(__xludf.DUMMYFUNCTION("""COMPUTED_VALUE"""),"ANT")</f>
        <v>ANT</v>
      </c>
      <c r="C221" s="14">
        <f>IFERROR(__xludf.DUMMYFUNCTION("""COMPUTED_VALUE"""),45.0)</f>
        <v>45</v>
      </c>
      <c r="D221" s="15">
        <f>IFERROR(__xludf.DUMMYFUNCTION("""COMPUTED_VALUE"""),-1.5083080480101474)</f>
        <v>-1.508308048</v>
      </c>
      <c r="E221" s="15">
        <f>IFERROR(__xludf.DUMMYFUNCTION("""COMPUTED_VALUE"""),-0.7589531415999433)</f>
        <v>-0.7589531416</v>
      </c>
      <c r="F221" s="15">
        <f>IFERROR(__xludf.DUMMYFUNCTION("""COMPUTED_VALUE"""),-2.2672611896100907)</f>
        <v>-2.26726119</v>
      </c>
      <c r="G221" s="17">
        <f>IFERROR(__xludf.DUMMYFUNCTION("""COMPUTED_VALUE"""),-0.0037432087405706933)</f>
        <v>-0.003743208741</v>
      </c>
      <c r="H221" s="4"/>
      <c r="I221" s="5" t="s">
        <v>1560</v>
      </c>
      <c r="J221" s="5" t="s">
        <v>1375</v>
      </c>
      <c r="K221" s="5">
        <v>556.0</v>
      </c>
      <c r="L221" s="5">
        <v>-2.6128</v>
      </c>
      <c r="M221" s="5">
        <v>0.43032</v>
      </c>
      <c r="N221" s="5">
        <v>-2.18248</v>
      </c>
      <c r="O221" s="5">
        <v>-0.03151</v>
      </c>
    </row>
    <row r="222">
      <c r="A222" s="18" t="str">
        <f>IFERROR(__xludf.DUMMYFUNCTION("""COMPUTED_VALUE"""),"John Flowers")</f>
        <v>John Flowers</v>
      </c>
      <c r="B222" s="19" t="str">
        <f>IFERROR(__xludf.DUMMYFUNCTION("""COMPUTED_VALUE"""),"RCB")</f>
        <v>RCB</v>
      </c>
      <c r="C222" s="20">
        <f>IFERROR(__xludf.DUMMYFUNCTION("""COMPUTED_VALUE"""),307.0)</f>
        <v>307</v>
      </c>
      <c r="D222" s="21">
        <f>IFERROR(__xludf.DUMMYFUNCTION("""COMPUTED_VALUE"""),-1.4243174814118091)</f>
        <v>-1.424317481</v>
      </c>
      <c r="E222" s="21">
        <f>IFERROR(__xludf.DUMMYFUNCTION("""COMPUTED_VALUE"""),-0.8730015539619009)</f>
        <v>-0.873001554</v>
      </c>
      <c r="F222" s="21">
        <f>IFERROR(__xludf.DUMMYFUNCTION("""COMPUTED_VALUE"""),-2.29731903537371)</f>
        <v>-2.297319035</v>
      </c>
      <c r="G222" s="23">
        <f>IFERROR(__xludf.DUMMYFUNCTION("""COMPUTED_VALUE"""),-0.027828336542600304)</f>
        <v>-0.02782833654</v>
      </c>
      <c r="H222" s="4"/>
      <c r="I222" s="5" t="s">
        <v>1561</v>
      </c>
      <c r="J222" s="5" t="s">
        <v>1327</v>
      </c>
      <c r="K222" s="5">
        <v>104.0</v>
      </c>
      <c r="L222" s="5">
        <v>-2.21436</v>
      </c>
      <c r="M222" s="5">
        <v>0.02908</v>
      </c>
      <c r="N222" s="5">
        <v>-2.18529</v>
      </c>
      <c r="O222" s="5">
        <v>-0.00615</v>
      </c>
    </row>
    <row r="223">
      <c r="A223" s="12" t="str">
        <f>IFERROR(__xludf.DUMMYFUNCTION("""COMPUTED_VALUE"""),"Rasheed Sulaimon")</f>
        <v>Rasheed Sulaimon</v>
      </c>
      <c r="B223" s="13" t="str">
        <f>IFERROR(__xludf.DUMMYFUNCTION("""COMPUTED_VALUE"""),"DIJ")</f>
        <v>DIJ</v>
      </c>
      <c r="C223" s="14">
        <f>IFERROR(__xludf.DUMMYFUNCTION("""COMPUTED_VALUE"""),926.0)</f>
        <v>926</v>
      </c>
      <c r="D223" s="15">
        <f>IFERROR(__xludf.DUMMYFUNCTION("""COMPUTED_VALUE"""),-0.672761629612301)</f>
        <v>-0.6727616296</v>
      </c>
      <c r="E223" s="15">
        <f>IFERROR(__xludf.DUMMYFUNCTION("""COMPUTED_VALUE"""),-1.645749774544841)</f>
        <v>-1.645749775</v>
      </c>
      <c r="F223" s="15">
        <f>IFERROR(__xludf.DUMMYFUNCTION("""COMPUTED_VALUE"""),-2.318511404157142)</f>
        <v>-2.318511404</v>
      </c>
      <c r="G223" s="17">
        <f>IFERROR(__xludf.DUMMYFUNCTION("""COMPUTED_VALUE"""),-0.09041724645354925)</f>
        <v>-0.09041724645</v>
      </c>
      <c r="H223" s="4"/>
      <c r="I223" s="5" t="s">
        <v>1237</v>
      </c>
      <c r="J223" s="5" t="s">
        <v>1327</v>
      </c>
      <c r="K223" s="5">
        <v>127.0</v>
      </c>
      <c r="L223" s="5">
        <v>-2.1152</v>
      </c>
      <c r="M223" s="5">
        <v>-0.11022</v>
      </c>
      <c r="N223" s="5">
        <v>-2.22542</v>
      </c>
      <c r="O223" s="5">
        <v>-0.00913</v>
      </c>
    </row>
    <row r="224">
      <c r="A224" s="18" t="str">
        <f>IFERROR(__xludf.DUMMYFUNCTION("""COMPUTED_VALUE"""),"Terry Smith")</f>
        <v>Terry Smith</v>
      </c>
      <c r="B224" s="19" t="str">
        <f>IFERROR(__xludf.DUMMYFUNCTION("""COMPUTED_VALUE"""),"HYT")</f>
        <v>HYT</v>
      </c>
      <c r="C224" s="20">
        <f>IFERROR(__xludf.DUMMYFUNCTION("""COMPUTED_VALUE"""),981.0)</f>
        <v>981</v>
      </c>
      <c r="D224" s="21">
        <f>IFERROR(__xludf.DUMMYFUNCTION("""COMPUTED_VALUE"""),-0.5589026407551444)</f>
        <v>-0.5589026408</v>
      </c>
      <c r="E224" s="21">
        <f>IFERROR(__xludf.DUMMYFUNCTION("""COMPUTED_VALUE"""),-1.8596125670321233)</f>
        <v>-1.859612567</v>
      </c>
      <c r="F224" s="21">
        <f>IFERROR(__xludf.DUMMYFUNCTION("""COMPUTED_VALUE"""),-2.4185152077872676)</f>
        <v>-2.418515208</v>
      </c>
      <c r="G224" s="23">
        <f>IFERROR(__xludf.DUMMYFUNCTION("""COMPUTED_VALUE"""),-0.12700209839560564)</f>
        <v>-0.1270020984</v>
      </c>
      <c r="H224" s="4"/>
      <c r="I224" s="5" t="s">
        <v>1563</v>
      </c>
      <c r="J224" s="5" t="s">
        <v>1379</v>
      </c>
      <c r="K224" s="5">
        <v>45.0</v>
      </c>
      <c r="L224" s="5">
        <v>-1.51325</v>
      </c>
      <c r="M224" s="5">
        <v>-0.75216</v>
      </c>
      <c r="N224" s="5">
        <v>-2.26541</v>
      </c>
      <c r="O224" s="5">
        <v>-0.00372</v>
      </c>
    </row>
    <row r="225">
      <c r="A225" s="12" t="str">
        <f>IFERROR(__xludf.DUMMYFUNCTION("""COMPUTED_VALUE"""),"Robert Arnold")</f>
        <v>Robert Arnold</v>
      </c>
      <c r="B225" s="13" t="str">
        <f>IFERROR(__xludf.DUMMYFUNCTION("""COMPUTED_VALUE"""),"HYT")</f>
        <v>HYT</v>
      </c>
      <c r="C225" s="14">
        <f>IFERROR(__xludf.DUMMYFUNCTION("""COMPUTED_VALUE"""),1075.0)</f>
        <v>1075</v>
      </c>
      <c r="D225" s="15">
        <f>IFERROR(__xludf.DUMMYFUNCTION("""COMPUTED_VALUE"""),-0.46956828930859706)</f>
        <v>-0.4695682893</v>
      </c>
      <c r="E225" s="15">
        <f>IFERROR(__xludf.DUMMYFUNCTION("""COMPUTED_VALUE"""),-1.9510647518066075)</f>
        <v>-1.951064752</v>
      </c>
      <c r="F225" s="15">
        <f>IFERROR(__xludf.DUMMYFUNCTION("""COMPUTED_VALUE"""),-2.4206330411152046)</f>
        <v>-2.420633041</v>
      </c>
      <c r="G225" s="17">
        <f>IFERROR(__xludf.DUMMYFUNCTION("""COMPUTED_VALUE"""),-0.13987577109090776)</f>
        <v>-0.1398757711</v>
      </c>
      <c r="H225" s="4"/>
      <c r="I225" s="5" t="s">
        <v>1564</v>
      </c>
      <c r="J225" s="5" t="s">
        <v>1367</v>
      </c>
      <c r="K225" s="5">
        <v>307.0</v>
      </c>
      <c r="L225" s="5">
        <v>-1.4722</v>
      </c>
      <c r="M225" s="5">
        <v>-0.82735</v>
      </c>
      <c r="N225" s="5">
        <v>-2.29955</v>
      </c>
      <c r="O225" s="5">
        <v>-0.02804</v>
      </c>
    </row>
    <row r="226">
      <c r="A226" s="18" t="str">
        <f>IFERROR(__xludf.DUMMYFUNCTION("""COMPUTED_VALUE"""),"Mathieu Wojciechowski")</f>
        <v>Mathieu Wojciechowski</v>
      </c>
      <c r="B226" s="19" t="str">
        <f>IFERROR(__xludf.DUMMYFUNCTION("""COMPUTED_VALUE"""),"JLB")</f>
        <v>JLB</v>
      </c>
      <c r="C226" s="20">
        <f>IFERROR(__xludf.DUMMYFUNCTION("""COMPUTED_VALUE"""),341.0)</f>
        <v>341</v>
      </c>
      <c r="D226" s="21">
        <f>IFERROR(__xludf.DUMMYFUNCTION("""COMPUTED_VALUE"""),-1.9418113325727662)</f>
        <v>-1.941811333</v>
      </c>
      <c r="E226" s="21">
        <f>IFERROR(__xludf.DUMMYFUNCTION("""COMPUTED_VALUE"""),-0.4848935310906479)</f>
        <v>-0.4848935311</v>
      </c>
      <c r="F226" s="21">
        <f>IFERROR(__xludf.DUMMYFUNCTION("""COMPUTED_VALUE"""),-2.426704863663414)</f>
        <v>-2.426704864</v>
      </c>
      <c r="G226" s="23">
        <f>IFERROR(__xludf.DUMMYFUNCTION("""COMPUTED_VALUE"""),-0.04442375726951411)</f>
        <v>-0.04442375727</v>
      </c>
      <c r="H226" s="4"/>
      <c r="I226" s="5" t="s">
        <v>1565</v>
      </c>
      <c r="J226" s="5" t="s">
        <v>1379</v>
      </c>
      <c r="K226" s="5">
        <v>89.0</v>
      </c>
      <c r="L226" s="5">
        <v>-2.21865</v>
      </c>
      <c r="M226" s="5">
        <v>-0.20452</v>
      </c>
      <c r="N226" s="5">
        <v>-2.42316</v>
      </c>
      <c r="O226" s="5">
        <v>-0.01172</v>
      </c>
    </row>
    <row r="227">
      <c r="A227" s="12" t="str">
        <f>IFERROR(__xludf.DUMMYFUNCTION("""COMPUTED_VALUE"""),"J.P. Prince")</f>
        <v>J.P. Prince</v>
      </c>
      <c r="B227" s="13" t="str">
        <f>IFERROR(__xludf.DUMMYFUNCTION("""COMPUTED_VALUE"""),"ANT")</f>
        <v>ANT</v>
      </c>
      <c r="C227" s="14">
        <f>IFERROR(__xludf.DUMMYFUNCTION("""COMPUTED_VALUE"""),89.0)</f>
        <v>89</v>
      </c>
      <c r="D227" s="15">
        <f>IFERROR(__xludf.DUMMYFUNCTION("""COMPUTED_VALUE"""),-2.2087967519675202)</f>
        <v>-2.208796752</v>
      </c>
      <c r="E227" s="15">
        <f>IFERROR(__xludf.DUMMYFUNCTION("""COMPUTED_VALUE"""),-0.2179663759164301)</f>
        <v>-0.2179663759</v>
      </c>
      <c r="F227" s="15">
        <f>IFERROR(__xludf.DUMMYFUNCTION("""COMPUTED_VALUE"""),-2.4267631278839503)</f>
        <v>-2.426763128</v>
      </c>
      <c r="G227" s="17">
        <f>IFERROR(__xludf.DUMMYFUNCTION("""COMPUTED_VALUE"""),-0.011821498502173497)</f>
        <v>-0.0118214985</v>
      </c>
      <c r="H227" s="4"/>
      <c r="I227" s="5" t="s">
        <v>1568</v>
      </c>
      <c r="J227" s="5" t="s">
        <v>1338</v>
      </c>
      <c r="K227" s="5">
        <v>341.0</v>
      </c>
      <c r="L227" s="5">
        <v>-1.98459</v>
      </c>
      <c r="M227" s="5">
        <v>-0.44007</v>
      </c>
      <c r="N227" s="5">
        <v>-2.42466</v>
      </c>
      <c r="O227" s="5">
        <v>-0.04421</v>
      </c>
    </row>
    <row r="228">
      <c r="A228" s="18" t="str">
        <f>IFERROR(__xludf.DUMMYFUNCTION("""COMPUTED_VALUE"""),"Dan Nwaelele")</f>
        <v>Dan Nwaelele</v>
      </c>
      <c r="B228" s="19" t="str">
        <f>IFERROR(__xludf.DUMMYFUNCTION("""COMPUTED_VALUE"""),"PLV")</f>
        <v>PLV</v>
      </c>
      <c r="C228" s="20">
        <f>IFERROR(__xludf.DUMMYFUNCTION("""COMPUTED_VALUE"""),81.0)</f>
        <v>81</v>
      </c>
      <c r="D228" s="21">
        <f>IFERROR(__xludf.DUMMYFUNCTION("""COMPUTED_VALUE"""),-1.9897572571970905)</f>
        <v>-1.989757257</v>
      </c>
      <c r="E228" s="21">
        <f>IFERROR(__xludf.DUMMYFUNCTION("""COMPUTED_VALUE"""),-0.46883009959210864)</f>
        <v>-0.4688300996</v>
      </c>
      <c r="F228" s="21">
        <f>IFERROR(__xludf.DUMMYFUNCTION("""COMPUTED_VALUE"""),-2.458587356789199)</f>
        <v>-2.458587357</v>
      </c>
      <c r="G228" s="23">
        <f>IFERROR(__xludf.DUMMYFUNCTION("""COMPUTED_VALUE"""),-0.011488754403720344)</f>
        <v>-0.0114887544</v>
      </c>
      <c r="H228" s="4"/>
      <c r="I228" s="5" t="s">
        <v>1570</v>
      </c>
      <c r="J228" s="5" t="s">
        <v>1457</v>
      </c>
      <c r="K228" s="5">
        <v>981.0</v>
      </c>
      <c r="L228" s="5">
        <v>-0.61101</v>
      </c>
      <c r="M228" s="5">
        <v>-1.81499</v>
      </c>
      <c r="N228" s="5">
        <v>-2.426</v>
      </c>
      <c r="O228" s="5">
        <v>-0.12927</v>
      </c>
    </row>
    <row r="229">
      <c r="A229" s="12" t="str">
        <f>IFERROR(__xludf.DUMMYFUNCTION("""COMPUTED_VALUE"""),"Alain Koffi")</f>
        <v>Alain Koffi</v>
      </c>
      <c r="B229" s="13" t="str">
        <f>IFERROR(__xludf.DUMMYFUNCTION("""COMPUTED_VALUE"""),"PAU")</f>
        <v>PAU</v>
      </c>
      <c r="C229" s="14">
        <f>IFERROR(__xludf.DUMMYFUNCTION("""COMPUTED_VALUE"""),836.0)</f>
        <v>836</v>
      </c>
      <c r="D229" s="15">
        <f>IFERROR(__xludf.DUMMYFUNCTION("""COMPUTED_VALUE"""),-2.5896921599618343)</f>
        <v>-2.58969216</v>
      </c>
      <c r="E229" s="15">
        <f>IFERROR(__xludf.DUMMYFUNCTION("""COMPUTED_VALUE"""),0.0844605044988298)</f>
        <v>0.0844605045</v>
      </c>
      <c r="F229" s="15">
        <f>IFERROR(__xludf.DUMMYFUNCTION("""COMPUTED_VALUE"""),-2.5052316554630045)</f>
        <v>-2.505231655</v>
      </c>
      <c r="G229" s="17">
        <f>IFERROR(__xludf.DUMMYFUNCTION("""COMPUTED_VALUE"""),-0.13049425776089135)</f>
        <v>-0.1304942578</v>
      </c>
      <c r="H229" s="4"/>
      <c r="I229" s="5" t="s">
        <v>1573</v>
      </c>
      <c r="J229" s="5" t="s">
        <v>1457</v>
      </c>
      <c r="K229" s="24">
        <v>1075.0</v>
      </c>
      <c r="L229" s="5">
        <v>-0.52429</v>
      </c>
      <c r="M229" s="5">
        <v>-1.90598</v>
      </c>
      <c r="N229" s="5">
        <v>-2.43027</v>
      </c>
      <c r="O229" s="5">
        <v>-0.14308</v>
      </c>
    </row>
    <row r="230">
      <c r="A230" s="18" t="str">
        <f>IFERROR(__xludf.DUMMYFUNCTION("""COMPUTED_VALUE"""),"Abdoulaye N'Doye")</f>
        <v>Abdoulaye N'Doye</v>
      </c>
      <c r="B230" s="19" t="str">
        <f>IFERROR(__xludf.DUMMYFUNCTION("""COMPUTED_VALUE"""),"CHO")</f>
        <v>CHO</v>
      </c>
      <c r="C230" s="20">
        <f>IFERROR(__xludf.DUMMYFUNCTION("""COMPUTED_VALUE"""),517.0)</f>
        <v>517</v>
      </c>
      <c r="D230" s="21">
        <f>IFERROR(__xludf.DUMMYFUNCTION("""COMPUTED_VALUE"""),-4.298813709690219)</f>
        <v>-4.29881371</v>
      </c>
      <c r="E230" s="21">
        <f>IFERROR(__xludf.DUMMYFUNCTION("""COMPUTED_VALUE"""),1.7924199021309768)</f>
        <v>1.792419902</v>
      </c>
      <c r="F230" s="21">
        <f>IFERROR(__xludf.DUMMYFUNCTION("""COMPUTED_VALUE"""),-2.506393807559242)</f>
        <v>-2.506393808</v>
      </c>
      <c r="G230" s="23">
        <f>IFERROR(__xludf.DUMMYFUNCTION("""COMPUTED_VALUE"""),-0.08131351374144836)</f>
        <v>-0.08131351374</v>
      </c>
      <c r="H230" s="4"/>
      <c r="I230" s="5" t="s">
        <v>1576</v>
      </c>
      <c r="J230" s="5" t="s">
        <v>1355</v>
      </c>
      <c r="K230" s="5">
        <v>81.0</v>
      </c>
      <c r="L230" s="5">
        <v>-2.00412</v>
      </c>
      <c r="M230" s="5">
        <v>-0.4588</v>
      </c>
      <c r="N230" s="5">
        <v>-2.46291</v>
      </c>
      <c r="O230" s="5">
        <v>-0.0116</v>
      </c>
    </row>
    <row r="231">
      <c r="A231" s="12" t="str">
        <f>IFERROR(__xludf.DUMMYFUNCTION("""COMPUTED_VALUE"""),"Ryan Evans")</f>
        <v>Ryan Evans</v>
      </c>
      <c r="B231" s="13" t="str">
        <f>IFERROR(__xludf.DUMMYFUNCTION("""COMPUTED_VALUE"""),"CHO")</f>
        <v>CHO</v>
      </c>
      <c r="C231" s="14">
        <f>IFERROR(__xludf.DUMMYFUNCTION("""COMPUTED_VALUE"""),788.0)</f>
        <v>788</v>
      </c>
      <c r="D231" s="15">
        <f>IFERROR(__xludf.DUMMYFUNCTION("""COMPUTED_VALUE"""),-4.47595009155365)</f>
        <v>-4.475950092</v>
      </c>
      <c r="E231" s="15">
        <f>IFERROR(__xludf.DUMMYFUNCTION("""COMPUTED_VALUE"""),1.9568167761504043)</f>
        <v>1.956816776</v>
      </c>
      <c r="F231" s="15">
        <f>IFERROR(__xludf.DUMMYFUNCTION("""COMPUTED_VALUE"""),-2.519133315403246)</f>
        <v>-2.519133315</v>
      </c>
      <c r="G231" s="17">
        <f>IFERROR(__xludf.DUMMYFUNCTION("""COMPUTED_VALUE"""),-0.12705416813998138)</f>
        <v>-0.1270541681</v>
      </c>
      <c r="H231" s="4"/>
      <c r="I231" s="5" t="s">
        <v>1577</v>
      </c>
      <c r="J231" s="5" t="s">
        <v>1375</v>
      </c>
      <c r="K231" s="5">
        <v>517.0</v>
      </c>
      <c r="L231" s="5">
        <v>-4.34141</v>
      </c>
      <c r="M231" s="5">
        <v>1.83713</v>
      </c>
      <c r="N231" s="5">
        <v>-2.50429</v>
      </c>
      <c r="O231" s="5">
        <v>-0.08097</v>
      </c>
    </row>
    <row r="232">
      <c r="A232" s="18" t="str">
        <f>IFERROR(__xludf.DUMMYFUNCTION("""COMPUTED_VALUE"""),"Terry Allen")</f>
        <v>Terry Allen</v>
      </c>
      <c r="B232" s="19" t="str">
        <f>IFERROR(__xludf.DUMMYFUNCTION("""COMPUTED_VALUE"""),"GRV")</f>
        <v>GRV</v>
      </c>
      <c r="C232" s="20">
        <f>IFERROR(__xludf.DUMMYFUNCTION("""COMPUTED_VALUE"""),873.0)</f>
        <v>873</v>
      </c>
      <c r="D232" s="21">
        <f>IFERROR(__xludf.DUMMYFUNCTION("""COMPUTED_VALUE"""),-2.0707036484209986)</f>
        <v>-2.070703648</v>
      </c>
      <c r="E232" s="21">
        <f>IFERROR(__xludf.DUMMYFUNCTION("""COMPUTED_VALUE"""),-0.47710536351202615)</f>
        <v>-0.4771053635</v>
      </c>
      <c r="F232" s="21">
        <f>IFERROR(__xludf.DUMMYFUNCTION("""COMPUTED_VALUE"""),-2.547809011933025)</f>
        <v>-2.547809012</v>
      </c>
      <c r="G232" s="23">
        <f>IFERROR(__xludf.DUMMYFUNCTION("""COMPUTED_VALUE"""),-0.1527543687211829)</f>
        <v>-0.1527543687</v>
      </c>
      <c r="H232" s="4"/>
      <c r="I232" s="5" t="s">
        <v>1578</v>
      </c>
      <c r="J232" s="5" t="s">
        <v>1375</v>
      </c>
      <c r="K232" s="5">
        <v>788.0</v>
      </c>
      <c r="L232" s="5">
        <v>-4.52237</v>
      </c>
      <c r="M232" s="5">
        <v>2.00221</v>
      </c>
      <c r="N232" s="5">
        <v>-2.52016</v>
      </c>
      <c r="O232" s="5">
        <v>-0.12731</v>
      </c>
    </row>
    <row r="233">
      <c r="A233" s="12" t="str">
        <f>IFERROR(__xludf.DUMMYFUNCTION("""COMPUTED_VALUE"""),"Fernando Raposo")</f>
        <v>Fernando Raposo</v>
      </c>
      <c r="B233" s="13" t="str">
        <f>IFERROR(__xludf.DUMMYFUNCTION("""COMPUTED_VALUE"""),"GRV")</f>
        <v>GRV</v>
      </c>
      <c r="C233" s="14">
        <f>IFERROR(__xludf.DUMMYFUNCTION("""COMPUTED_VALUE"""),416.0)</f>
        <v>416</v>
      </c>
      <c r="D233" s="15">
        <f>IFERROR(__xludf.DUMMYFUNCTION("""COMPUTED_VALUE"""),-3.934016839205298)</f>
        <v>-3.934016839</v>
      </c>
      <c r="E233" s="15">
        <f>IFERROR(__xludf.DUMMYFUNCTION("""COMPUTED_VALUE"""),1.3854033919358342)</f>
        <v>1.385403392</v>
      </c>
      <c r="F233" s="15">
        <f>IFERROR(__xludf.DUMMYFUNCTION("""COMPUTED_VALUE"""),-2.5486134472694637)</f>
        <v>-2.548613447</v>
      </c>
      <c r="G233" s="17">
        <f>IFERROR(__xludf.DUMMYFUNCTION("""COMPUTED_VALUE"""),-0.07289705824275795)</f>
        <v>-0.07289705824</v>
      </c>
      <c r="H233" s="4"/>
      <c r="I233" s="5" t="s">
        <v>1581</v>
      </c>
      <c r="J233" s="5" t="s">
        <v>1379</v>
      </c>
      <c r="K233" s="24">
        <v>139.0</v>
      </c>
      <c r="L233" s="5">
        <v>-2.34716</v>
      </c>
      <c r="M233" s="5">
        <v>-0.17529</v>
      </c>
      <c r="N233" s="5">
        <v>-2.52245</v>
      </c>
      <c r="O233" s="5">
        <v>-0.0226</v>
      </c>
    </row>
    <row r="234">
      <c r="A234" s="18" t="str">
        <f>IFERROR(__xludf.DUMMYFUNCTION("""COMPUTED_VALUE"""),"Frejus Zerbo")</f>
        <v>Frejus Zerbo</v>
      </c>
      <c r="B234" s="19" t="str">
        <f>IFERROR(__xludf.DUMMYFUNCTION("""COMPUTED_VALUE"""),"ANT")</f>
        <v>ANT</v>
      </c>
      <c r="C234" s="20">
        <f>IFERROR(__xludf.DUMMYFUNCTION("""COMPUTED_VALUE"""),139.0)</f>
        <v>139</v>
      </c>
      <c r="D234" s="21">
        <f>IFERROR(__xludf.DUMMYFUNCTION("""COMPUTED_VALUE"""),-2.3230434705732588)</f>
        <v>-2.323043471</v>
      </c>
      <c r="E234" s="21">
        <f>IFERROR(__xludf.DUMMYFUNCTION("""COMPUTED_VALUE"""),-0.22673156552500728)</f>
        <v>-0.2267315655</v>
      </c>
      <c r="F234" s="21">
        <f>IFERROR(__xludf.DUMMYFUNCTION("""COMPUTED_VALUE"""),-2.549775036098266)</f>
        <v>-2.549775036</v>
      </c>
      <c r="G234" s="23">
        <f>IFERROR(__xludf.DUMMYFUNCTION("""COMPUTED_VALUE"""),-0.023784578055375163)</f>
        <v>-0.02378457806</v>
      </c>
      <c r="H234" s="4"/>
      <c r="I234" s="5" t="s">
        <v>1582</v>
      </c>
      <c r="J234" s="5" t="s">
        <v>1314</v>
      </c>
      <c r="K234" s="5">
        <v>416.0</v>
      </c>
      <c r="L234" s="5">
        <v>-3.95842</v>
      </c>
      <c r="M234" s="5">
        <v>1.43214</v>
      </c>
      <c r="N234" s="5">
        <v>-2.52628</v>
      </c>
      <c r="O234" s="5">
        <v>-0.06993</v>
      </c>
    </row>
    <row r="235">
      <c r="A235" s="12" t="str">
        <f>IFERROR(__xludf.DUMMYFUNCTION("""COMPUTED_VALUE"""),"James Farr")</f>
        <v>James Farr</v>
      </c>
      <c r="B235" s="13" t="str">
        <f>IFERROR(__xludf.DUMMYFUNCTION("""COMPUTED_VALUE"""),"CHA")</f>
        <v>CHA</v>
      </c>
      <c r="C235" s="14">
        <f>IFERROR(__xludf.DUMMYFUNCTION("""COMPUTED_VALUE"""),416.0)</f>
        <v>416</v>
      </c>
      <c r="D235" s="15">
        <f>IFERROR(__xludf.DUMMYFUNCTION("""COMPUTED_VALUE"""),-3.7713136681597392)</f>
        <v>-3.771313668</v>
      </c>
      <c r="E235" s="15">
        <f>IFERROR(__xludf.DUMMYFUNCTION("""COMPUTED_VALUE"""),1.0655561888901128)</f>
        <v>1.065556189</v>
      </c>
      <c r="F235" s="15">
        <f>IFERROR(__xludf.DUMMYFUNCTION("""COMPUTED_VALUE"""),-2.7057574792696264)</f>
        <v>-2.705757479</v>
      </c>
      <c r="G235" s="17">
        <f>IFERROR(__xludf.DUMMYFUNCTION("""COMPUTED_VALUE"""),-0.09118010514229861)</f>
        <v>-0.09118010514</v>
      </c>
      <c r="H235" s="4"/>
      <c r="I235" s="5" t="s">
        <v>1583</v>
      </c>
      <c r="J235" s="5" t="s">
        <v>1314</v>
      </c>
      <c r="K235" s="5">
        <v>873.0</v>
      </c>
      <c r="L235" s="5">
        <v>-2.1002</v>
      </c>
      <c r="M235" s="5">
        <v>-0.42946</v>
      </c>
      <c r="N235" s="5">
        <v>-2.52966</v>
      </c>
      <c r="O235" s="5">
        <v>-0.14769</v>
      </c>
    </row>
    <row r="236">
      <c r="A236" s="18" t="str">
        <f>IFERROR(__xludf.DUMMYFUNCTION("""COMPUTED_VALUE"""),"Tom Wiscart Goetz")</f>
        <v>Tom Wiscart Goetz</v>
      </c>
      <c r="B236" s="19" t="str">
        <f>IFERROR(__xludf.DUMMYFUNCTION("""COMPUTED_VALUE"""),"ANT")</f>
        <v>ANT</v>
      </c>
      <c r="C236" s="20">
        <f>IFERROR(__xludf.DUMMYFUNCTION("""COMPUTED_VALUE"""),52.0)</f>
        <v>52</v>
      </c>
      <c r="D236" s="21">
        <f>IFERROR(__xludf.DUMMYFUNCTION("""COMPUTED_VALUE"""),-2.2036461705555994)</f>
        <v>-2.203646171</v>
      </c>
      <c r="E236" s="21">
        <f>IFERROR(__xludf.DUMMYFUNCTION("""COMPUTED_VALUE"""),-0.5448805225696507)</f>
        <v>-0.5448805226</v>
      </c>
      <c r="F236" s="21">
        <f>IFERROR(__xludf.DUMMYFUNCTION("""COMPUTED_VALUE"""),-2.74852669312525)</f>
        <v>-2.748526693</v>
      </c>
      <c r="G236" s="23">
        <f>IFERROR(__xludf.DUMMYFUNCTION("""COMPUTED_VALUE"""),-0.012114521673716338)</f>
        <v>-0.01211452167</v>
      </c>
      <c r="H236" s="4"/>
      <c r="I236" s="5" t="s">
        <v>1586</v>
      </c>
      <c r="J236" s="5" t="s">
        <v>1308</v>
      </c>
      <c r="K236" s="5">
        <v>335.0</v>
      </c>
      <c r="L236" s="5">
        <v>-0.57866</v>
      </c>
      <c r="M236" s="5">
        <v>-2.08244</v>
      </c>
      <c r="N236" s="5">
        <v>-2.6611</v>
      </c>
      <c r="O236" s="5">
        <v>-0.06779</v>
      </c>
    </row>
    <row r="237">
      <c r="A237" s="12" t="str">
        <f>IFERROR(__xludf.DUMMYFUNCTION("""COMPUTED_VALUE"""),"Alade Aminu")</f>
        <v>Alade Aminu</v>
      </c>
      <c r="B237" s="13" t="str">
        <f>IFERROR(__xludf.DUMMYFUNCTION("""COMPUTED_VALUE"""),"NAN")</f>
        <v>NAN</v>
      </c>
      <c r="C237" s="14">
        <f>IFERROR(__xludf.DUMMYFUNCTION("""COMPUTED_VALUE"""),507.0)</f>
        <v>507</v>
      </c>
      <c r="D237" s="15">
        <f>IFERROR(__xludf.DUMMYFUNCTION("""COMPUTED_VALUE"""),-2.538797383507051)</f>
        <v>-2.538797384</v>
      </c>
      <c r="E237" s="15">
        <f>IFERROR(__xludf.DUMMYFUNCTION("""COMPUTED_VALUE"""),-0.23122663614108818)</f>
        <v>-0.2312266361</v>
      </c>
      <c r="F237" s="15">
        <f>IFERROR(__xludf.DUMMYFUNCTION("""COMPUTED_VALUE"""),-2.7700240196481394)</f>
        <v>-2.77002402</v>
      </c>
      <c r="G237" s="17">
        <f>IFERROR(__xludf.DUMMYFUNCTION("""COMPUTED_VALUE"""),-0.11779799184157103)</f>
        <v>-0.1177979918</v>
      </c>
      <c r="H237" s="4"/>
      <c r="I237" s="5" t="s">
        <v>1588</v>
      </c>
      <c r="J237" s="5" t="s">
        <v>1332</v>
      </c>
      <c r="K237" s="5">
        <v>416.0</v>
      </c>
      <c r="L237" s="5">
        <v>-3.81653</v>
      </c>
      <c r="M237" s="5">
        <v>1.11084</v>
      </c>
      <c r="N237" s="5">
        <v>-2.70569</v>
      </c>
      <c r="O237" s="5">
        <v>-0.09117</v>
      </c>
    </row>
    <row r="238">
      <c r="A238" s="18" t="str">
        <f>IFERROR(__xludf.DUMMYFUNCTION("""COMPUTED_VALUE"""),"J.J. Frazier")</f>
        <v>J.J. Frazier</v>
      </c>
      <c r="B238" s="19" t="str">
        <f>IFERROR(__xludf.DUMMYFUNCTION("""COMPUTED_VALUE"""),"DIJ")</f>
        <v>DIJ</v>
      </c>
      <c r="C238" s="20">
        <f>IFERROR(__xludf.DUMMYFUNCTION("""COMPUTED_VALUE"""),335.0)</f>
        <v>335</v>
      </c>
      <c r="D238" s="21">
        <f>IFERROR(__xludf.DUMMYFUNCTION("""COMPUTED_VALUE"""),-0.5824358145486618)</f>
        <v>-0.5824358145</v>
      </c>
      <c r="E238" s="21">
        <f>IFERROR(__xludf.DUMMYFUNCTION("""COMPUTED_VALUE"""),-2.2213892308552063)</f>
        <v>-2.221389231</v>
      </c>
      <c r="F238" s="21">
        <f>IFERROR(__xludf.DUMMYFUNCTION("""COMPUTED_VALUE"""),-2.803825045403868)</f>
        <v>-2.803825045</v>
      </c>
      <c r="G238" s="23">
        <f>IFERROR(__xludf.DUMMYFUNCTION("""COMPUTED_VALUE"""),-0.08255086805467877)</f>
        <v>-0.08255086805</v>
      </c>
      <c r="H238" s="4"/>
      <c r="I238" s="5" t="s">
        <v>1590</v>
      </c>
      <c r="J238" s="5" t="s">
        <v>1379</v>
      </c>
      <c r="K238" s="5">
        <v>52.0</v>
      </c>
      <c r="L238" s="5">
        <v>-2.20977</v>
      </c>
      <c r="M238" s="5">
        <v>-0.53696</v>
      </c>
      <c r="N238" s="5">
        <v>-2.74672</v>
      </c>
      <c r="O238" s="5">
        <v>-0.01209</v>
      </c>
    </row>
    <row r="239">
      <c r="A239" s="12" t="str">
        <f>IFERROR(__xludf.DUMMYFUNCTION("""COMPUTED_VALUE"""),"Vafessa Fofana")</f>
        <v>Vafessa Fofana</v>
      </c>
      <c r="B239" s="13" t="str">
        <f>IFERROR(__xludf.DUMMYFUNCTION("""COMPUTED_VALUE"""),"HYT")</f>
        <v>HYT</v>
      </c>
      <c r="C239" s="14">
        <f>IFERROR(__xludf.DUMMYFUNCTION("""COMPUTED_VALUE"""),774.0)</f>
        <v>774</v>
      </c>
      <c r="D239" s="15">
        <f>IFERROR(__xludf.DUMMYFUNCTION("""COMPUTED_VALUE"""),-2.1137257654947845)</f>
        <v>-2.113725765</v>
      </c>
      <c r="E239" s="15">
        <f>IFERROR(__xludf.DUMMYFUNCTION("""COMPUTED_VALUE"""),-0.7425306325697432)</f>
        <v>-0.7425306326</v>
      </c>
      <c r="F239" s="15">
        <f>IFERROR(__xludf.DUMMYFUNCTION("""COMPUTED_VALUE"""),-2.8562563980645277)</f>
        <v>-2.856256398</v>
      </c>
      <c r="G239" s="17">
        <f>IFERROR(__xludf.DUMMYFUNCTION("""COMPUTED_VALUE"""),-0.20501018417751263)</f>
        <v>-0.2050101842</v>
      </c>
      <c r="H239" s="4"/>
      <c r="I239" s="5" t="s">
        <v>1593</v>
      </c>
      <c r="J239" s="5" t="s">
        <v>1365</v>
      </c>
      <c r="K239" s="5">
        <v>507.0</v>
      </c>
      <c r="L239" s="5">
        <v>-2.62153</v>
      </c>
      <c r="M239" s="5">
        <v>-0.20882</v>
      </c>
      <c r="N239" s="5">
        <v>-2.83034</v>
      </c>
      <c r="O239" s="5">
        <v>-0.12831</v>
      </c>
    </row>
    <row r="240">
      <c r="A240" s="18" t="str">
        <f>IFERROR(__xludf.DUMMYFUNCTION("""COMPUTED_VALUE"""),"Remi Lesca")</f>
        <v>Remi Lesca</v>
      </c>
      <c r="B240" s="19" t="str">
        <f>IFERROR(__xludf.DUMMYFUNCTION("""COMPUTED_VALUE"""),"PLV")</f>
        <v>PLV</v>
      </c>
      <c r="C240" s="20">
        <f>IFERROR(__xludf.DUMMYFUNCTION("""COMPUTED_VALUE"""),585.0)</f>
        <v>585</v>
      </c>
      <c r="D240" s="21">
        <f>IFERROR(__xludf.DUMMYFUNCTION("""COMPUTED_VALUE"""),-1.037526998167813)</f>
        <v>-1.037526998</v>
      </c>
      <c r="E240" s="21">
        <f>IFERROR(__xludf.DUMMYFUNCTION("""COMPUTED_VALUE"""),-1.9668274139832684)</f>
        <v>-1.966827414</v>
      </c>
      <c r="F240" s="21">
        <f>IFERROR(__xludf.DUMMYFUNCTION("""COMPUTED_VALUE"""),-3.0043544121510815)</f>
        <v>-3.004354412</v>
      </c>
      <c r="G240" s="23">
        <f>IFERROR(__xludf.DUMMYFUNCTION("""COMPUTED_VALUE"""),-0.18172250191655184)</f>
        <v>-0.1817225019</v>
      </c>
      <c r="H240" s="4"/>
      <c r="I240" s="5" t="s">
        <v>1595</v>
      </c>
      <c r="J240" s="5" t="s">
        <v>1457</v>
      </c>
      <c r="K240" s="5">
        <v>774.0</v>
      </c>
      <c r="L240" s="5">
        <v>-2.16428</v>
      </c>
      <c r="M240" s="5">
        <v>-0.69819</v>
      </c>
      <c r="N240" s="5">
        <v>-2.86247</v>
      </c>
      <c r="O240" s="5">
        <v>-0.2065</v>
      </c>
    </row>
    <row r="241">
      <c r="A241" s="12" t="str">
        <f>IFERROR(__xludf.DUMMYFUNCTION("""COMPUTED_VALUE"""),"Jerel Blassingame")</f>
        <v>Jerel Blassingame</v>
      </c>
      <c r="B241" s="13" t="str">
        <f>IFERROR(__xludf.DUMMYFUNCTION("""COMPUTED_VALUE"""),"ANT")</f>
        <v>ANT</v>
      </c>
      <c r="C241" s="14">
        <f>IFERROR(__xludf.DUMMYFUNCTION("""COMPUTED_VALUE"""),1112.0)</f>
        <v>1112</v>
      </c>
      <c r="D241" s="15">
        <f>IFERROR(__xludf.DUMMYFUNCTION("""COMPUTED_VALUE"""),0.001184226056074239)</f>
        <v>0.001184226056</v>
      </c>
      <c r="E241" s="15">
        <f>IFERROR(__xludf.DUMMYFUNCTION("""COMPUTED_VALUE"""),-3.0074848323099146)</f>
        <v>-3.007484832</v>
      </c>
      <c r="F241" s="15">
        <f>IFERROR(__xludf.DUMMYFUNCTION("""COMPUTED_VALUE"""),-3.0063006062538404)</f>
        <v>-3.006300606</v>
      </c>
      <c r="G241" s="17">
        <f>IFERROR(__xludf.DUMMYFUNCTION("""COMPUTED_VALUE"""),-0.3482796961677657)</f>
        <v>-0.3482796962</v>
      </c>
      <c r="H241" s="4"/>
      <c r="I241" s="5" t="s">
        <v>1597</v>
      </c>
      <c r="J241" s="5" t="s">
        <v>1379</v>
      </c>
      <c r="K241" s="24">
        <v>1112.0</v>
      </c>
      <c r="L241" s="5">
        <v>-0.03361</v>
      </c>
      <c r="M241" s="5">
        <v>-2.96186</v>
      </c>
      <c r="N241" s="5">
        <v>-2.99547</v>
      </c>
      <c r="O241" s="5">
        <v>-0.34453</v>
      </c>
    </row>
    <row r="242">
      <c r="A242" s="18" t="str">
        <f>IFERROR(__xludf.DUMMYFUNCTION("""COMPUTED_VALUE"""),"Dinma Odiakosa")</f>
        <v>Dinma Odiakosa</v>
      </c>
      <c r="B242" s="19" t="str">
        <f>IFERROR(__xludf.DUMMYFUNCTION("""COMPUTED_VALUE"""),"PORT")</f>
        <v>PORT</v>
      </c>
      <c r="C242" s="20">
        <f>IFERROR(__xludf.DUMMYFUNCTION("""COMPUTED_VALUE"""),443.0)</f>
        <v>443</v>
      </c>
      <c r="D242" s="21">
        <f>IFERROR(__xludf.DUMMYFUNCTION("""COMPUTED_VALUE"""),-4.540074516093748)</f>
        <v>-4.540074516</v>
      </c>
      <c r="E242" s="21">
        <f>IFERROR(__xludf.DUMMYFUNCTION("""COMPUTED_VALUE"""),1.3969485588827517)</f>
        <v>1.396948559</v>
      </c>
      <c r="F242" s="21">
        <f>IFERROR(__xludf.DUMMYFUNCTION("""COMPUTED_VALUE"""),-3.143125957210996)</f>
        <v>-3.143125957</v>
      </c>
      <c r="G242" s="23">
        <f>IFERROR(__xludf.DUMMYFUNCTION("""COMPUTED_VALUE"""),-0.15337671406502898)</f>
        <v>-0.1533767141</v>
      </c>
      <c r="H242" s="4"/>
      <c r="I242" s="5" t="s">
        <v>1600</v>
      </c>
      <c r="J242" s="5" t="s">
        <v>1355</v>
      </c>
      <c r="K242" s="5">
        <v>585.0</v>
      </c>
      <c r="L242" s="5">
        <v>-1.08849</v>
      </c>
      <c r="M242" s="5">
        <v>-1.93006</v>
      </c>
      <c r="N242" s="5">
        <v>-3.01856</v>
      </c>
      <c r="O242" s="5">
        <v>-0.18429</v>
      </c>
    </row>
    <row r="243">
      <c r="A243" s="12" t="str">
        <f>IFERROR(__xludf.DUMMYFUNCTION("""COMPUTED_VALUE"""),"Adam Smith")</f>
        <v>Adam Smith</v>
      </c>
      <c r="B243" s="13" t="str">
        <f>IFERROR(__xludf.DUMMYFUNCTION("""COMPUTED_VALUE"""),"CHA")</f>
        <v>CHA</v>
      </c>
      <c r="C243" s="14">
        <f>IFERROR(__xludf.DUMMYFUNCTION("""COMPUTED_VALUE"""),230.0)</f>
        <v>230</v>
      </c>
      <c r="D243" s="15">
        <f>IFERROR(__xludf.DUMMYFUNCTION("""COMPUTED_VALUE"""),-0.527925581656373)</f>
        <v>-0.5279255817</v>
      </c>
      <c r="E243" s="15">
        <f>IFERROR(__xludf.DUMMYFUNCTION("""COMPUTED_VALUE"""),-2.636521017185808)</f>
        <v>-2.636521017</v>
      </c>
      <c r="F243" s="15">
        <f>IFERROR(__xludf.DUMMYFUNCTION("""COMPUTED_VALUE"""),-3.164446598842181)</f>
        <v>-3.164446599</v>
      </c>
      <c r="G243" s="17">
        <f>IFERROR(__xludf.DUMMYFUNCTION("""COMPUTED_VALUE"""),-0.08317612458869304)</f>
        <v>-0.08317612459</v>
      </c>
      <c r="H243" s="4"/>
      <c r="I243" s="5" t="s">
        <v>1601</v>
      </c>
      <c r="J243" s="5" t="s">
        <v>1348</v>
      </c>
      <c r="K243" s="5">
        <v>443.0</v>
      </c>
      <c r="L243" s="5">
        <v>-4.58422</v>
      </c>
      <c r="M243" s="5">
        <v>1.44193</v>
      </c>
      <c r="N243" s="5">
        <v>-3.14229</v>
      </c>
      <c r="O243" s="5">
        <v>-0.15326</v>
      </c>
    </row>
    <row r="244">
      <c r="A244" s="18" t="str">
        <f>IFERROR(__xludf.DUMMYFUNCTION("""COMPUTED_VALUE"""),"Cyrille Eliezer-Vanerot")</f>
        <v>Cyrille Eliezer-Vanerot</v>
      </c>
      <c r="B244" s="19" t="str">
        <f>IFERROR(__xludf.DUMMYFUNCTION("""COMPUTED_VALUE"""),"PLV")</f>
        <v>PLV</v>
      </c>
      <c r="C244" s="20">
        <f>IFERROR(__xludf.DUMMYFUNCTION("""COMPUTED_VALUE"""),570.0)</f>
        <v>570</v>
      </c>
      <c r="D244" s="21">
        <f>IFERROR(__xludf.DUMMYFUNCTION("""COMPUTED_VALUE"""),-3.980265242446255)</f>
        <v>-3.980265242</v>
      </c>
      <c r="E244" s="21">
        <f>IFERROR(__xludf.DUMMYFUNCTION("""COMPUTED_VALUE"""),0.7612746879140526)</f>
        <v>0.7612746879</v>
      </c>
      <c r="F244" s="21">
        <f>IFERROR(__xludf.DUMMYFUNCTION("""COMPUTED_VALUE"""),-3.218990554532202)</f>
        <v>-3.218990555</v>
      </c>
      <c r="G244" s="23">
        <f>IFERROR(__xludf.DUMMYFUNCTION("""COMPUTED_VALUE"""),-0.21490229117317397)</f>
        <v>-0.2149022912</v>
      </c>
      <c r="H244" s="4"/>
      <c r="I244" s="5" t="s">
        <v>1603</v>
      </c>
      <c r="J244" s="5" t="s">
        <v>1332</v>
      </c>
      <c r="K244" s="5">
        <v>230.0</v>
      </c>
      <c r="L244" s="5">
        <v>-0.56314</v>
      </c>
      <c r="M244" s="5">
        <v>-2.60171</v>
      </c>
      <c r="N244" s="5">
        <v>-3.16484</v>
      </c>
      <c r="O244" s="5">
        <v>-0.0832</v>
      </c>
    </row>
    <row r="245">
      <c r="A245" s="12" t="str">
        <f>IFERROR(__xludf.DUMMYFUNCTION("""COMPUTED_VALUE"""),"Pierre Drouault")</f>
        <v>Pierre Drouault</v>
      </c>
      <c r="B245" s="13" t="str">
        <f>IFERROR(__xludf.DUMMYFUNCTION("""COMPUTED_VALUE"""),"BBD")</f>
        <v>BBD</v>
      </c>
      <c r="C245" s="14">
        <f>IFERROR(__xludf.DUMMYFUNCTION("""COMPUTED_VALUE"""),170.5)</f>
        <v>170.5</v>
      </c>
      <c r="D245" s="15">
        <f>IFERROR(__xludf.DUMMYFUNCTION("""COMPUTED_VALUE"""),-2.6656556475365263)</f>
        <v>-2.665655648</v>
      </c>
      <c r="E245" s="15">
        <f>IFERROR(__xludf.DUMMYFUNCTION("""COMPUTED_VALUE"""),-0.673554301820046)</f>
        <v>-0.6735543018</v>
      </c>
      <c r="F245" s="15">
        <f>IFERROR(__xludf.DUMMYFUNCTION("""COMPUTED_VALUE"""),-3.3392099493565723)</f>
        <v>-3.339209949</v>
      </c>
      <c r="G245" s="17">
        <f>IFERROR(__xludf.DUMMYFUNCTION("""COMPUTED_VALUE"""),-0.0708440702718558)</f>
        <v>-0.07084407027</v>
      </c>
      <c r="H245" s="4"/>
      <c r="I245" s="5" t="s">
        <v>1604</v>
      </c>
      <c r="J245" s="5" t="s">
        <v>1355</v>
      </c>
      <c r="K245" s="5">
        <v>570.0</v>
      </c>
      <c r="L245" s="5">
        <v>-4.03195</v>
      </c>
      <c r="M245" s="5">
        <v>0.79817</v>
      </c>
      <c r="N245" s="5">
        <v>-3.23378</v>
      </c>
      <c r="O245" s="5">
        <v>-0.21751</v>
      </c>
    </row>
    <row r="246">
      <c r="A246" s="18" t="str">
        <f>IFERROR(__xludf.DUMMYFUNCTION("""COMPUTED_VALUE"""),"Jonathan Tornato")</f>
        <v>Jonathan Tornato</v>
      </c>
      <c r="B246" s="19" t="str">
        <f>IFERROR(__xludf.DUMMYFUNCTION("""COMPUTED_VALUE"""),"ANT")</f>
        <v>ANT</v>
      </c>
      <c r="C246" s="20">
        <f>IFERROR(__xludf.DUMMYFUNCTION("""COMPUTED_VALUE"""),135.0)</f>
        <v>135</v>
      </c>
      <c r="D246" s="21">
        <f>IFERROR(__xludf.DUMMYFUNCTION("""COMPUTED_VALUE"""),-2.7183183055995284)</f>
        <v>-2.718318306</v>
      </c>
      <c r="E246" s="21">
        <f>IFERROR(__xludf.DUMMYFUNCTION("""COMPUTED_VALUE"""),-0.717425165666989)</f>
        <v>-0.7174251657</v>
      </c>
      <c r="F246" s="21">
        <f>IFERROR(__xludf.DUMMYFUNCTION("""COMPUTED_VALUE"""),-3.4357434712665174)</f>
        <v>-3.435743471</v>
      </c>
      <c r="G246" s="23">
        <f>IFERROR(__xludf.DUMMYFUNCTION("""COMPUTED_VALUE"""),-0.06032623949668177)</f>
        <v>-0.0603262395</v>
      </c>
      <c r="H246" s="4"/>
      <c r="I246" s="5" t="s">
        <v>1607</v>
      </c>
      <c r="J246" s="5" t="s">
        <v>1384</v>
      </c>
      <c r="K246" s="5">
        <v>171.0</v>
      </c>
      <c r="L246" s="5">
        <v>-2.71162</v>
      </c>
      <c r="M246" s="5">
        <v>-0.62349</v>
      </c>
      <c r="N246" s="5">
        <v>-3.33511</v>
      </c>
      <c r="O246" s="5">
        <v>-0.07063</v>
      </c>
    </row>
    <row r="247">
      <c r="A247" s="12" t="str">
        <f>IFERROR(__xludf.DUMMYFUNCTION("""COMPUTED_VALUE"""),"Eloy Vargas")</f>
        <v>Eloy Vargas</v>
      </c>
      <c r="B247" s="13" t="str">
        <f>IFERROR(__xludf.DUMMYFUNCTION("""COMPUTED_VALUE"""),"BBD")</f>
        <v>BBD</v>
      </c>
      <c r="C247" s="14">
        <f>IFERROR(__xludf.DUMMYFUNCTION("""COMPUTED_VALUE"""),362.0)</f>
        <v>362</v>
      </c>
      <c r="D247" s="15">
        <f>IFERROR(__xludf.DUMMYFUNCTION("""COMPUTED_VALUE"""),-3.1678112767183415)</f>
        <v>-3.167811277</v>
      </c>
      <c r="E247" s="15">
        <f>IFERROR(__xludf.DUMMYFUNCTION("""COMPUTED_VALUE"""),-0.3354209108165094)</f>
        <v>-0.3354209108</v>
      </c>
      <c r="F247" s="15">
        <f>IFERROR(__xludf.DUMMYFUNCTION("""COMPUTED_VALUE"""),-3.503232187534851)</f>
        <v>-3.503232188</v>
      </c>
      <c r="G247" s="17">
        <f>IFERROR(__xludf.DUMMYFUNCTION("""COMPUTED_VALUE"""),-0.16883601444645085)</f>
        <v>-0.1688360144</v>
      </c>
      <c r="H247" s="4"/>
      <c r="I247" s="5" t="s">
        <v>1608</v>
      </c>
      <c r="J247" s="5" t="s">
        <v>1311</v>
      </c>
      <c r="K247" s="5">
        <v>156.0</v>
      </c>
      <c r="L247" s="5">
        <v>-2.83604</v>
      </c>
      <c r="M247" s="5">
        <v>-0.58161</v>
      </c>
      <c r="N247" s="5">
        <v>-3.41765</v>
      </c>
      <c r="O247" s="5">
        <v>-0.06798</v>
      </c>
    </row>
    <row r="248">
      <c r="A248" s="18" t="str">
        <f>IFERROR(__xludf.DUMMYFUNCTION("""COMPUTED_VALUE"""),"Darrin Dorsey")</f>
        <v>Darrin Dorsey</v>
      </c>
      <c r="B248" s="19" t="str">
        <f>IFERROR(__xludf.DUMMYFUNCTION("""COMPUTED_VALUE"""),"CHA")</f>
        <v>CHA</v>
      </c>
      <c r="C248" s="20">
        <f>IFERROR(__xludf.DUMMYFUNCTION("""COMPUTED_VALUE"""),434.0)</f>
        <v>434</v>
      </c>
      <c r="D248" s="21">
        <f>IFERROR(__xludf.DUMMYFUNCTION("""COMPUTED_VALUE"""),-1.8915315619410786)</f>
        <v>-1.891531562</v>
      </c>
      <c r="E248" s="21">
        <f>IFERROR(__xludf.DUMMYFUNCTION("""COMPUTED_VALUE"""),-1.614447496321298)</f>
        <v>-1.614447496</v>
      </c>
      <c r="F248" s="21">
        <f>IFERROR(__xludf.DUMMYFUNCTION("""COMPUTED_VALUE"""),-3.5059790582623767)</f>
        <v>-3.505979058</v>
      </c>
      <c r="G248" s="23">
        <f>IFERROR(__xludf.DUMMYFUNCTION("""COMPUTED_VALUE"""),-0.20298312343205888)</f>
        <v>-0.2029831234</v>
      </c>
      <c r="H248" s="4"/>
      <c r="I248" s="5" t="s">
        <v>1610</v>
      </c>
      <c r="J248" s="5" t="s">
        <v>1379</v>
      </c>
      <c r="K248" s="5">
        <v>135.0</v>
      </c>
      <c r="L248" s="5">
        <v>-2.73261</v>
      </c>
      <c r="M248" s="5">
        <v>-0.69714</v>
      </c>
      <c r="N248" s="5">
        <v>-3.42975</v>
      </c>
      <c r="O248" s="5">
        <v>-0.06007</v>
      </c>
    </row>
    <row r="249">
      <c r="A249" s="12" t="str">
        <f>IFERROR(__xludf.DUMMYFUNCTION("""COMPUTED_VALUE"""),"Olivier Cortale")</f>
        <v>Olivier Cortale</v>
      </c>
      <c r="B249" s="13" t="str">
        <f>IFERROR(__xludf.DUMMYFUNCTION("""COMPUTED_VALUE"""),"STR")</f>
        <v>STR</v>
      </c>
      <c r="C249" s="14">
        <f>IFERROR(__xludf.DUMMYFUNCTION("""COMPUTED_VALUE"""),156.0)</f>
        <v>156</v>
      </c>
      <c r="D249" s="15">
        <f>IFERROR(__xludf.DUMMYFUNCTION("""COMPUTED_VALUE"""),-2.8980417647534757)</f>
        <v>-2.898041765</v>
      </c>
      <c r="E249" s="15">
        <f>IFERROR(__xludf.DUMMYFUNCTION("""COMPUTED_VALUE"""),-0.7205799247469873)</f>
        <v>-0.7205799247</v>
      </c>
      <c r="F249" s="15">
        <f>IFERROR(__xludf.DUMMYFUNCTION("""COMPUTED_VALUE"""),-3.618621689500463)</f>
        <v>-3.61862169</v>
      </c>
      <c r="G249" s="17">
        <f>IFERROR(__xludf.DUMMYFUNCTION("""COMPUTED_VALUE"""),-0.07908268365468159)</f>
        <v>-0.07908268365</v>
      </c>
      <c r="H249" s="4"/>
      <c r="I249" s="5" t="s">
        <v>1611</v>
      </c>
      <c r="J249" s="5" t="s">
        <v>1365</v>
      </c>
      <c r="K249" s="5">
        <v>164.0</v>
      </c>
      <c r="L249" s="5">
        <v>-2.42147</v>
      </c>
      <c r="M249" s="5">
        <v>-1.0616</v>
      </c>
      <c r="N249" s="5">
        <v>-3.48307</v>
      </c>
      <c r="O249" s="5">
        <v>-0.07413</v>
      </c>
    </row>
    <row r="250">
      <c r="A250" s="18" t="str">
        <f>IFERROR(__xludf.DUMMYFUNCTION("""COMPUTED_VALUE"""),"Justin Edwards")</f>
        <v>Justin Edwards</v>
      </c>
      <c r="B250" s="19" t="str">
        <f>IFERROR(__xludf.DUMMYFUNCTION("""COMPUTED_VALUE"""),"NAN")</f>
        <v>NAN</v>
      </c>
      <c r="C250" s="20">
        <f>IFERROR(__xludf.DUMMYFUNCTION("""COMPUTED_VALUE"""),173.0)</f>
        <v>173</v>
      </c>
      <c r="D250" s="21">
        <f>IFERROR(__xludf.DUMMYFUNCTION("""COMPUTED_VALUE"""),-2.500093507681014)</f>
        <v>-2.500093508</v>
      </c>
      <c r="E250" s="21">
        <f>IFERROR(__xludf.DUMMYFUNCTION("""COMPUTED_VALUE"""),-1.1671819067184757)</f>
        <v>-1.167181907</v>
      </c>
      <c r="F250" s="21">
        <f>IFERROR(__xludf.DUMMYFUNCTION("""COMPUTED_VALUE"""),-3.6672754143994895)</f>
        <v>-3.667275414</v>
      </c>
      <c r="G250" s="23">
        <f>IFERROR(__xludf.DUMMYFUNCTION("""COMPUTED_VALUE"""),-0.08703202816930701)</f>
        <v>-0.08703202817</v>
      </c>
      <c r="H250" s="4"/>
      <c r="I250" s="5" t="s">
        <v>1613</v>
      </c>
      <c r="J250" s="5" t="s">
        <v>1384</v>
      </c>
      <c r="K250" s="5">
        <v>362.0</v>
      </c>
      <c r="L250" s="5">
        <v>-3.21449</v>
      </c>
      <c r="M250" s="5">
        <v>-0.28999</v>
      </c>
      <c r="N250" s="5">
        <v>-3.50447</v>
      </c>
      <c r="O250" s="5">
        <v>-0.16898</v>
      </c>
    </row>
    <row r="251">
      <c r="A251" s="12" t="str">
        <f>IFERROR(__xludf.DUMMYFUNCTION("""COMPUTED_VALUE"""),"Julian Gamble")</f>
        <v>Julian Gamble</v>
      </c>
      <c r="B251" s="13" t="str">
        <f>IFERROR(__xludf.DUMMYFUNCTION("""COMPUTED_VALUE"""),"LYV")</f>
        <v>LYV</v>
      </c>
      <c r="C251" s="14">
        <f>IFERROR(__xludf.DUMMYFUNCTION("""COMPUTED_VALUE"""),57.0)</f>
        <v>57</v>
      </c>
      <c r="D251" s="15">
        <f>IFERROR(__xludf.DUMMYFUNCTION("""COMPUTED_VALUE"""),-2.7927977095832084)</f>
        <v>-2.79279771</v>
      </c>
      <c r="E251" s="15">
        <f>IFERROR(__xludf.DUMMYFUNCTION("""COMPUTED_VALUE"""),-0.8919214953624968)</f>
        <v>-0.8919214954</v>
      </c>
      <c r="F251" s="15">
        <f>IFERROR(__xludf.DUMMYFUNCTION("""COMPUTED_VALUE"""),-3.684719204945705)</f>
        <v>-3.684719205</v>
      </c>
      <c r="G251" s="17">
        <f>IFERROR(__xludf.DUMMYFUNCTION("""COMPUTED_VALUE"""),-0.029080641702655854)</f>
        <v>-0.0290806417</v>
      </c>
      <c r="H251" s="4"/>
      <c r="I251" s="5" t="s">
        <v>1614</v>
      </c>
      <c r="J251" s="5" t="s">
        <v>1332</v>
      </c>
      <c r="K251" s="24">
        <v>434.0</v>
      </c>
      <c r="L251" s="5">
        <v>-1.93545</v>
      </c>
      <c r="M251" s="5">
        <v>-1.5694</v>
      </c>
      <c r="N251" s="5">
        <v>-3.50485</v>
      </c>
      <c r="O251" s="5">
        <v>-0.20283</v>
      </c>
    </row>
    <row r="252">
      <c r="A252" s="18" t="str">
        <f>IFERROR(__xludf.DUMMYFUNCTION("""COMPUTED_VALUE"""),"Chris Otule")</f>
        <v>Chris Otule</v>
      </c>
      <c r="B252" s="19" t="str">
        <f>IFERROR(__xludf.DUMMYFUNCTION("""COMPUTED_VALUE"""),"GRV")</f>
        <v>GRV</v>
      </c>
      <c r="C252" s="20">
        <f>IFERROR(__xludf.DUMMYFUNCTION("""COMPUTED_VALUE"""),172.5)</f>
        <v>172.5</v>
      </c>
      <c r="D252" s="21">
        <f>IFERROR(__xludf.DUMMYFUNCTION("""COMPUTED_VALUE"""),-4.319210894219749)</f>
        <v>-4.319210894</v>
      </c>
      <c r="E252" s="21">
        <f>IFERROR(__xludf.DUMMYFUNCTION("""COMPUTED_VALUE"""),0.593594321986127)</f>
        <v>0.593594322</v>
      </c>
      <c r="F252" s="21">
        <f>IFERROR(__xludf.DUMMYFUNCTION("""COMPUTED_VALUE"""),-3.725616572233622)</f>
        <v>-3.725616572</v>
      </c>
      <c r="G252" s="23">
        <f>IFERROR(__xludf.DUMMYFUNCTION("""COMPUTED_VALUE"""),-0.0950787855697338)</f>
        <v>-0.09507878557</v>
      </c>
      <c r="H252" s="4"/>
      <c r="I252" s="5" t="s">
        <v>1616</v>
      </c>
      <c r="J252" s="5" t="s">
        <v>1314</v>
      </c>
      <c r="K252" s="5">
        <v>173.0</v>
      </c>
      <c r="L252" s="5">
        <v>-4.36477</v>
      </c>
      <c r="M252" s="5">
        <v>0.6945</v>
      </c>
      <c r="N252" s="5">
        <v>-3.67027</v>
      </c>
      <c r="O252" s="5">
        <v>-0.09203</v>
      </c>
    </row>
    <row r="253">
      <c r="A253" s="12" t="str">
        <f>IFERROR(__xludf.DUMMYFUNCTION("""COMPUTED_VALUE"""),"Kyan Anderson")</f>
        <v>Kyan Anderson</v>
      </c>
      <c r="B253" s="13" t="str">
        <f>IFERROR(__xludf.DUMMYFUNCTION("""COMPUTED_VALUE"""),"PAU")</f>
        <v>PAU</v>
      </c>
      <c r="C253" s="14">
        <f>IFERROR(__xludf.DUMMYFUNCTION("""COMPUTED_VALUE"""),672.0)</f>
        <v>672</v>
      </c>
      <c r="D253" s="15">
        <f>IFERROR(__xludf.DUMMYFUNCTION("""COMPUTED_VALUE"""),0.46101097351329445)</f>
        <v>0.4610109735</v>
      </c>
      <c r="E253" s="15">
        <f>IFERROR(__xludf.DUMMYFUNCTION("""COMPUTED_VALUE"""),-4.254981637991737)</f>
        <v>-4.254981638</v>
      </c>
      <c r="F253" s="15">
        <f>IFERROR(__xludf.DUMMYFUNCTION("""COMPUTED_VALUE"""),-3.7939706644784423)</f>
        <v>-3.793970664</v>
      </c>
      <c r="G253" s="17">
        <f>IFERROR(__xludf.DUMMYFUNCTION("""COMPUTED_VALUE"""),-0.3724596068988043)</f>
        <v>-0.3724596069</v>
      </c>
      <c r="H253" s="4"/>
      <c r="I253" s="5" t="s">
        <v>1617</v>
      </c>
      <c r="J253" s="5" t="s">
        <v>1369</v>
      </c>
      <c r="K253" s="5">
        <v>653.0</v>
      </c>
      <c r="L253" s="5">
        <v>0.20694</v>
      </c>
      <c r="M253" s="5">
        <v>-3.89726</v>
      </c>
      <c r="N253" s="5">
        <v>-3.69032</v>
      </c>
      <c r="O253" s="5">
        <v>-0.34115</v>
      </c>
    </row>
    <row r="254">
      <c r="A254" s="18" t="str">
        <f>IFERROR(__xludf.DUMMYFUNCTION("""COMPUTED_VALUE"""),"Khalid Boukichou")</f>
        <v>Khalid Boukichou</v>
      </c>
      <c r="B254" s="19" t="str">
        <f>IFERROR(__xludf.DUMMYFUNCTION("""COMPUTED_VALUE"""),"CHA")</f>
        <v>CHA</v>
      </c>
      <c r="C254" s="20">
        <f>IFERROR(__xludf.DUMMYFUNCTION("""COMPUTED_VALUE"""),219.5)</f>
        <v>219.5</v>
      </c>
      <c r="D254" s="21">
        <f>IFERROR(__xludf.DUMMYFUNCTION("""COMPUTED_VALUE"""),-2.4994812507084414)</f>
        <v>-2.499481251</v>
      </c>
      <c r="E254" s="21">
        <f>IFERROR(__xludf.DUMMYFUNCTION("""COMPUTED_VALUE"""),-1.3331529803750315)</f>
        <v>-1.33315298</v>
      </c>
      <c r="F254" s="21">
        <f>IFERROR(__xludf.DUMMYFUNCTION("""COMPUTED_VALUE"""),-3.832634231083473)</f>
        <v>-3.832634231</v>
      </c>
      <c r="G254" s="23">
        <f>IFERROR(__xludf.DUMMYFUNCTION("""COMPUTED_VALUE"""),-0.12492851788370615)</f>
        <v>-0.1249285179</v>
      </c>
      <c r="H254" s="4"/>
      <c r="I254" s="5" t="s">
        <v>1619</v>
      </c>
      <c r="J254" s="5" t="s">
        <v>1332</v>
      </c>
      <c r="K254" s="5">
        <v>220.0</v>
      </c>
      <c r="L254" s="5">
        <v>-2.56465</v>
      </c>
      <c r="M254" s="5">
        <v>-1.20589</v>
      </c>
      <c r="N254" s="5">
        <v>-3.77055</v>
      </c>
      <c r="O254" s="5">
        <v>-0.1207</v>
      </c>
    </row>
    <row r="255">
      <c r="A255" s="12" t="str">
        <f>IFERROR(__xludf.DUMMYFUNCTION("""COMPUTED_VALUE"""),"Bathiste Tchouaffe")</f>
        <v>Bathiste Tchouaffe</v>
      </c>
      <c r="B255" s="13" t="str">
        <f>IFERROR(__xludf.DUMMYFUNCTION("""COMPUTED_VALUE"""),"NAN")</f>
        <v>NAN</v>
      </c>
      <c r="C255" s="14">
        <f>IFERROR(__xludf.DUMMYFUNCTION("""COMPUTED_VALUE"""),304.0)</f>
        <v>304</v>
      </c>
      <c r="D255" s="15">
        <f>IFERROR(__xludf.DUMMYFUNCTION("""COMPUTED_VALUE"""),-2.9616658993310616)</f>
        <v>-2.961665899</v>
      </c>
      <c r="E255" s="15">
        <f>IFERROR(__xludf.DUMMYFUNCTION("""COMPUTED_VALUE"""),-1.0031377463814413)</f>
        <v>-1.003137746</v>
      </c>
      <c r="F255" s="15">
        <f>IFERROR(__xludf.DUMMYFUNCTION("""COMPUTED_VALUE"""),-3.964803645712503)</f>
        <v>-3.964803646</v>
      </c>
      <c r="G255" s="17">
        <f>IFERROR(__xludf.DUMMYFUNCTION("""COMPUTED_VALUE"""),-0.180226394255952)</f>
        <v>-0.1802263943</v>
      </c>
      <c r="H255" s="4"/>
      <c r="I255" s="5" t="s">
        <v>1622</v>
      </c>
      <c r="J255" s="5" t="s">
        <v>1327</v>
      </c>
      <c r="K255" s="5">
        <v>372.0</v>
      </c>
      <c r="L255" s="5">
        <v>-4.17737</v>
      </c>
      <c r="M255" s="5">
        <v>0.31593</v>
      </c>
      <c r="N255" s="5">
        <v>-3.86144</v>
      </c>
      <c r="O255" s="5">
        <v>-0.22093</v>
      </c>
    </row>
    <row r="256">
      <c r="A256" s="18" t="str">
        <f>IFERROR(__xludf.DUMMYFUNCTION("""COMPUTED_VALUE"""),"Gary Chathuant")</f>
        <v>Gary Chathuant</v>
      </c>
      <c r="B256" s="19" t="str">
        <f>IFERROR(__xludf.DUMMYFUNCTION("""COMPUTED_VALUE"""),"PORT")</f>
        <v>PORT</v>
      </c>
      <c r="C256" s="20">
        <f>IFERROR(__xludf.DUMMYFUNCTION("""COMPUTED_VALUE"""),374.0)</f>
        <v>374</v>
      </c>
      <c r="D256" s="21">
        <f>IFERROR(__xludf.DUMMYFUNCTION("""COMPUTED_VALUE"""),-5.71009754323096)</f>
        <v>-5.710097543</v>
      </c>
      <c r="E256" s="21">
        <f>IFERROR(__xludf.DUMMYFUNCTION("""COMPUTED_VALUE"""),1.7410167480323286)</f>
        <v>1.741016748</v>
      </c>
      <c r="F256" s="21">
        <f>IFERROR(__xludf.DUMMYFUNCTION("""COMPUTED_VALUE"""),-3.9690807951986313)</f>
        <v>-3.969080795</v>
      </c>
      <c r="G256" s="23">
        <f>IFERROR(__xludf.DUMMYFUNCTION("""COMPUTED_VALUE"""),-0.22304718943635019)</f>
        <v>-0.2230471894</v>
      </c>
      <c r="H256" s="4"/>
      <c r="I256" s="5" t="s">
        <v>1623</v>
      </c>
      <c r="J256" s="5" t="s">
        <v>1365</v>
      </c>
      <c r="K256" s="5">
        <v>294.0</v>
      </c>
      <c r="L256" s="5">
        <v>-2.97026</v>
      </c>
      <c r="M256" s="5">
        <v>-0.89722</v>
      </c>
      <c r="N256" s="5">
        <v>-3.86747</v>
      </c>
      <c r="O256" s="5">
        <v>-0.16734</v>
      </c>
    </row>
    <row r="257">
      <c r="A257" s="12" t="str">
        <f>IFERROR(__xludf.DUMMYFUNCTION("""COMPUTED_VALUE"""),"David Michineau")</f>
        <v>David Michineau</v>
      </c>
      <c r="B257" s="13" t="str">
        <f>IFERROR(__xludf.DUMMYFUNCTION("""COMPUTED_VALUE"""),"CHO")</f>
        <v>CHO</v>
      </c>
      <c r="C257" s="14">
        <f>IFERROR(__xludf.DUMMYFUNCTION("""COMPUTED_VALUE"""),499.0)</f>
        <v>499</v>
      </c>
      <c r="D257" s="15">
        <f>IFERROR(__xludf.DUMMYFUNCTION("""COMPUTED_VALUE"""),-2.343762844669653)</f>
        <v>-2.343762845</v>
      </c>
      <c r="E257" s="15">
        <f>IFERROR(__xludf.DUMMYFUNCTION("""COMPUTED_VALUE"""),-1.6342263614874613)</f>
        <v>-1.634226361</v>
      </c>
      <c r="F257" s="15">
        <f>IFERROR(__xludf.DUMMYFUNCTION("""COMPUTED_VALUE"""),-3.977989206157114)</f>
        <v>-3.977989206</v>
      </c>
      <c r="G257" s="17">
        <f>IFERROR(__xludf.DUMMYFUNCTION("""COMPUTED_VALUE"""),-0.3065548997137261)</f>
        <v>-0.3065548997</v>
      </c>
      <c r="H257" s="4"/>
      <c r="I257" s="5" t="s">
        <v>1625</v>
      </c>
      <c r="J257" s="5" t="s">
        <v>1348</v>
      </c>
      <c r="K257" s="5">
        <v>374.0</v>
      </c>
      <c r="L257" s="5">
        <v>-5.75466</v>
      </c>
      <c r="M257" s="5">
        <v>1.78607</v>
      </c>
      <c r="N257" s="5">
        <v>-3.96858</v>
      </c>
      <c r="O257" s="5">
        <v>-0.22299</v>
      </c>
    </row>
    <row r="258">
      <c r="A258" s="18" t="str">
        <f>IFERROR(__xludf.DUMMYFUNCTION("""COMPUTED_VALUE"""),"Luka Asceric")</f>
        <v>Luka Asceric</v>
      </c>
      <c r="B258" s="19" t="str">
        <f>IFERROR(__xludf.DUMMYFUNCTION("""COMPUTED_VALUE"""),"HYT")</f>
        <v>HYT</v>
      </c>
      <c r="C258" s="20">
        <f>IFERROR(__xludf.DUMMYFUNCTION("""COMPUTED_VALUE"""),373.0)</f>
        <v>373</v>
      </c>
      <c r="D258" s="21">
        <f>IFERROR(__xludf.DUMMYFUNCTION("""COMPUTED_VALUE"""),-2.8609135543845285)</f>
        <v>-2.860913554</v>
      </c>
      <c r="E258" s="21">
        <f>IFERROR(__xludf.DUMMYFUNCTION("""COMPUTED_VALUE"""),-1.2145625263992672)</f>
        <v>-1.214562526</v>
      </c>
      <c r="F258" s="21">
        <f>IFERROR(__xludf.DUMMYFUNCTION("""COMPUTED_VALUE"""),-4.075476080783796)</f>
        <v>-4.075476081</v>
      </c>
      <c r="G258" s="23">
        <f>IFERROR(__xludf.DUMMYFUNCTION("""COMPUTED_VALUE"""),-0.2394733612145273)</f>
        <v>-0.2394733612</v>
      </c>
      <c r="H258" s="4"/>
      <c r="I258" s="5" t="s">
        <v>1626</v>
      </c>
      <c r="J258" s="5" t="s">
        <v>1375</v>
      </c>
      <c r="K258" s="5">
        <v>499.0</v>
      </c>
      <c r="L258" s="5">
        <v>-2.39224</v>
      </c>
      <c r="M258" s="5">
        <v>-1.58847</v>
      </c>
      <c r="N258" s="5">
        <v>-3.98071</v>
      </c>
      <c r="O258" s="5">
        <v>-0.30698</v>
      </c>
    </row>
    <row r="259">
      <c r="A259" s="12" t="str">
        <f>IFERROR(__xludf.DUMMYFUNCTION("""COMPUTED_VALUE"""),"Dru Joyce")</f>
        <v>Dru Joyce</v>
      </c>
      <c r="B259" s="13" t="str">
        <f>IFERROR(__xludf.DUMMYFUNCTION("""COMPUTED_VALUE"""),"CSP")</f>
        <v>CSP</v>
      </c>
      <c r="C259" s="14">
        <f>IFERROR(__xludf.DUMMYFUNCTION("""COMPUTED_VALUE"""),427.5)</f>
        <v>427.5</v>
      </c>
      <c r="D259" s="15">
        <f>IFERROR(__xludf.DUMMYFUNCTION("""COMPUTED_VALUE"""),-4.171419865913054)</f>
        <v>-4.171419866</v>
      </c>
      <c r="E259" s="15">
        <f>IFERROR(__xludf.DUMMYFUNCTION("""COMPUTED_VALUE"""),0.09065120273262561)</f>
        <v>0.09065120273</v>
      </c>
      <c r="F259" s="15">
        <f>IFERROR(__xludf.DUMMYFUNCTION("""COMPUTED_VALUE"""),-4.080768663180429)</f>
        <v>-4.080768663</v>
      </c>
      <c r="G259" s="17">
        <f>IFERROR(__xludf.DUMMYFUNCTION("""COMPUTED_VALUE"""),-0.284218505243937)</f>
        <v>-0.2842185052</v>
      </c>
      <c r="H259" s="4"/>
      <c r="I259" s="5" t="s">
        <v>1627</v>
      </c>
      <c r="J259" s="5" t="s">
        <v>1457</v>
      </c>
      <c r="K259" s="5">
        <v>373.0</v>
      </c>
      <c r="L259" s="5">
        <v>-2.91117</v>
      </c>
      <c r="M259" s="5">
        <v>-1.17027</v>
      </c>
      <c r="N259" s="5">
        <v>-4.08145</v>
      </c>
      <c r="O259" s="5">
        <v>-0.24016</v>
      </c>
    </row>
    <row r="260">
      <c r="A260" s="18" t="str">
        <f>IFERROR(__xludf.DUMMYFUNCTION("""COMPUTED_VALUE"""),"Stephan Gauthier")</f>
        <v>Stephan Gauthier</v>
      </c>
      <c r="B260" s="19" t="str">
        <f>IFERROR(__xludf.DUMMYFUNCTION("""COMPUTED_VALUE"""),"BBD")</f>
        <v>BBD</v>
      </c>
      <c r="C260" s="20">
        <f>IFERROR(__xludf.DUMMYFUNCTION("""COMPUTED_VALUE"""),111.0)</f>
        <v>111</v>
      </c>
      <c r="D260" s="21">
        <f>IFERROR(__xludf.DUMMYFUNCTION("""COMPUTED_VALUE"""),-3.1161407486902046)</f>
        <v>-3.116140749</v>
      </c>
      <c r="E260" s="21">
        <f>IFERROR(__xludf.DUMMYFUNCTION("""COMPUTED_VALUE"""),-0.9853947628168651)</f>
        <v>-0.9853947628</v>
      </c>
      <c r="F260" s="21">
        <f>IFERROR(__xludf.DUMMYFUNCTION("""COMPUTED_VALUE"""),-4.10153551150707)</f>
        <v>-4.101535512</v>
      </c>
      <c r="G260" s="23">
        <f>IFERROR(__xludf.DUMMYFUNCTION("""COMPUTED_VALUE"""),-0.07237526494011001)</f>
        <v>-0.07237526494</v>
      </c>
      <c r="H260" s="4"/>
      <c r="I260" s="5" t="s">
        <v>1629</v>
      </c>
      <c r="J260" s="5" t="s">
        <v>1384</v>
      </c>
      <c r="K260" s="5">
        <v>111.0</v>
      </c>
      <c r="L260" s="5">
        <v>-3.13252</v>
      </c>
      <c r="M260" s="5">
        <v>-0.96874</v>
      </c>
      <c r="N260" s="5">
        <v>-4.10126</v>
      </c>
      <c r="O260" s="5">
        <v>-0.07237</v>
      </c>
    </row>
    <row r="261">
      <c r="A261" s="12" t="str">
        <f>IFERROR(__xludf.DUMMYFUNCTION("""COMPUTED_VALUE"""),"Ray Cowels")</f>
        <v>Ray Cowels</v>
      </c>
      <c r="B261" s="13" t="str">
        <f>IFERROR(__xludf.DUMMYFUNCTION("""COMPUTED_VALUE"""),"HYT")</f>
        <v>HYT</v>
      </c>
      <c r="C261" s="14">
        <f>IFERROR(__xludf.DUMMYFUNCTION("""COMPUTED_VALUE"""),1094.0)</f>
        <v>1094</v>
      </c>
      <c r="D261" s="15">
        <f>IFERROR(__xludf.DUMMYFUNCTION("""COMPUTED_VALUE"""),-1.0137652178559853)</f>
        <v>-1.013765218</v>
      </c>
      <c r="E261" s="15">
        <f>IFERROR(__xludf.DUMMYFUNCTION("""COMPUTED_VALUE"""),-3.1929557557137187)</f>
        <v>-3.192955756</v>
      </c>
      <c r="F261" s="15">
        <f>IFERROR(__xludf.DUMMYFUNCTION("""COMPUTED_VALUE"""),-4.206720973569704)</f>
        <v>-4.206720974</v>
      </c>
      <c r="G261" s="17">
        <f>IFERROR(__xludf.DUMMYFUNCTION("""COMPUTED_VALUE"""),-0.746784663232114)</f>
        <v>-0.7467846632</v>
      </c>
      <c r="H261" s="4"/>
      <c r="I261" s="5" t="s">
        <v>1630</v>
      </c>
      <c r="J261" s="5" t="s">
        <v>1457</v>
      </c>
      <c r="K261" s="24">
        <v>1094.0</v>
      </c>
      <c r="L261" s="5">
        <v>-1.06867</v>
      </c>
      <c r="M261" s="5">
        <v>-3.14784</v>
      </c>
      <c r="N261" s="5">
        <v>-4.21651</v>
      </c>
      <c r="O261" s="5">
        <v>-0.7501</v>
      </c>
    </row>
    <row r="262">
      <c r="A262" s="18" t="str">
        <f>IFERROR(__xludf.DUMMYFUNCTION("""COMPUTED_VALUE"""),"Ivan Maras")</f>
        <v>Ivan Maras</v>
      </c>
      <c r="B262" s="19" t="str">
        <f>IFERROR(__xludf.DUMMYFUNCTION("""COMPUTED_VALUE"""),"CHO")</f>
        <v>CHO</v>
      </c>
      <c r="C262" s="20">
        <f>IFERROR(__xludf.DUMMYFUNCTION("""COMPUTED_VALUE"""),186.0)</f>
        <v>186</v>
      </c>
      <c r="D262" s="21">
        <f>IFERROR(__xludf.DUMMYFUNCTION("""COMPUTED_VALUE"""),-4.8937942696612255)</f>
        <v>-4.89379427</v>
      </c>
      <c r="E262" s="21">
        <f>IFERROR(__xludf.DUMMYFUNCTION("""COMPUTED_VALUE"""),0.47880063202072964)</f>
        <v>0.478800632</v>
      </c>
      <c r="F262" s="21">
        <f>IFERROR(__xludf.DUMMYFUNCTION("""COMPUTED_VALUE"""),-4.414993637640496)</f>
        <v>-4.414993638</v>
      </c>
      <c r="G262" s="23">
        <f>IFERROR(__xludf.DUMMYFUNCTION("""COMPUTED_VALUE"""),-0.13951237566857125)</f>
        <v>-0.1395123757</v>
      </c>
      <c r="H262" s="4"/>
      <c r="I262" s="5" t="s">
        <v>863</v>
      </c>
      <c r="J262" s="5" t="s">
        <v>1375</v>
      </c>
      <c r="K262" s="5">
        <v>186.0</v>
      </c>
      <c r="L262" s="5">
        <v>-4.92074</v>
      </c>
      <c r="M262" s="5">
        <v>0.50662</v>
      </c>
      <c r="N262" s="5">
        <v>-4.41413</v>
      </c>
      <c r="O262" s="5">
        <v>-0.13946</v>
      </c>
    </row>
    <row r="263">
      <c r="A263" s="12" t="str">
        <f>IFERROR(__xludf.DUMMYFUNCTION("""COMPUTED_VALUE"""),"Willie Deane")</f>
        <v>Willie Deane</v>
      </c>
      <c r="B263" s="13" t="str">
        <f>IFERROR(__xludf.DUMMYFUNCTION("""COMPUTED_VALUE"""),"RCB")</f>
        <v>RCB</v>
      </c>
      <c r="C263" s="14">
        <f>IFERROR(__xludf.DUMMYFUNCTION("""COMPUTED_VALUE"""),735.0)</f>
        <v>735</v>
      </c>
      <c r="D263" s="15">
        <f>IFERROR(__xludf.DUMMYFUNCTION("""COMPUTED_VALUE"""),-3.111309882593595)</f>
        <v>-3.111309883</v>
      </c>
      <c r="E263" s="15">
        <f>IFERROR(__xludf.DUMMYFUNCTION("""COMPUTED_VALUE"""),-1.4933781626536806)</f>
        <v>-1.493378163</v>
      </c>
      <c r="F263" s="15">
        <f>IFERROR(__xludf.DUMMYFUNCTION("""COMPUTED_VALUE"""),-4.604688045247276)</f>
        <v>-4.604688045</v>
      </c>
      <c r="G263" s="17">
        <f>IFERROR(__xludf.DUMMYFUNCTION("""COMPUTED_VALUE"""),-0.5836724735538863)</f>
        <v>-0.5836724736</v>
      </c>
      <c r="H263" s="4"/>
      <c r="I263" s="5" t="s">
        <v>1633</v>
      </c>
      <c r="J263" s="5" t="s">
        <v>1367</v>
      </c>
      <c r="K263" s="5">
        <v>735.0</v>
      </c>
      <c r="L263" s="5">
        <v>-3.15538</v>
      </c>
      <c r="M263" s="5">
        <v>-1.44841</v>
      </c>
      <c r="N263" s="5">
        <v>-4.60379</v>
      </c>
      <c r="O263" s="5">
        <v>-0.58347</v>
      </c>
    </row>
    <row r="264">
      <c r="A264" s="18" t="str">
        <f>IFERROR(__xludf.DUMMYFUNCTION("""COMPUTED_VALUE"""),"Aurelien Salmon")</f>
        <v>Aurelien Salmon</v>
      </c>
      <c r="B264" s="19" t="str">
        <f>IFERROR(__xludf.DUMMYFUNCTION("""COMPUTED_VALUE"""),"BBD")</f>
        <v>BBD</v>
      </c>
      <c r="C264" s="20">
        <f>IFERROR(__xludf.DUMMYFUNCTION("""COMPUTED_VALUE"""),399.0)</f>
        <v>399</v>
      </c>
      <c r="D264" s="21">
        <f>IFERROR(__xludf.DUMMYFUNCTION("""COMPUTED_VALUE"""),-1.0982141922244963)</f>
        <v>-1.098214192</v>
      </c>
      <c r="E264" s="21">
        <f>IFERROR(__xludf.DUMMYFUNCTION("""COMPUTED_VALUE"""),-3.7841315443985497)</f>
        <v>-3.784131544</v>
      </c>
      <c r="F264" s="21">
        <f>IFERROR(__xludf.DUMMYFUNCTION("""COMPUTED_VALUE"""),-4.882345736623046)</f>
        <v>-4.882345737</v>
      </c>
      <c r="G264" s="23">
        <f>IFERROR(__xludf.DUMMYFUNCTION("""COMPUTED_VALUE"""),-0.3568201927527878)</f>
        <v>-0.3568201928</v>
      </c>
      <c r="H264" s="4"/>
      <c r="I264" s="5" t="s">
        <v>1635</v>
      </c>
      <c r="J264" s="5" t="s">
        <v>1379</v>
      </c>
      <c r="K264" s="5">
        <v>386.0</v>
      </c>
      <c r="L264" s="5">
        <v>-3.36505</v>
      </c>
      <c r="M264" s="5">
        <v>-1.51236</v>
      </c>
      <c r="N264" s="5">
        <v>-4.87741</v>
      </c>
      <c r="O264" s="5">
        <v>-0.34569</v>
      </c>
    </row>
    <row r="265">
      <c r="A265" s="12" t="str">
        <f>IFERROR(__xludf.DUMMYFUNCTION("""COMPUTED_VALUE"""),"Paul Rigot")</f>
        <v>Paul Rigot</v>
      </c>
      <c r="B265" s="13" t="str">
        <f>IFERROR(__xludf.DUMMYFUNCTION("""COMPUTED_VALUE"""),"ANT")</f>
        <v>ANT</v>
      </c>
      <c r="C265" s="14">
        <f>IFERROR(__xludf.DUMMYFUNCTION("""COMPUTED_VALUE"""),386.0)</f>
        <v>386</v>
      </c>
      <c r="D265" s="15">
        <f>IFERROR(__xludf.DUMMYFUNCTION("""COMPUTED_VALUE"""),-3.332901441266293)</f>
        <v>-3.332901441</v>
      </c>
      <c r="E265" s="15">
        <f>IFERROR(__xludf.DUMMYFUNCTION("""COMPUTED_VALUE"""),-1.5575086876634807)</f>
        <v>-1.557508688</v>
      </c>
      <c r="F265" s="15">
        <f>IFERROR(__xludf.DUMMYFUNCTION("""COMPUTED_VALUE"""),-4.890410128929774)</f>
        <v>-4.890410129</v>
      </c>
      <c r="G265" s="17">
        <f>IFERROR(__xludf.DUMMYFUNCTION("""COMPUTED_VALUE"""),-0.34725012478967804)</f>
        <v>-0.3472501248</v>
      </c>
      <c r="H265" s="4"/>
      <c r="I265" s="5" t="s">
        <v>1637</v>
      </c>
      <c r="J265" s="5" t="s">
        <v>1384</v>
      </c>
      <c r="K265" s="5">
        <v>399.0</v>
      </c>
      <c r="L265" s="5">
        <v>-1.14472</v>
      </c>
      <c r="M265" s="5">
        <v>-3.73873</v>
      </c>
      <c r="N265" s="5">
        <v>-4.88344</v>
      </c>
      <c r="O265" s="5">
        <v>-0.35696</v>
      </c>
    </row>
    <row r="266">
      <c r="A266" s="18" t="str">
        <f>IFERROR(__xludf.DUMMYFUNCTION("""COMPUTED_VALUE"""),"Arthur Rozenfeld")</f>
        <v>Arthur Rozenfeld</v>
      </c>
      <c r="B266" s="19" t="str">
        <f>IFERROR(__xludf.DUMMYFUNCTION("""COMPUTED_VALUE"""),"CHA")</f>
        <v>CHA</v>
      </c>
      <c r="C266" s="20">
        <f>IFERROR(__xludf.DUMMYFUNCTION("""COMPUTED_VALUE"""),334.0)</f>
        <v>334</v>
      </c>
      <c r="D266" s="21">
        <f>IFERROR(__xludf.DUMMYFUNCTION("""COMPUTED_VALUE"""),-0.9304992270046251)</f>
        <v>-0.930499227</v>
      </c>
      <c r="E266" s="21">
        <f>IFERROR(__xludf.DUMMYFUNCTION("""COMPUTED_VALUE"""),-4.081481376860168)</f>
        <v>-4.081481377</v>
      </c>
      <c r="F266" s="21">
        <f>IFERROR(__xludf.DUMMYFUNCTION("""COMPUTED_VALUE"""),-5.011980603864793)</f>
        <v>-5.011980604</v>
      </c>
      <c r="G266" s="23">
        <f>IFERROR(__xludf.DUMMYFUNCTION("""COMPUTED_VALUE"""),-0.3124279695636994)</f>
        <v>-0.3124279696</v>
      </c>
      <c r="H266" s="4"/>
      <c r="I266" s="5" t="s">
        <v>1639</v>
      </c>
      <c r="J266" s="5" t="s">
        <v>1332</v>
      </c>
      <c r="K266" s="5">
        <v>334.0</v>
      </c>
      <c r="L266" s="5">
        <v>-0.97277</v>
      </c>
      <c r="M266" s="5">
        <v>-4.03672</v>
      </c>
      <c r="N266" s="5">
        <v>-5.0095</v>
      </c>
      <c r="O266" s="5">
        <v>-0.31217</v>
      </c>
    </row>
    <row r="267">
      <c r="A267" s="12" t="str">
        <f>IFERROR(__xludf.DUMMYFUNCTION("""COMPUTED_VALUE"""),"Adam Mokoka")</f>
        <v>Adam Mokoka</v>
      </c>
      <c r="B267" s="13" t="str">
        <f>IFERROR(__xludf.DUMMYFUNCTION("""COMPUTED_VALUE"""),"GRV")</f>
        <v>GRV</v>
      </c>
      <c r="C267" s="14">
        <f>IFERROR(__xludf.DUMMYFUNCTION("""COMPUTED_VALUE"""),476.0)</f>
        <v>476</v>
      </c>
      <c r="D267" s="15">
        <f>IFERROR(__xludf.DUMMYFUNCTION("""COMPUTED_VALUE"""),-5.684549173393886)</f>
        <v>-5.684549173</v>
      </c>
      <c r="E267" s="15">
        <f>IFERROR(__xludf.DUMMYFUNCTION("""COMPUTED_VALUE"""),0.30188379320194425)</f>
        <v>0.3018837932</v>
      </c>
      <c r="F267" s="15">
        <f>IFERROR(__xludf.DUMMYFUNCTION("""COMPUTED_VALUE"""),-5.382665380191942)</f>
        <v>-5.38266538</v>
      </c>
      <c r="G267" s="17">
        <f>IFERROR(__xludf.DUMMYFUNCTION("""COMPUTED_VALUE"""),-0.514299633626137)</f>
        <v>-0.5142996336</v>
      </c>
      <c r="H267" s="4"/>
      <c r="I267" s="5" t="s">
        <v>1640</v>
      </c>
      <c r="J267" s="5" t="s">
        <v>1314</v>
      </c>
      <c r="K267" s="5">
        <v>476.0</v>
      </c>
      <c r="L267" s="5">
        <v>-5.71019</v>
      </c>
      <c r="M267" s="5">
        <v>0.34884</v>
      </c>
      <c r="N267" s="5">
        <v>-5.36135</v>
      </c>
      <c r="O267" s="5">
        <v>-0.51106</v>
      </c>
    </row>
    <row r="268">
      <c r="A268" s="18" t="str">
        <f>IFERROR(__xludf.DUMMYFUNCTION("""COMPUTED_VALUE"""),"William Buford")</f>
        <v>William Buford</v>
      </c>
      <c r="B268" s="19" t="str">
        <f>IFERROR(__xludf.DUMMYFUNCTION("""COMPUTED_VALUE"""),"GRV")</f>
        <v>GRV</v>
      </c>
      <c r="C268" s="20">
        <f>IFERROR(__xludf.DUMMYFUNCTION("""COMPUTED_VALUE"""),261.0)</f>
        <v>261</v>
      </c>
      <c r="D268" s="21">
        <f>IFERROR(__xludf.DUMMYFUNCTION("""COMPUTED_VALUE"""),-3.6187086412667244)</f>
        <v>-3.618708641</v>
      </c>
      <c r="E268" s="21">
        <f>IFERROR(__xludf.DUMMYFUNCTION("""COMPUTED_VALUE"""),-1.9286955667620895)</f>
        <v>-1.928695567</v>
      </c>
      <c r="F268" s="21">
        <f>IFERROR(__xludf.DUMMYFUNCTION("""COMPUTED_VALUE"""),-5.547404208028814)</f>
        <v>-5.547404208</v>
      </c>
      <c r="G268" s="23">
        <f>IFERROR(__xludf.DUMMYFUNCTION("""COMPUTED_VALUE"""),-0.29573410235710196)</f>
        <v>-0.2957341024</v>
      </c>
      <c r="H268" s="4"/>
      <c r="I268" s="5" t="s">
        <v>1175</v>
      </c>
      <c r="J268" s="5" t="s">
        <v>1314</v>
      </c>
      <c r="K268" s="5">
        <v>261.0</v>
      </c>
      <c r="L268" s="5">
        <v>-3.64395</v>
      </c>
      <c r="M268" s="5">
        <v>-1.88732</v>
      </c>
      <c r="N268" s="5">
        <v>-5.53127</v>
      </c>
      <c r="O268" s="5">
        <v>-0.29439</v>
      </c>
    </row>
    <row r="269">
      <c r="A269" s="12" t="str">
        <f>IFERROR(__xludf.DUMMYFUNCTION("""COMPUTED_VALUE"""),"Ben Bentil")</f>
        <v>Ben Bentil</v>
      </c>
      <c r="B269" s="13" t="str">
        <f>IFERROR(__xludf.DUMMYFUNCTION("""COMPUTED_VALUE"""),"RCB")</f>
        <v>RCB</v>
      </c>
      <c r="C269" s="14">
        <f>IFERROR(__xludf.DUMMYFUNCTION("""COMPUTED_VALUE"""),500.0)</f>
        <v>500</v>
      </c>
      <c r="D269" s="15">
        <f>IFERROR(__xludf.DUMMYFUNCTION("""COMPUTED_VALUE"""),-4.166355802540437)</f>
        <v>-4.166355803</v>
      </c>
      <c r="E269" s="15">
        <f>IFERROR(__xludf.DUMMYFUNCTION("""COMPUTED_VALUE"""),-1.5043917210809816)</f>
        <v>-1.504391721</v>
      </c>
      <c r="F269" s="15">
        <f>IFERROR(__xludf.DUMMYFUNCTION("""COMPUTED_VALUE"""),-5.670747523621419)</f>
        <v>-5.670747524</v>
      </c>
      <c r="G269" s="17">
        <f>IFERROR(__xludf.DUMMYFUNCTION("""COMPUTED_VALUE"""),-0.5595651712837528)</f>
        <v>-0.5595651713</v>
      </c>
      <c r="H269" s="4"/>
      <c r="I269" s="5" t="s">
        <v>1644</v>
      </c>
      <c r="J269" s="5" t="s">
        <v>1308</v>
      </c>
      <c r="K269" s="5">
        <v>314.0</v>
      </c>
      <c r="L269" s="5">
        <v>-4.5432</v>
      </c>
      <c r="M269" s="5">
        <v>-1.08863</v>
      </c>
      <c r="N269" s="5">
        <v>-5.63183</v>
      </c>
      <c r="O269" s="5">
        <v>-0.34905</v>
      </c>
    </row>
    <row r="270">
      <c r="A270" s="18" t="str">
        <f>IFERROR(__xludf.DUMMYFUNCTION("""COMPUTED_VALUE"""),"Benoit Mangin")</f>
        <v>Benoit Mangin</v>
      </c>
      <c r="B270" s="19" t="str">
        <f>IFERROR(__xludf.DUMMYFUNCTION("""COMPUTED_VALUE"""),"PORT")</f>
        <v>PORT</v>
      </c>
      <c r="C270" s="20">
        <f>IFERROR(__xludf.DUMMYFUNCTION("""COMPUTED_VALUE"""),484.0)</f>
        <v>484</v>
      </c>
      <c r="D270" s="21">
        <f>IFERROR(__xludf.DUMMYFUNCTION("""COMPUTED_VALUE"""),-5.252230341191165)</f>
        <v>-5.252230341</v>
      </c>
      <c r="E270" s="21">
        <f>IFERROR(__xludf.DUMMYFUNCTION("""COMPUTED_VALUE"""),-0.49161136596216526)</f>
        <v>-0.491611366</v>
      </c>
      <c r="F270" s="21">
        <f>IFERROR(__xludf.DUMMYFUNCTION("""COMPUTED_VALUE"""),-5.74384170715333)</f>
        <v>-5.743841707</v>
      </c>
      <c r="G270" s="23">
        <f>IFERROR(__xludf.DUMMYFUNCTION("""COMPUTED_VALUE"""),-0.5488130835478559)</f>
        <v>-0.5488130835</v>
      </c>
      <c r="H270" s="4"/>
      <c r="I270" s="5" t="s">
        <v>603</v>
      </c>
      <c r="J270" s="5" t="s">
        <v>1367</v>
      </c>
      <c r="K270" s="5">
        <v>500.0</v>
      </c>
      <c r="L270" s="5">
        <v>-4.21445</v>
      </c>
      <c r="M270" s="5">
        <v>-1.4587</v>
      </c>
      <c r="N270" s="5">
        <v>-5.67316</v>
      </c>
      <c r="O270" s="5">
        <v>-0.55993</v>
      </c>
    </row>
    <row r="271">
      <c r="A271" s="12" t="str">
        <f>IFERROR(__xludf.DUMMYFUNCTION("""COMPUTED_VALUE"""),"Steve Taylor, Jr.")</f>
        <v>Steve Taylor, Jr.</v>
      </c>
      <c r="B271" s="13" t="str">
        <f>IFERROR(__xludf.DUMMYFUNCTION("""COMPUTED_VALUE"""),"DIJ")</f>
        <v>DIJ</v>
      </c>
      <c r="C271" s="14">
        <f>IFERROR(__xludf.DUMMYFUNCTION("""COMPUTED_VALUE"""),314.0)</f>
        <v>314</v>
      </c>
      <c r="D271" s="15">
        <f>IFERROR(__xludf.DUMMYFUNCTION("""COMPUTED_VALUE"""),-4.572134552799939)</f>
        <v>-4.572134553</v>
      </c>
      <c r="E271" s="15">
        <f>IFERROR(__xludf.DUMMYFUNCTION("""COMPUTED_VALUE"""),-1.2277607004273898)</f>
        <v>-1.2277607</v>
      </c>
      <c r="F271" s="15">
        <f>IFERROR(__xludf.DUMMYFUNCTION("""COMPUTED_VALUE"""),-5.799895253227329)</f>
        <v>-5.799895253</v>
      </c>
      <c r="G271" s="17">
        <f>IFERROR(__xludf.DUMMYFUNCTION("""COMPUTED_VALUE"""),-0.365777154328044)</f>
        <v>-0.3657771543</v>
      </c>
      <c r="H271" s="4"/>
      <c r="I271" s="5" t="s">
        <v>1647</v>
      </c>
      <c r="J271" s="5" t="s">
        <v>1348</v>
      </c>
      <c r="K271" s="5">
        <v>484.0</v>
      </c>
      <c r="L271" s="5">
        <v>-5.29361</v>
      </c>
      <c r="M271" s="5">
        <v>-0.44712</v>
      </c>
      <c r="N271" s="5">
        <v>-5.74073</v>
      </c>
      <c r="O271" s="5">
        <v>-0.54836</v>
      </c>
    </row>
    <row r="272">
      <c r="A272" s="18" t="str">
        <f>IFERROR(__xludf.DUMMYFUNCTION("""COMPUTED_VALUE"""),"J.R. Reynolds")</f>
        <v>J.R. Reynolds</v>
      </c>
      <c r="B272" s="19" t="str">
        <f>IFERROR(__xludf.DUMMYFUNCTION("""COMPUTED_VALUE"""),"GRV")</f>
        <v>GRV</v>
      </c>
      <c r="C272" s="20">
        <f>IFERROR(__xludf.DUMMYFUNCTION("""COMPUTED_VALUE"""),330.0)</f>
        <v>330</v>
      </c>
      <c r="D272" s="21">
        <f>IFERROR(__xludf.DUMMYFUNCTION("""COMPUTED_VALUE"""),-3.0801986366945853)</f>
        <v>-3.080198637</v>
      </c>
      <c r="E272" s="21">
        <f>IFERROR(__xludf.DUMMYFUNCTION("""COMPUTED_VALUE"""),-2.8688784112419885)</f>
        <v>-2.868878411</v>
      </c>
      <c r="F272" s="21">
        <f>IFERROR(__xludf.DUMMYFUNCTION("""COMPUTED_VALUE"""),-5.949077047936574)</f>
        <v>-5.949077048</v>
      </c>
      <c r="G272" s="23">
        <f>IFERROR(__xludf.DUMMYFUNCTION("""COMPUTED_VALUE"""),-0.41625529450327375)</f>
        <v>-0.4162552945</v>
      </c>
      <c r="H272" s="4"/>
      <c r="I272" s="5" t="s">
        <v>1648</v>
      </c>
      <c r="J272" s="5" t="s">
        <v>1314</v>
      </c>
      <c r="K272" s="5">
        <v>330.0</v>
      </c>
      <c r="L272" s="5">
        <v>-3.10658</v>
      </c>
      <c r="M272" s="5">
        <v>-2.82179</v>
      </c>
      <c r="N272" s="5">
        <v>-5.92837</v>
      </c>
      <c r="O272" s="5">
        <v>-0.41407</v>
      </c>
    </row>
    <row r="273">
      <c r="A273" s="12" t="str">
        <f>IFERROR(__xludf.DUMMYFUNCTION("""COMPUTED_VALUE"""),"Giovan Oniangue")</f>
        <v>Giovan Oniangue</v>
      </c>
      <c r="B273" s="13" t="str">
        <f>IFERROR(__xludf.DUMMYFUNCTION("""COMPUTED_VALUE"""),"BBD")</f>
        <v>BBD</v>
      </c>
      <c r="C273" s="14">
        <f>IFERROR(__xludf.DUMMYFUNCTION("""COMPUTED_VALUE"""),456.0)</f>
        <v>456</v>
      </c>
      <c r="D273" s="15">
        <f>IFERROR(__xludf.DUMMYFUNCTION("""COMPUTED_VALUE"""),-4.5922331580078755)</f>
        <v>-4.592233158</v>
      </c>
      <c r="E273" s="15">
        <f>IFERROR(__xludf.DUMMYFUNCTION("""COMPUTED_VALUE"""),-1.8750400109907712)</f>
        <v>-1.875040011</v>
      </c>
      <c r="F273" s="15">
        <f>IFERROR(__xludf.DUMMYFUNCTION("""COMPUTED_VALUE"""),-6.467273168998647)</f>
        <v>-6.467273169</v>
      </c>
      <c r="G273" s="17">
        <f>IFERROR(__xludf.DUMMYFUNCTION("""COMPUTED_VALUE"""),-0.6320301662587597)</f>
        <v>-0.6320301663</v>
      </c>
      <c r="H273" s="4"/>
      <c r="I273" s="5" t="s">
        <v>1650</v>
      </c>
      <c r="J273" s="5" t="s">
        <v>1384</v>
      </c>
      <c r="K273" s="5">
        <v>456.0</v>
      </c>
      <c r="L273" s="5">
        <v>-4.63691</v>
      </c>
      <c r="M273" s="5">
        <v>-1.82996</v>
      </c>
      <c r="N273" s="5">
        <v>-6.46688</v>
      </c>
      <c r="O273" s="5">
        <v>-0.63197</v>
      </c>
    </row>
    <row r="274">
      <c r="A274" s="18" t="str">
        <f>IFERROR(__xludf.DUMMYFUNCTION("""COMPUTED_VALUE"""),"Sylvain Francisco")</f>
        <v>Sylvain Francisco</v>
      </c>
      <c r="B274" s="19" t="str">
        <f>IFERROR(__xludf.DUMMYFUNCTION("""COMPUTED_VALUE"""),"PLV")</f>
        <v>PLV</v>
      </c>
      <c r="C274" s="20">
        <f>IFERROR(__xludf.DUMMYFUNCTION("""COMPUTED_VALUE"""),304.0)</f>
        <v>304</v>
      </c>
      <c r="D274" s="21">
        <f>IFERROR(__xludf.DUMMYFUNCTION("""COMPUTED_VALUE"""),-5.4010610967628825)</f>
        <v>-5.401061097</v>
      </c>
      <c r="E274" s="21">
        <f>IFERROR(__xludf.DUMMYFUNCTION("""COMPUTED_VALUE"""),-1.2849761115962917)</f>
        <v>-1.284976112</v>
      </c>
      <c r="F274" s="21">
        <f>IFERROR(__xludf.DUMMYFUNCTION("""COMPUTED_VALUE"""),-6.686037208359174)</f>
        <v>-6.686037208</v>
      </c>
      <c r="G274" s="23">
        <f>IFERROR(__xludf.DUMMYFUNCTION("""COMPUTED_VALUE"""),-0.440600682854059)</f>
        <v>-0.4406006829</v>
      </c>
      <c r="H274" s="4"/>
      <c r="I274" s="5" t="s">
        <v>1651</v>
      </c>
      <c r="J274" s="5" t="s">
        <v>1355</v>
      </c>
      <c r="K274" s="5">
        <v>304.0</v>
      </c>
      <c r="L274" s="5">
        <v>-5.45427</v>
      </c>
      <c r="M274" s="5">
        <v>-1.24781</v>
      </c>
      <c r="N274" s="5">
        <v>-6.70209</v>
      </c>
      <c r="O274" s="5">
        <v>-0.44211</v>
      </c>
    </row>
    <row r="275">
      <c r="A275" s="12" t="str">
        <f>IFERROR(__xludf.DUMMYFUNCTION("""COMPUTED_VALUE"""),"Arnaud Kerckhof")</f>
        <v>Arnaud Kerckhof</v>
      </c>
      <c r="B275" s="13" t="str">
        <f>IFERROR(__xludf.DUMMYFUNCTION("""COMPUTED_VALUE"""),"BBD")</f>
        <v>BBD</v>
      </c>
      <c r="C275" s="14">
        <f>IFERROR(__xludf.DUMMYFUNCTION("""COMPUTED_VALUE"""),427.0)</f>
        <v>427</v>
      </c>
      <c r="D275" s="15">
        <f>IFERROR(__xludf.DUMMYFUNCTION("""COMPUTED_VALUE"""),-5.469163897836267)</f>
        <v>-5.469163898</v>
      </c>
      <c r="E275" s="15">
        <f>IFERROR(__xludf.DUMMYFUNCTION("""COMPUTED_VALUE"""),-2.186369559993328)</f>
        <v>-2.18636956</v>
      </c>
      <c r="F275" s="15">
        <f>IFERROR(__xludf.DUMMYFUNCTION("""COMPUTED_VALUE"""),-7.655533457829595)</f>
        <v>-7.655533458</v>
      </c>
      <c r="G275" s="17">
        <f>IFERROR(__xludf.DUMMYFUNCTION("""COMPUTED_VALUE"""),-0.749258891945593)</f>
        <v>-0.7492588919</v>
      </c>
      <c r="H275" s="4"/>
      <c r="I275" s="5" t="s">
        <v>1654</v>
      </c>
      <c r="J275" s="5" t="s">
        <v>1384</v>
      </c>
      <c r="K275" s="5">
        <v>427.0</v>
      </c>
      <c r="L275" s="5">
        <v>-5.50849</v>
      </c>
      <c r="M275" s="5">
        <v>-2.14224</v>
      </c>
      <c r="N275" s="5">
        <v>-7.65073</v>
      </c>
      <c r="O275" s="5">
        <v>-0.74862</v>
      </c>
    </row>
    <row r="276">
      <c r="A276" s="18" t="str">
        <f>IFERROR(__xludf.DUMMYFUNCTION("""COMPUTED_VALUE"""),"Diawara Dyke")</f>
        <v>Diawara Dyke</v>
      </c>
      <c r="B276" s="19" t="str">
        <f>IFERROR(__xludf.DUMMYFUNCTION("""COMPUTED_VALUE"""),"HYT")</f>
        <v>HYT</v>
      </c>
      <c r="C276" s="20">
        <f>IFERROR(__xludf.DUMMYFUNCTION("""COMPUTED_VALUE"""),334.0)</f>
        <v>334</v>
      </c>
      <c r="D276" s="21">
        <f>IFERROR(__xludf.DUMMYFUNCTION("""COMPUTED_VALUE"""),-8.255062910920655)</f>
        <v>-8.255062911</v>
      </c>
      <c r="E276" s="21">
        <f>IFERROR(__xludf.DUMMYFUNCTION("""COMPUTED_VALUE"""),-2.4351728276053173)</f>
        <v>-2.435172828</v>
      </c>
      <c r="F276" s="21">
        <f>IFERROR(__xludf.DUMMYFUNCTION("""COMPUTED_VALUE"""),-10.690235738525972)</f>
        <v>-10.69023574</v>
      </c>
      <c r="G276" s="23">
        <f>IFERROR(__xludf.DUMMYFUNCTION("""COMPUTED_VALUE"""),-0.8978600949725687)</f>
        <v>-0.897860095</v>
      </c>
      <c r="H276" s="4"/>
      <c r="I276" s="5" t="s">
        <v>1655</v>
      </c>
      <c r="J276" s="5" t="s">
        <v>1457</v>
      </c>
      <c r="K276" s="5">
        <v>334.0</v>
      </c>
      <c r="L276" s="5">
        <v>-8.30715</v>
      </c>
      <c r="M276" s="5">
        <v>-2.39056</v>
      </c>
      <c r="N276" s="5">
        <v>-10.69771</v>
      </c>
      <c r="O276" s="5">
        <v>-0.89863</v>
      </c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3D85C6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1539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IFERROR(__xludf.DUMMYFUNCTION("IMPORTRANGE(""https://docs.google.com/spreadsheets/d/1I3kA3VFtObr-q6VRNbNJgNNu4uMLV65RDNKafT2X0Ig/edit#gid=1120027332"",""Leaders!A3:G502"")"),"Glen Rice")</f>
        <v>Glen Rice</v>
      </c>
      <c r="B3" s="13" t="str">
        <f>IFERROR(__xludf.DUMMYFUNCTION("""COMPUTED_VALUE"""),"HAP")</f>
        <v>HAP</v>
      </c>
      <c r="C3" s="14">
        <f>IFERROR(__xludf.DUMMYFUNCTION("""COMPUTED_VALUE"""),604.0)</f>
        <v>604</v>
      </c>
      <c r="D3" s="15">
        <f>IFERROR(__xludf.DUMMYFUNCTION("""COMPUTED_VALUE"""),5.217088208842523)</f>
        <v>5.217088209</v>
      </c>
      <c r="E3" s="15">
        <f>IFERROR(__xludf.DUMMYFUNCTION("""COMPUTED_VALUE"""),1.59226082387847)</f>
        <v>1.592260824</v>
      </c>
      <c r="F3" s="15">
        <f>IFERROR(__xludf.DUMMYFUNCTION("""COMPUTED_VALUE"""),6.809349032720993)</f>
        <v>6.809349033</v>
      </c>
      <c r="G3" s="17">
        <f>IFERROR(__xludf.DUMMYFUNCTION("""COMPUTED_VALUE"""),3.268623151410762)</f>
        <v>3.268623151</v>
      </c>
      <c r="H3" s="4"/>
      <c r="I3" s="5" t="s">
        <v>1542</v>
      </c>
      <c r="J3" s="5" t="s">
        <v>1543</v>
      </c>
      <c r="K3" s="24">
        <v>583.0</v>
      </c>
      <c r="L3" s="5">
        <v>5.624661</v>
      </c>
      <c r="M3" s="5">
        <v>1.898956</v>
      </c>
      <c r="N3" s="5">
        <v>7.523618</v>
      </c>
      <c r="O3" s="5">
        <v>3.410647</v>
      </c>
    </row>
    <row r="4">
      <c r="A4" s="18" t="str">
        <f>IFERROR(__xludf.DUMMYFUNCTION("""COMPUTED_VALUE"""),"Jordan Loyd")</f>
        <v>Jordan Loyd</v>
      </c>
      <c r="B4" s="19" t="str">
        <f>IFERROR(__xludf.DUMMYFUNCTION("""COMPUTED_VALUE"""),"EIL")</f>
        <v>EIL</v>
      </c>
      <c r="C4" s="20">
        <f>IFERROR(__xludf.DUMMYFUNCTION("""COMPUTED_VALUE"""),1266.0)</f>
        <v>1266</v>
      </c>
      <c r="D4" s="21">
        <f>IFERROR(__xludf.DUMMYFUNCTION("""COMPUTED_VALUE"""),5.423188081107193)</f>
        <v>5.423188081</v>
      </c>
      <c r="E4" s="21">
        <f>IFERROR(__xludf.DUMMYFUNCTION("""COMPUTED_VALUE"""),0.588296992702606)</f>
        <v>0.5882969927</v>
      </c>
      <c r="F4" s="21">
        <f>IFERROR(__xludf.DUMMYFUNCTION("""COMPUTED_VALUE"""),6.011485073809799)</f>
        <v>6.011485074</v>
      </c>
      <c r="G4" s="23">
        <f>IFERROR(__xludf.DUMMYFUNCTION("""COMPUTED_VALUE"""),3.1042873729289537)</f>
        <v>3.104287373</v>
      </c>
      <c r="H4" s="4"/>
      <c r="I4" s="5" t="s">
        <v>1545</v>
      </c>
      <c r="J4" s="5" t="s">
        <v>1546</v>
      </c>
      <c r="K4" s="24">
        <v>1059.0</v>
      </c>
      <c r="L4" s="5">
        <v>4.957545</v>
      </c>
      <c r="M4" s="5">
        <v>0.45914</v>
      </c>
      <c r="N4" s="5">
        <v>5.416685</v>
      </c>
      <c r="O4" s="5">
        <v>2.401348</v>
      </c>
    </row>
    <row r="5">
      <c r="A5" s="12" t="str">
        <f>IFERROR(__xludf.DUMMYFUNCTION("""COMPUTED_VALUE"""),"John DiBartolomeo")</f>
        <v>John DiBartolomeo</v>
      </c>
      <c r="B5" s="13" t="str">
        <f>IFERROR(__xludf.DUMMYFUNCTION("""COMPUTED_VALUE"""),"MAC")</f>
        <v>MAC</v>
      </c>
      <c r="C5" s="14">
        <f>IFERROR(__xludf.DUMMYFUNCTION("""COMPUTED_VALUE"""),908.0)</f>
        <v>908</v>
      </c>
      <c r="D5" s="15">
        <f>IFERROR(__xludf.DUMMYFUNCTION("""COMPUTED_VALUE"""),4.165117050285772)</f>
        <v>4.16511705</v>
      </c>
      <c r="E5" s="15">
        <f>IFERROR(__xludf.DUMMYFUNCTION("""COMPUTED_VALUE"""),1.5625461887935108)</f>
        <v>1.562546189</v>
      </c>
      <c r="F5" s="15">
        <f>IFERROR(__xludf.DUMMYFUNCTION("""COMPUTED_VALUE"""),5.727663239079283)</f>
        <v>5.727663239</v>
      </c>
      <c r="G5" s="17">
        <f>IFERROR(__xludf.DUMMYFUNCTION("""COMPUTED_VALUE"""),2.1329538806947896)</f>
        <v>2.132953881</v>
      </c>
      <c r="H5" s="4"/>
      <c r="I5" s="5" t="s">
        <v>455</v>
      </c>
      <c r="J5" s="5" t="s">
        <v>64</v>
      </c>
      <c r="K5" s="5">
        <v>820.0</v>
      </c>
      <c r="L5" s="5">
        <v>4.003638</v>
      </c>
      <c r="M5" s="5">
        <v>1.038007</v>
      </c>
      <c r="N5" s="5">
        <v>5.041645</v>
      </c>
      <c r="O5" s="5">
        <v>1.753016</v>
      </c>
    </row>
    <row r="6">
      <c r="A6" s="18" t="str">
        <f>IFERROR(__xludf.DUMMYFUNCTION("""COMPUTED_VALUE"""),"Alex Tyus")</f>
        <v>Alex Tyus</v>
      </c>
      <c r="B6" s="19" t="str">
        <f>IFERROR(__xludf.DUMMYFUNCTION("""COMPUTED_VALUE"""),"MAC")</f>
        <v>MAC</v>
      </c>
      <c r="C6" s="20">
        <f>IFERROR(__xludf.DUMMYFUNCTION("""COMPUTED_VALUE"""),751.0)</f>
        <v>751</v>
      </c>
      <c r="D6" s="21">
        <f>IFERROR(__xludf.DUMMYFUNCTION("""COMPUTED_VALUE"""),2.001454077139822)</f>
        <v>2.001454077</v>
      </c>
      <c r="E6" s="21">
        <f>IFERROR(__xludf.DUMMYFUNCTION("""COMPUTED_VALUE"""),2.8409199069728737)</f>
        <v>2.840919907</v>
      </c>
      <c r="F6" s="21">
        <f>IFERROR(__xludf.DUMMYFUNCTION("""COMPUTED_VALUE"""),4.842373984112696)</f>
        <v>4.842373984</v>
      </c>
      <c r="G6" s="23">
        <f>IFERROR(__xludf.DUMMYFUNCTION("""COMPUTED_VALUE"""),1.5620472747704293)</f>
        <v>1.562047275</v>
      </c>
      <c r="H6" s="4"/>
      <c r="I6" s="5" t="s">
        <v>1550</v>
      </c>
      <c r="J6" s="5" t="s">
        <v>1543</v>
      </c>
      <c r="K6" s="5">
        <v>257.0</v>
      </c>
      <c r="L6" s="5">
        <v>4.832399</v>
      </c>
      <c r="M6" s="5">
        <v>0.101733</v>
      </c>
      <c r="N6" s="5">
        <v>4.934132</v>
      </c>
      <c r="O6" s="5">
        <v>1.094691</v>
      </c>
    </row>
    <row r="7">
      <c r="A7" s="12" t="str">
        <f>IFERROR(__xludf.DUMMYFUNCTION("""COMPUTED_VALUE"""),"Richard Howell")</f>
        <v>Richard Howell</v>
      </c>
      <c r="B7" s="13" t="str">
        <f>IFERROR(__xludf.DUMMYFUNCTION("""COMPUTED_VALUE"""),"HAPJ")</f>
        <v>HAPJ</v>
      </c>
      <c r="C7" s="14">
        <f>IFERROR(__xludf.DUMMYFUNCTION("""COMPUTED_VALUE"""),742.0)</f>
        <v>742</v>
      </c>
      <c r="D7" s="15">
        <f>IFERROR(__xludf.DUMMYFUNCTION("""COMPUTED_VALUE"""),1.7377310253045315)</f>
        <v>1.737731025</v>
      </c>
      <c r="E7" s="15">
        <f>IFERROR(__xludf.DUMMYFUNCTION("""COMPUTED_VALUE"""),2.930852661589435)</f>
        <v>2.930852662</v>
      </c>
      <c r="F7" s="15">
        <f>IFERROR(__xludf.DUMMYFUNCTION("""COMPUTED_VALUE"""),4.6685836868939665)</f>
        <v>4.668583687</v>
      </c>
      <c r="G7" s="17">
        <f>IFERROR(__xludf.DUMMYFUNCTION("""COMPUTED_VALUE"""),1.495380786484858)</f>
        <v>1.495380786</v>
      </c>
      <c r="H7" s="4"/>
      <c r="I7" s="5" t="s">
        <v>1553</v>
      </c>
      <c r="J7" s="5" t="s">
        <v>1554</v>
      </c>
      <c r="K7" s="24">
        <v>973.0</v>
      </c>
      <c r="L7" s="5">
        <v>3.368301</v>
      </c>
      <c r="M7" s="5">
        <v>1.546857</v>
      </c>
      <c r="N7" s="5">
        <v>4.915158</v>
      </c>
      <c r="O7" s="5">
        <v>2.118041</v>
      </c>
    </row>
    <row r="8">
      <c r="A8" s="18" t="str">
        <f>IFERROR(__xludf.DUMMYFUNCTION("""COMPUTED_VALUE"""),"Artsiom Parakhouski")</f>
        <v>Artsiom Parakhouski</v>
      </c>
      <c r="B8" s="19" t="str">
        <f>IFERROR(__xludf.DUMMYFUNCTION("""COMPUTED_VALUE"""),"MAC")</f>
        <v>MAC</v>
      </c>
      <c r="C8" s="20">
        <f>IFERROR(__xludf.DUMMYFUNCTION("""COMPUTED_VALUE"""),186.0)</f>
        <v>186</v>
      </c>
      <c r="D8" s="21">
        <f>IFERROR(__xludf.DUMMYFUNCTION("""COMPUTED_VALUE"""),2.2723669864342626)</f>
        <v>2.272366986</v>
      </c>
      <c r="E8" s="21">
        <f>IFERROR(__xludf.DUMMYFUNCTION("""COMPUTED_VALUE"""),2.271639731385618)</f>
        <v>2.271639731</v>
      </c>
      <c r="F8" s="21">
        <f>IFERROR(__xludf.DUMMYFUNCTION("""COMPUTED_VALUE"""),4.54400671781988)</f>
        <v>4.544006718</v>
      </c>
      <c r="G8" s="23">
        <f>IFERROR(__xludf.DUMMYFUNCTION("""COMPUTED_VALUE"""),0.3700020322428347)</f>
        <v>0.3700020322</v>
      </c>
      <c r="H8" s="4"/>
      <c r="I8" s="5" t="s">
        <v>1556</v>
      </c>
      <c r="J8" s="5" t="s">
        <v>1543</v>
      </c>
      <c r="K8" s="5">
        <v>722.0</v>
      </c>
      <c r="L8" s="5">
        <v>1.162337</v>
      </c>
      <c r="M8" s="5">
        <v>3.611682</v>
      </c>
      <c r="N8" s="5">
        <v>4.774019</v>
      </c>
      <c r="O8" s="5">
        <v>3.004346</v>
      </c>
    </row>
    <row r="9">
      <c r="A9" s="12" t="str">
        <f>IFERROR(__xludf.DUMMYFUNCTION("""COMPUTED_VALUE"""),"Jake Cohen")</f>
        <v>Jake Cohen</v>
      </c>
      <c r="B9" s="13" t="str">
        <f>IFERROR(__xludf.DUMMYFUNCTION("""COMPUTED_VALUE"""),"MAC")</f>
        <v>MAC</v>
      </c>
      <c r="C9" s="14">
        <f>IFERROR(__xludf.DUMMYFUNCTION("""COMPUTED_VALUE"""),754.0)</f>
        <v>754</v>
      </c>
      <c r="D9" s="15">
        <f>IFERROR(__xludf.DUMMYFUNCTION("""COMPUTED_VALUE"""),2.9950772768412937)</f>
        <v>2.995077277</v>
      </c>
      <c r="E9" s="15">
        <f>IFERROR(__xludf.DUMMYFUNCTION("""COMPUTED_VALUE"""),1.5137025542894267)</f>
        <v>1.513702554</v>
      </c>
      <c r="F9" s="15">
        <f>IFERROR(__xludf.DUMMYFUNCTION("""COMPUTED_VALUE"""),4.50877983113072)</f>
        <v>4.508779831</v>
      </c>
      <c r="G9" s="17">
        <f>IFERROR(__xludf.DUMMYFUNCTION("""COMPUTED_VALUE"""),1.4918266315572744)</f>
        <v>1.491826632</v>
      </c>
      <c r="H9" s="4"/>
      <c r="I9" s="5" t="s">
        <v>389</v>
      </c>
      <c r="J9" s="5" t="s">
        <v>64</v>
      </c>
      <c r="K9" s="5">
        <v>567.0</v>
      </c>
      <c r="L9" s="5">
        <v>1.990363</v>
      </c>
      <c r="M9" s="5">
        <v>2.677742</v>
      </c>
      <c r="N9" s="5">
        <v>4.668105</v>
      </c>
      <c r="O9" s="5">
        <v>1.147845</v>
      </c>
    </row>
    <row r="10">
      <c r="A10" s="18" t="str">
        <f>IFERROR(__xludf.DUMMYFUNCTION("""COMPUTED_VALUE"""),"Cam Long")</f>
        <v>Cam Long</v>
      </c>
      <c r="B10" s="19" t="str">
        <f>IFERROR(__xludf.DUMMYFUNCTION("""COMPUTED_VALUE"""),"ASH")</f>
        <v>ASH</v>
      </c>
      <c r="C10" s="20">
        <f>IFERROR(__xludf.DUMMYFUNCTION("""COMPUTED_VALUE"""),1135.0)</f>
        <v>1135</v>
      </c>
      <c r="D10" s="21">
        <f>IFERROR(__xludf.DUMMYFUNCTION("""COMPUTED_VALUE"""),2.959137721586149)</f>
        <v>2.959137722</v>
      </c>
      <c r="E10" s="21">
        <f>IFERROR(__xludf.DUMMYFUNCTION("""COMPUTED_VALUE"""),1.5376583026966246)</f>
        <v>1.537658303</v>
      </c>
      <c r="F10" s="21">
        <f>IFERROR(__xludf.DUMMYFUNCTION("""COMPUTED_VALUE"""),4.496796024282774)</f>
        <v>4.496796024</v>
      </c>
      <c r="G10" s="23">
        <f>IFERROR(__xludf.DUMMYFUNCTION("""COMPUTED_VALUE"""),2.313790741203527)</f>
        <v>2.313790741</v>
      </c>
      <c r="H10" s="4"/>
      <c r="I10" s="5" t="s">
        <v>1559</v>
      </c>
      <c r="J10" s="5" t="s">
        <v>1554</v>
      </c>
      <c r="K10" s="24">
        <v>1092.0</v>
      </c>
      <c r="L10" s="5">
        <v>5.611076</v>
      </c>
      <c r="M10" s="5">
        <v>-0.999155</v>
      </c>
      <c r="N10" s="5">
        <v>4.611921</v>
      </c>
      <c r="O10" s="5">
        <v>2.272845</v>
      </c>
    </row>
    <row r="11">
      <c r="A11" s="12" t="str">
        <f>IFERROR(__xludf.DUMMYFUNCTION("""COMPUTED_VALUE"""),"Michael Roll")</f>
        <v>Michael Roll</v>
      </c>
      <c r="B11" s="13" t="str">
        <f>IFERROR(__xludf.DUMMYFUNCTION("""COMPUTED_VALUE"""),"MAC")</f>
        <v>MAC</v>
      </c>
      <c r="C11" s="14">
        <f>IFERROR(__xludf.DUMMYFUNCTION("""COMPUTED_VALUE"""),807.0)</f>
        <v>807</v>
      </c>
      <c r="D11" s="15">
        <f>IFERROR(__xludf.DUMMYFUNCTION("""COMPUTED_VALUE"""),4.899322179178253)</f>
        <v>4.899322179</v>
      </c>
      <c r="E11" s="15">
        <f>IFERROR(__xludf.DUMMYFUNCTION("""COMPUTED_VALUE"""),-0.4330071502673922)</f>
        <v>-0.4330071503</v>
      </c>
      <c r="F11" s="15">
        <f>IFERROR(__xludf.DUMMYFUNCTION("""COMPUTED_VALUE"""),4.466315028910861)</f>
        <v>4.466315029</v>
      </c>
      <c r="G11" s="17">
        <f>IFERROR(__xludf.DUMMYFUNCTION("""COMPUTED_VALUE"""),1.5862725991285198)</f>
        <v>1.586272599</v>
      </c>
      <c r="H11" s="4"/>
      <c r="I11" s="5" t="s">
        <v>107</v>
      </c>
      <c r="J11" s="5" t="s">
        <v>64</v>
      </c>
      <c r="K11" s="5">
        <v>186.0</v>
      </c>
      <c r="L11" s="5">
        <v>2.272502</v>
      </c>
      <c r="M11" s="5">
        <v>2.161477</v>
      </c>
      <c r="N11" s="5">
        <v>4.433979</v>
      </c>
      <c r="O11" s="5">
        <v>0.363321</v>
      </c>
    </row>
    <row r="12">
      <c r="A12" s="18" t="str">
        <f>IFERROR(__xludf.DUMMYFUNCTION("""COMPUTED_VALUE"""),"TaShawn Thomas")</f>
        <v>TaShawn Thomas</v>
      </c>
      <c r="B12" s="19" t="str">
        <f>IFERROR(__xludf.DUMMYFUNCTION("""COMPUTED_VALUE"""),"HAP")</f>
        <v>HAP</v>
      </c>
      <c r="C12" s="20">
        <f>IFERROR(__xludf.DUMMYFUNCTION("""COMPUTED_VALUE"""),883.0)</f>
        <v>883</v>
      </c>
      <c r="D12" s="21">
        <f>IFERROR(__xludf.DUMMYFUNCTION("""COMPUTED_VALUE"""),2.1026913264758154)</f>
        <v>2.102691326</v>
      </c>
      <c r="E12" s="21">
        <f>IFERROR(__xludf.DUMMYFUNCTION("""COMPUTED_VALUE"""),2.205714689228418)</f>
        <v>2.205714689</v>
      </c>
      <c r="F12" s="21">
        <f>IFERROR(__xludf.DUMMYFUNCTION("""COMPUTED_VALUE"""),4.308406015704233)</f>
        <v>4.308406016</v>
      </c>
      <c r="G12" s="23">
        <f>IFERROR(__xludf.DUMMYFUNCTION("""COMPUTED_VALUE"""),3.421877335233896)</f>
        <v>3.421877335</v>
      </c>
      <c r="H12" s="4"/>
      <c r="I12" s="5" t="s">
        <v>1562</v>
      </c>
      <c r="J12" s="5" t="s">
        <v>1543</v>
      </c>
      <c r="K12" s="24">
        <v>689.0</v>
      </c>
      <c r="L12" s="5">
        <v>2.041209</v>
      </c>
      <c r="M12" s="5">
        <v>2.376619</v>
      </c>
      <c r="N12" s="5">
        <v>4.417828</v>
      </c>
      <c r="O12" s="5">
        <v>2.716274</v>
      </c>
    </row>
    <row r="13">
      <c r="A13" s="12" t="str">
        <f>IFERROR(__xludf.DUMMYFUNCTION("""COMPUTED_VALUE"""),"Murphy Holloway")</f>
        <v>Murphy Holloway</v>
      </c>
      <c r="B13" s="13" t="str">
        <f>IFERROR(__xludf.DUMMYFUNCTION("""COMPUTED_VALUE"""),"MRL")</f>
        <v>MRL</v>
      </c>
      <c r="C13" s="14">
        <f>IFERROR(__xludf.DUMMYFUNCTION("""COMPUTED_VALUE"""),959.0)</f>
        <v>959</v>
      </c>
      <c r="D13" s="15">
        <f>IFERROR(__xludf.DUMMYFUNCTION("""COMPUTED_VALUE"""),0.5113414204630107)</f>
        <v>0.5113414205</v>
      </c>
      <c r="E13" s="15">
        <f>IFERROR(__xludf.DUMMYFUNCTION("""COMPUTED_VALUE"""),3.329257656106651)</f>
        <v>3.329257656</v>
      </c>
      <c r="F13" s="15">
        <f>IFERROR(__xludf.DUMMYFUNCTION("""COMPUTED_VALUE"""),3.8405990765696614)</f>
        <v>3.840599077</v>
      </c>
      <c r="G13" s="17">
        <f>IFERROR(__xludf.DUMMYFUNCTION("""COMPUTED_VALUE"""),1.7326019288746002)</f>
        <v>1.732601929</v>
      </c>
      <c r="H13" s="4"/>
      <c r="I13" s="5" t="s">
        <v>424</v>
      </c>
      <c r="J13" s="5" t="s">
        <v>64</v>
      </c>
      <c r="K13" s="24">
        <v>641.0</v>
      </c>
      <c r="L13" s="5">
        <v>4.588598</v>
      </c>
      <c r="M13" s="5">
        <v>-0.297588</v>
      </c>
      <c r="N13" s="5">
        <v>4.291009</v>
      </c>
      <c r="O13" s="5">
        <v>1.224267</v>
      </c>
    </row>
    <row r="14">
      <c r="A14" s="18" t="str">
        <f>IFERROR(__xludf.DUMMYFUNCTION("""COMPUTED_VALUE"""),"Tony Gaffney")</f>
        <v>Tony Gaffney</v>
      </c>
      <c r="B14" s="19" t="str">
        <f>IFERROR(__xludf.DUMMYFUNCTION("""COMPUTED_VALUE"""),"HAP")</f>
        <v>HAP</v>
      </c>
      <c r="C14" s="20">
        <f>IFERROR(__xludf.DUMMYFUNCTION("""COMPUTED_VALUE"""),895.0)</f>
        <v>895</v>
      </c>
      <c r="D14" s="21">
        <f>IFERROR(__xludf.DUMMYFUNCTION("""COMPUTED_VALUE"""),0.7669696962969066)</f>
        <v>0.7669696963</v>
      </c>
      <c r="E14" s="21">
        <f>IFERROR(__xludf.DUMMYFUNCTION("""COMPUTED_VALUE"""),3.0385474271864963)</f>
        <v>3.038547427</v>
      </c>
      <c r="F14" s="21">
        <f>IFERROR(__xludf.DUMMYFUNCTION("""COMPUTED_VALUE"""),3.8055171234834027)</f>
        <v>3.805517123</v>
      </c>
      <c r="G14" s="23">
        <f>IFERROR(__xludf.DUMMYFUNCTION("""COMPUTED_VALUE"""),3.1918909259824138)</f>
        <v>3.191890926</v>
      </c>
      <c r="H14" s="4"/>
      <c r="I14" s="5" t="s">
        <v>1566</v>
      </c>
      <c r="J14" s="5" t="s">
        <v>1567</v>
      </c>
      <c r="K14" s="5">
        <v>938.0</v>
      </c>
      <c r="L14" s="5">
        <v>0.976639</v>
      </c>
      <c r="M14" s="5">
        <v>3.095323</v>
      </c>
      <c r="N14" s="5">
        <v>4.071962</v>
      </c>
      <c r="O14" s="5">
        <v>1.761758</v>
      </c>
    </row>
    <row r="15">
      <c r="A15" s="12" t="str">
        <f>IFERROR(__xludf.DUMMYFUNCTION("""COMPUTED_VALUE"""),"Sek Henry")</f>
        <v>Sek Henry</v>
      </c>
      <c r="B15" s="13" t="str">
        <f>IFERROR(__xludf.DUMMYFUNCTION("""COMPUTED_VALUE"""),"ASH")</f>
        <v>ASH</v>
      </c>
      <c r="C15" s="14">
        <f>IFERROR(__xludf.DUMMYFUNCTION("""COMPUTED_VALUE"""),1267.0)</f>
        <v>1267</v>
      </c>
      <c r="D15" s="15">
        <f>IFERROR(__xludf.DUMMYFUNCTION("""COMPUTED_VALUE"""),4.603366235778656)</f>
        <v>4.603366236</v>
      </c>
      <c r="E15" s="15">
        <f>IFERROR(__xludf.DUMMYFUNCTION("""COMPUTED_VALUE"""),-0.9668145734427984)</f>
        <v>-0.9668145734</v>
      </c>
      <c r="F15" s="15">
        <f>IFERROR(__xludf.DUMMYFUNCTION("""COMPUTED_VALUE"""),3.636551662335857)</f>
        <v>3.636551662</v>
      </c>
      <c r="G15" s="17">
        <f>IFERROR(__xludf.DUMMYFUNCTION("""COMPUTED_VALUE"""),2.240882538236055)</f>
        <v>2.240882538</v>
      </c>
      <c r="H15" s="4"/>
      <c r="I15" s="5" t="s">
        <v>1569</v>
      </c>
      <c r="J15" s="5" t="s">
        <v>1554</v>
      </c>
      <c r="K15" s="5">
        <v>315.0</v>
      </c>
      <c r="L15" s="5">
        <v>1.191327</v>
      </c>
      <c r="M15" s="5">
        <v>2.132617</v>
      </c>
      <c r="N15" s="5">
        <v>3.323945</v>
      </c>
      <c r="O15" s="5">
        <v>0.527915</v>
      </c>
    </row>
    <row r="16">
      <c r="A16" s="18" t="str">
        <f>IFERROR(__xludf.DUMMYFUNCTION("""COMPUTED_VALUE"""),"Ronald Roberts")</f>
        <v>Ronald Roberts</v>
      </c>
      <c r="B16" s="19" t="str">
        <f>IFERROR(__xludf.DUMMYFUNCTION("""COMPUTED_VALUE"""),"HAPJ")</f>
        <v>HAPJ</v>
      </c>
      <c r="C16" s="20">
        <f>IFERROR(__xludf.DUMMYFUNCTION("""COMPUTED_VALUE"""),659.0)</f>
        <v>659</v>
      </c>
      <c r="D16" s="21">
        <f>IFERROR(__xludf.DUMMYFUNCTION("""COMPUTED_VALUE"""),2.516363008035068)</f>
        <v>2.516363008</v>
      </c>
      <c r="E16" s="21">
        <f>IFERROR(__xludf.DUMMYFUNCTION("""COMPUTED_VALUE"""),1.1174585578145155)</f>
        <v>1.117458558</v>
      </c>
      <c r="F16" s="21">
        <f>IFERROR(__xludf.DUMMYFUNCTION("""COMPUTED_VALUE"""),3.6338215658495834)</f>
        <v>3.633821566</v>
      </c>
      <c r="G16" s="23">
        <f>IFERROR(__xludf.DUMMYFUNCTION("""COMPUTED_VALUE"""),1.1220256567742437)</f>
        <v>1.122025657</v>
      </c>
      <c r="H16" s="4"/>
      <c r="I16" s="5" t="s">
        <v>1571</v>
      </c>
      <c r="J16" s="5" t="s">
        <v>1572</v>
      </c>
      <c r="K16" s="24">
        <v>534.0</v>
      </c>
      <c r="L16" s="5">
        <v>2.306375</v>
      </c>
      <c r="M16" s="5">
        <v>0.907912</v>
      </c>
      <c r="N16" s="5">
        <v>3.214288</v>
      </c>
      <c r="O16" s="5">
        <v>0.843377</v>
      </c>
    </row>
    <row r="17">
      <c r="A17" s="12" t="str">
        <f>IFERROR(__xludf.DUMMYFUNCTION("""COMPUTED_VALUE"""),"Jordan Hamilton")</f>
        <v>Jordan Hamilton</v>
      </c>
      <c r="B17" s="13" t="str">
        <f>IFERROR(__xludf.DUMMYFUNCTION("""COMPUTED_VALUE"""),"HAP")</f>
        <v>HAP</v>
      </c>
      <c r="C17" s="14">
        <f>IFERROR(__xludf.DUMMYFUNCTION("""COMPUTED_VALUE"""),506.0)</f>
        <v>506</v>
      </c>
      <c r="D17" s="15">
        <f>IFERROR(__xludf.DUMMYFUNCTION("""COMPUTED_VALUE"""),3.1487190359038557)</f>
        <v>3.148719036</v>
      </c>
      <c r="E17" s="15">
        <f>IFERROR(__xludf.DUMMYFUNCTION("""COMPUTED_VALUE"""),0.4255062448951823)</f>
        <v>0.4255062449</v>
      </c>
      <c r="F17" s="15">
        <f>IFERROR(__xludf.DUMMYFUNCTION("""COMPUTED_VALUE"""),3.574225280799038)</f>
        <v>3.574225281</v>
      </c>
      <c r="G17" s="17">
        <f>IFERROR(__xludf.DUMMYFUNCTION("""COMPUTED_VALUE"""),1.7326830619348645)</f>
        <v>1.732683062</v>
      </c>
      <c r="H17" s="4"/>
      <c r="I17" s="5" t="s">
        <v>1574</v>
      </c>
      <c r="J17" s="5" t="s">
        <v>1572</v>
      </c>
      <c r="K17" s="5">
        <v>588.0</v>
      </c>
      <c r="L17" s="5">
        <v>0.362509</v>
      </c>
      <c r="M17" s="5">
        <v>2.843314</v>
      </c>
      <c r="N17" s="5">
        <v>3.205823</v>
      </c>
      <c r="O17" s="5">
        <v>0.927155</v>
      </c>
    </row>
    <row r="18">
      <c r="A18" s="18" t="str">
        <f>IFERROR(__xludf.DUMMYFUNCTION("""COMPUTED_VALUE"""),"Jonah Bolden")</f>
        <v>Jonah Bolden</v>
      </c>
      <c r="B18" s="19" t="str">
        <f>IFERROR(__xludf.DUMMYFUNCTION("""COMPUTED_VALUE"""),"MAC")</f>
        <v>MAC</v>
      </c>
      <c r="C18" s="20">
        <f>IFERROR(__xludf.DUMMYFUNCTION("""COMPUTED_VALUE"""),533.0)</f>
        <v>533</v>
      </c>
      <c r="D18" s="21">
        <f>IFERROR(__xludf.DUMMYFUNCTION("""COMPUTED_VALUE"""),-0.35044388767991363)</f>
        <v>-0.3504438877</v>
      </c>
      <c r="E18" s="21">
        <f>IFERROR(__xludf.DUMMYFUNCTION("""COMPUTED_VALUE"""),3.9220797832139613)</f>
        <v>3.922079783</v>
      </c>
      <c r="F18" s="21">
        <f>IFERROR(__xludf.DUMMYFUNCTION("""COMPUTED_VALUE"""),3.571635895534048)</f>
        <v>3.571635896</v>
      </c>
      <c r="G18" s="23">
        <f>IFERROR(__xludf.DUMMYFUNCTION("""COMPUTED_VALUE"""),0.9027289399960892)</f>
        <v>0.90272894</v>
      </c>
      <c r="H18" s="4"/>
      <c r="I18" s="5" t="s">
        <v>1575</v>
      </c>
      <c r="J18" s="5" t="s">
        <v>1543</v>
      </c>
      <c r="K18" s="24">
        <v>609.0</v>
      </c>
      <c r="L18" s="5">
        <v>1.468051</v>
      </c>
      <c r="M18" s="5">
        <v>1.675225</v>
      </c>
      <c r="N18" s="5">
        <v>3.143276</v>
      </c>
      <c r="O18" s="5">
        <v>1.924081</v>
      </c>
    </row>
    <row r="19">
      <c r="A19" s="12" t="str">
        <f>IFERROR(__xludf.DUMMYFUNCTION("""COMPUTED_VALUE"""),"David Laury")</f>
        <v>David Laury</v>
      </c>
      <c r="B19" s="13" t="str">
        <f>IFERROR(__xludf.DUMMYFUNCTION("""COMPUTED_VALUE"""),"ASH")</f>
        <v>ASH</v>
      </c>
      <c r="C19" s="14">
        <f>IFERROR(__xludf.DUMMYFUNCTION("""COMPUTED_VALUE"""),315.0)</f>
        <v>315</v>
      </c>
      <c r="D19" s="15">
        <f>IFERROR(__xludf.DUMMYFUNCTION("""COMPUTED_VALUE"""),0.9670554519973394)</f>
        <v>0.967055452</v>
      </c>
      <c r="E19" s="15">
        <f>IFERROR(__xludf.DUMMYFUNCTION("""COMPUTED_VALUE"""),2.130295189806211)</f>
        <v>2.13029519</v>
      </c>
      <c r="F19" s="15">
        <f>IFERROR(__xludf.DUMMYFUNCTION("""COMPUTED_VALUE"""),3.0973506418035504)</f>
        <v>3.097350642</v>
      </c>
      <c r="G19" s="17">
        <f>IFERROR(__xludf.DUMMYFUNCTION("""COMPUTED_VALUE"""),0.503830029259985)</f>
        <v>0.5038300293</v>
      </c>
      <c r="H19" s="4"/>
      <c r="I19" s="5" t="s">
        <v>63</v>
      </c>
      <c r="J19" s="5" t="s">
        <v>64</v>
      </c>
      <c r="K19" s="5">
        <v>503.0</v>
      </c>
      <c r="L19" s="5">
        <v>-0.610874</v>
      </c>
      <c r="M19" s="5">
        <v>3.713335</v>
      </c>
      <c r="N19" s="5">
        <v>3.102461</v>
      </c>
      <c r="O19" s="5">
        <v>0.779194</v>
      </c>
    </row>
    <row r="20">
      <c r="A20" s="18" t="str">
        <f>IFERROR(__xludf.DUMMYFUNCTION("""COMPUTED_VALUE"""),"Corey Walden")</f>
        <v>Corey Walden</v>
      </c>
      <c r="B20" s="19" t="str">
        <f>IFERROR(__xludf.DUMMYFUNCTION("""COMPUTED_VALUE"""),"HAP")</f>
        <v>HAP</v>
      </c>
      <c r="C20" s="20">
        <f>IFERROR(__xludf.DUMMYFUNCTION("""COMPUTED_VALUE"""),609.0)</f>
        <v>609</v>
      </c>
      <c r="D20" s="21">
        <f>IFERROR(__xludf.DUMMYFUNCTION("""COMPUTED_VALUE"""),1.470598484973123)</f>
        <v>1.470598485</v>
      </c>
      <c r="E20" s="21">
        <f>IFERROR(__xludf.DUMMYFUNCTION("""COMPUTED_VALUE"""),1.5318691509642333)</f>
        <v>1.531869151</v>
      </c>
      <c r="F20" s="21">
        <f>IFERROR(__xludf.DUMMYFUNCTION("""COMPUTED_VALUE"""),3.0024676359373563)</f>
        <v>3.002467636</v>
      </c>
      <c r="G20" s="23">
        <f>IFERROR(__xludf.DUMMYFUNCTION("""COMPUTED_VALUE"""),1.8714820959823057)</f>
        <v>1.871482096</v>
      </c>
      <c r="H20" s="4"/>
      <c r="I20" s="5" t="s">
        <v>1579</v>
      </c>
      <c r="J20" s="5" t="s">
        <v>1580</v>
      </c>
      <c r="K20" s="5">
        <v>851.0</v>
      </c>
      <c r="L20" s="5">
        <v>1.645114</v>
      </c>
      <c r="M20" s="5">
        <v>1.420399</v>
      </c>
      <c r="N20" s="5">
        <v>3.065513</v>
      </c>
      <c r="O20" s="5">
        <v>1.311589</v>
      </c>
    </row>
    <row r="21">
      <c r="A21" s="12" t="str">
        <f>IFERROR(__xludf.DUMMYFUNCTION("""COMPUTED_VALUE"""),"DeAndre Kane")</f>
        <v>DeAndre Kane</v>
      </c>
      <c r="B21" s="13" t="str">
        <f>IFERROR(__xludf.DUMMYFUNCTION("""COMPUTED_VALUE"""),"MAC")</f>
        <v>MAC</v>
      </c>
      <c r="C21" s="14">
        <f>IFERROR(__xludf.DUMMYFUNCTION("""COMPUTED_VALUE"""),678.0)</f>
        <v>678</v>
      </c>
      <c r="D21" s="15">
        <f>IFERROR(__xludf.DUMMYFUNCTION("""COMPUTED_VALUE"""),0.32033827471127774)</f>
        <v>0.3203382747</v>
      </c>
      <c r="E21" s="15">
        <f>IFERROR(__xludf.DUMMYFUNCTION("""COMPUTED_VALUE"""),2.5608038071129906)</f>
        <v>2.560803807</v>
      </c>
      <c r="F21" s="15">
        <f>IFERROR(__xludf.DUMMYFUNCTION("""COMPUTED_VALUE"""),2.8811420818242683)</f>
        <v>2.881142082</v>
      </c>
      <c r="G21" s="17">
        <f>IFERROR(__xludf.DUMMYFUNCTION("""COMPUTED_VALUE"""),1.0060013696916015)</f>
        <v>1.00600137</v>
      </c>
      <c r="H21" s="4"/>
      <c r="I21" s="5" t="s">
        <v>444</v>
      </c>
      <c r="J21" s="5" t="s">
        <v>64</v>
      </c>
      <c r="K21" s="5">
        <v>600.0</v>
      </c>
      <c r="L21" s="5">
        <v>2.10551</v>
      </c>
      <c r="M21" s="5">
        <v>0.834137</v>
      </c>
      <c r="N21" s="5">
        <v>2.939647</v>
      </c>
      <c r="O21" s="5">
        <v>0.899798</v>
      </c>
    </row>
    <row r="22">
      <c r="A22" s="18" t="str">
        <f>IFERROR(__xludf.DUMMYFUNCTION("""COMPUTED_VALUE"""),"Matt Howard")</f>
        <v>Matt Howard</v>
      </c>
      <c r="B22" s="19" t="str">
        <f>IFERROR(__xludf.DUMMYFUNCTION("""COMPUTED_VALUE"""),"HAP")</f>
        <v>HAP</v>
      </c>
      <c r="C22" s="20">
        <f>IFERROR(__xludf.DUMMYFUNCTION("""COMPUTED_VALUE"""),724.0)</f>
        <v>724</v>
      </c>
      <c r="D22" s="21">
        <f>IFERROR(__xludf.DUMMYFUNCTION("""COMPUTED_VALUE"""),2.5154584239746534)</f>
        <v>2.515458424</v>
      </c>
      <c r="E22" s="21">
        <f>IFERROR(__xludf.DUMMYFUNCTION("""COMPUTED_VALUE"""),0.33135829758757485)</f>
        <v>0.3313582976</v>
      </c>
      <c r="F22" s="21">
        <f>IFERROR(__xludf.DUMMYFUNCTION("""COMPUTED_VALUE"""),2.846816721562228)</f>
        <v>2.846816722</v>
      </c>
      <c r="G22" s="23">
        <f>IFERROR(__xludf.DUMMYFUNCTION("""COMPUTED_VALUE"""),2.1556550218776054)</f>
        <v>2.155655022</v>
      </c>
      <c r="H22" s="4"/>
      <c r="I22" s="5" t="s">
        <v>1584</v>
      </c>
      <c r="J22" s="5" t="s">
        <v>1567</v>
      </c>
      <c r="K22" s="5">
        <v>990.0</v>
      </c>
      <c r="L22" s="5">
        <v>2.765927</v>
      </c>
      <c r="M22" s="5">
        <v>0.080696</v>
      </c>
      <c r="N22" s="5">
        <v>2.846623</v>
      </c>
      <c r="O22" s="5">
        <v>1.484188</v>
      </c>
    </row>
    <row r="23">
      <c r="A23" s="12" t="str">
        <f>IFERROR(__xludf.DUMMYFUNCTION("""COMPUTED_VALUE"""),"Mark Tollefsen")</f>
        <v>Mark Tollefsen</v>
      </c>
      <c r="B23" s="13" t="str">
        <f>IFERROR(__xludf.DUMMYFUNCTION("""COMPUTED_VALUE"""),"MRL")</f>
        <v>MRL</v>
      </c>
      <c r="C23" s="14">
        <f>IFERROR(__xludf.DUMMYFUNCTION("""COMPUTED_VALUE"""),635.0)</f>
        <v>635</v>
      </c>
      <c r="D23" s="15">
        <f>IFERROR(__xludf.DUMMYFUNCTION("""COMPUTED_VALUE"""),2.650929484283416)</f>
        <v>2.650929484</v>
      </c>
      <c r="E23" s="15">
        <f>IFERROR(__xludf.DUMMYFUNCTION("""COMPUTED_VALUE"""),0.15116258999783527)</f>
        <v>0.15116259</v>
      </c>
      <c r="F23" s="15">
        <f>IFERROR(__xludf.DUMMYFUNCTION("""COMPUTED_VALUE"""),2.8020920742812514)</f>
        <v>2.802092074</v>
      </c>
      <c r="G23" s="17">
        <f>IFERROR(__xludf.DUMMYFUNCTION("""COMPUTED_VALUE"""),0.9432504022849555)</f>
        <v>0.9432504023</v>
      </c>
      <c r="H23" s="4"/>
      <c r="I23" s="5" t="s">
        <v>1585</v>
      </c>
      <c r="J23" s="5" t="s">
        <v>1543</v>
      </c>
      <c r="K23" s="24">
        <v>596.0</v>
      </c>
      <c r="L23" s="5">
        <v>2.606615</v>
      </c>
      <c r="M23" s="5">
        <v>0.184936</v>
      </c>
      <c r="N23" s="5">
        <v>2.791551</v>
      </c>
      <c r="O23" s="5">
        <v>1.754238</v>
      </c>
    </row>
    <row r="24">
      <c r="A24" s="18" t="str">
        <f>IFERROR(__xludf.DUMMYFUNCTION("""COMPUTED_VALUE"""),"Drew Crawford")</f>
        <v>Drew Crawford</v>
      </c>
      <c r="B24" s="19" t="str">
        <f>IFERROR(__xludf.DUMMYFUNCTION("""COMPUTED_VALUE"""),"MRL")</f>
        <v>MRL</v>
      </c>
      <c r="C24" s="20">
        <f>IFERROR(__xludf.DUMMYFUNCTION("""COMPUTED_VALUE"""),1022.0)</f>
        <v>1022</v>
      </c>
      <c r="D24" s="21">
        <f>IFERROR(__xludf.DUMMYFUNCTION("""COMPUTED_VALUE"""),2.4574892487502455)</f>
        <v>2.457489249</v>
      </c>
      <c r="E24" s="21">
        <f>IFERROR(__xludf.DUMMYFUNCTION("""COMPUTED_VALUE"""),0.26767651172534945)</f>
        <v>0.2676765117</v>
      </c>
      <c r="F24" s="21">
        <f>IFERROR(__xludf.DUMMYFUNCTION("""COMPUTED_VALUE"""),2.725165760475595)</f>
        <v>2.72516576</v>
      </c>
      <c r="G24" s="23">
        <f>IFERROR(__xludf.DUMMYFUNCTION("""COMPUTED_VALUE"""),1.4937940837048418)</f>
        <v>1.493794084</v>
      </c>
      <c r="H24" s="4"/>
      <c r="I24" s="5" t="s">
        <v>1587</v>
      </c>
      <c r="J24" s="5" t="s">
        <v>1567</v>
      </c>
      <c r="K24" s="24">
        <v>613.0</v>
      </c>
      <c r="L24" s="5">
        <v>2.637046</v>
      </c>
      <c r="M24" s="5">
        <v>0.109438</v>
      </c>
      <c r="N24" s="5">
        <v>2.746485</v>
      </c>
      <c r="O24" s="5">
        <v>0.900009</v>
      </c>
    </row>
    <row r="25">
      <c r="A25" s="12" t="str">
        <f>IFERROR(__xludf.DUMMYFUNCTION("""COMPUTED_VALUE"""),"Gary Browne")</f>
        <v>Gary Browne</v>
      </c>
      <c r="B25" s="13" t="str">
        <f>IFERROR(__xludf.DUMMYFUNCTION("""COMPUTED_VALUE"""),"IRO")</f>
        <v>IRO</v>
      </c>
      <c r="C25" s="14">
        <f>IFERROR(__xludf.DUMMYFUNCTION("""COMPUTED_VALUE"""),999.0)</f>
        <v>999</v>
      </c>
      <c r="D25" s="15">
        <f>IFERROR(__xludf.DUMMYFUNCTION("""COMPUTED_VALUE"""),1.4861003746435948)</f>
        <v>1.486100375</v>
      </c>
      <c r="E25" s="15">
        <f>IFERROR(__xludf.DUMMYFUNCTION("""COMPUTED_VALUE"""),0.9826152594207169)</f>
        <v>0.9826152594</v>
      </c>
      <c r="F25" s="15">
        <f>IFERROR(__xludf.DUMMYFUNCTION("""COMPUTED_VALUE"""),2.4687156340643117)</f>
        <v>2.468715634</v>
      </c>
      <c r="G25" s="17">
        <f>IFERROR(__xludf.DUMMYFUNCTION("""COMPUTED_VALUE"""),1.3588473535163736)</f>
        <v>1.358847354</v>
      </c>
      <c r="H25" s="4"/>
      <c r="I25" s="5" t="s">
        <v>1589</v>
      </c>
      <c r="J25" s="5" t="s">
        <v>1572</v>
      </c>
      <c r="K25" s="5">
        <v>528.0</v>
      </c>
      <c r="L25" s="5">
        <v>2.969376</v>
      </c>
      <c r="M25" s="5">
        <v>-0.442686</v>
      </c>
      <c r="N25" s="5">
        <v>2.526691</v>
      </c>
      <c r="O25" s="5">
        <v>0.723936</v>
      </c>
    </row>
    <row r="26">
      <c r="A26" s="18" t="str">
        <f>IFERROR(__xludf.DUMMYFUNCTION("""COMPUTED_VALUE"""),"Zach LeDay")</f>
        <v>Zach LeDay</v>
      </c>
      <c r="B26" s="19" t="str">
        <f>IFERROR(__xludf.DUMMYFUNCTION("""COMPUTED_VALUE"""),"GAL")</f>
        <v>GAL</v>
      </c>
      <c r="C26" s="20">
        <f>IFERROR(__xludf.DUMMYFUNCTION("""COMPUTED_VALUE"""),1194.0)</f>
        <v>1194</v>
      </c>
      <c r="D26" s="21">
        <f>IFERROR(__xludf.DUMMYFUNCTION("""COMPUTED_VALUE"""),2.092672959429599)</f>
        <v>2.092672959</v>
      </c>
      <c r="E26" s="21">
        <f>IFERROR(__xludf.DUMMYFUNCTION("""COMPUTED_VALUE"""),0.23508311831565143)</f>
        <v>0.2350831183</v>
      </c>
      <c r="F26" s="21">
        <f>IFERROR(__xludf.DUMMYFUNCTION("""COMPUTED_VALUE"""),2.3277560777452506)</f>
        <v>2.327756078</v>
      </c>
      <c r="G26" s="23">
        <f>IFERROR(__xludf.DUMMYFUNCTION("""COMPUTED_VALUE"""),1.8116588777325764)</f>
        <v>1.811658878</v>
      </c>
      <c r="H26" s="4"/>
      <c r="I26" s="5" t="s">
        <v>1591</v>
      </c>
      <c r="J26" s="5" t="s">
        <v>1592</v>
      </c>
      <c r="K26" s="24">
        <v>836.0</v>
      </c>
      <c r="L26" s="5">
        <v>3.676502</v>
      </c>
      <c r="M26" s="5">
        <v>-1.160945</v>
      </c>
      <c r="N26" s="5">
        <v>2.515556</v>
      </c>
      <c r="O26" s="5">
        <v>1.14164</v>
      </c>
    </row>
    <row r="27">
      <c r="A27" s="12" t="str">
        <f>IFERROR(__xludf.DUMMYFUNCTION("""COMPUTED_VALUE"""),"Stratos Perperoglou")</f>
        <v>Stratos Perperoglou</v>
      </c>
      <c r="B27" s="13" t="str">
        <f>IFERROR(__xludf.DUMMYFUNCTION("""COMPUTED_VALUE"""),"HAPJ")</f>
        <v>HAPJ</v>
      </c>
      <c r="C27" s="14">
        <f>IFERROR(__xludf.DUMMYFUNCTION("""COMPUTED_VALUE"""),788.0)</f>
        <v>788</v>
      </c>
      <c r="D27" s="15">
        <f>IFERROR(__xludf.DUMMYFUNCTION("""COMPUTED_VALUE"""),2.0830038984065142)</f>
        <v>2.083003898</v>
      </c>
      <c r="E27" s="15">
        <f>IFERROR(__xludf.DUMMYFUNCTION("""COMPUTED_VALUE"""),0.1341325102254345)</f>
        <v>0.1341325102</v>
      </c>
      <c r="F27" s="15">
        <f>IFERROR(__xludf.DUMMYFUNCTION("""COMPUTED_VALUE"""),2.2171364086319487)</f>
        <v>2.217136409</v>
      </c>
      <c r="G27" s="17">
        <f>IFERROR(__xludf.DUMMYFUNCTION("""COMPUTED_VALUE"""),1.004287718827244)</f>
        <v>1.004287719</v>
      </c>
      <c r="H27" s="4"/>
      <c r="I27" s="5" t="s">
        <v>1594</v>
      </c>
      <c r="J27" s="5" t="s">
        <v>1543</v>
      </c>
      <c r="K27" s="24">
        <v>721.0</v>
      </c>
      <c r="L27" s="5">
        <v>1.253993</v>
      </c>
      <c r="M27" s="5">
        <v>0.756407</v>
      </c>
      <c r="N27" s="5">
        <v>2.0104</v>
      </c>
      <c r="O27" s="5">
        <v>1.776189</v>
      </c>
    </row>
    <row r="28">
      <c r="A28" s="18" t="str">
        <f>IFERROR(__xludf.DUMMYFUNCTION("""COMPUTED_VALUE"""),"Lior Eliyahu")</f>
        <v>Lior Eliyahu</v>
      </c>
      <c r="B28" s="19" t="str">
        <f>IFERROR(__xludf.DUMMYFUNCTION("""COMPUTED_VALUE"""),"HAPJ")</f>
        <v>HAPJ</v>
      </c>
      <c r="C28" s="20">
        <f>IFERROR(__xludf.DUMMYFUNCTION("""COMPUTED_VALUE"""),736.0)</f>
        <v>736</v>
      </c>
      <c r="D28" s="21">
        <f>IFERROR(__xludf.DUMMYFUNCTION("""COMPUTED_VALUE"""),-1.5328783276345737)</f>
        <v>-1.532878328</v>
      </c>
      <c r="E28" s="21">
        <f>IFERROR(__xludf.DUMMYFUNCTION("""COMPUTED_VALUE"""),3.603575083720246)</f>
        <v>3.603575084</v>
      </c>
      <c r="F28" s="21">
        <f>IFERROR(__xludf.DUMMYFUNCTION("""COMPUTED_VALUE"""),2.070696756085672)</f>
        <v>2.070696756</v>
      </c>
      <c r="G28" s="23">
        <f>IFERROR(__xludf.DUMMYFUNCTION("""COMPUTED_VALUE"""),0.9054424479492733)</f>
        <v>0.9054424479</v>
      </c>
      <c r="H28" s="4"/>
      <c r="I28" s="5" t="s">
        <v>1596</v>
      </c>
      <c r="J28" s="5" t="s">
        <v>1543</v>
      </c>
      <c r="K28" s="5">
        <v>850.0</v>
      </c>
      <c r="L28" s="5">
        <v>0.558486</v>
      </c>
      <c r="M28" s="5">
        <v>1.448139</v>
      </c>
      <c r="N28" s="5">
        <v>2.006625</v>
      </c>
      <c r="O28" s="5">
        <v>2.092011</v>
      </c>
    </row>
    <row r="29">
      <c r="A29" s="12" t="str">
        <f>IFERROR(__xludf.DUMMYFUNCTION("""COMPUTED_VALUE"""),"Jonathan Skjoldebrand")</f>
        <v>Jonathan Skjoldebrand</v>
      </c>
      <c r="B29" s="13" t="str">
        <f>IFERROR(__xludf.DUMMYFUNCTION("""COMPUTED_VALUE"""),"NAH")</f>
        <v>NAH</v>
      </c>
      <c r="C29" s="14">
        <f>IFERROR(__xludf.DUMMYFUNCTION("""COMPUTED_VALUE"""),792.0)</f>
        <v>792</v>
      </c>
      <c r="D29" s="15">
        <f>IFERROR(__xludf.DUMMYFUNCTION("""COMPUTED_VALUE"""),1.8968900287110046)</f>
        <v>1.896890029</v>
      </c>
      <c r="E29" s="15">
        <f>IFERROR(__xludf.DUMMYFUNCTION("""COMPUTED_VALUE"""),0.03437629485594074)</f>
        <v>0.03437629486</v>
      </c>
      <c r="F29" s="15">
        <f>IFERROR(__xludf.DUMMYFUNCTION("""COMPUTED_VALUE"""),1.9312663235669454)</f>
        <v>1.931266324</v>
      </c>
      <c r="G29" s="17">
        <f>IFERROR(__xludf.DUMMYFUNCTION("""COMPUTED_VALUE"""),0.9502648469805901)</f>
        <v>0.950264847</v>
      </c>
      <c r="H29" s="4"/>
      <c r="I29" s="5" t="s">
        <v>1598</v>
      </c>
      <c r="J29" s="5" t="s">
        <v>1546</v>
      </c>
      <c r="K29" s="5">
        <v>560.0</v>
      </c>
      <c r="L29" s="5">
        <v>0.689456</v>
      </c>
      <c r="M29" s="5">
        <v>1.189207</v>
      </c>
      <c r="N29" s="5">
        <v>1.878663</v>
      </c>
      <c r="O29" s="5">
        <v>0.664078</v>
      </c>
    </row>
    <row r="30">
      <c r="A30" s="18" t="str">
        <f>IFERROR(__xludf.DUMMYFUNCTION("""COMPUTED_VALUE"""),"D'Angelo Harrison")</f>
        <v>D'Angelo Harrison</v>
      </c>
      <c r="B30" s="19" t="str">
        <f>IFERROR(__xludf.DUMMYFUNCTION("""COMPUTED_VALUE"""),"GAL")</f>
        <v>GAL</v>
      </c>
      <c r="C30" s="20">
        <f>IFERROR(__xludf.DUMMYFUNCTION("""COMPUTED_VALUE"""),947.0)</f>
        <v>947</v>
      </c>
      <c r="D30" s="21">
        <f>IFERROR(__xludf.DUMMYFUNCTION("""COMPUTED_VALUE"""),3.349959623093267)</f>
        <v>3.349959623</v>
      </c>
      <c r="E30" s="21">
        <f>IFERROR(__xludf.DUMMYFUNCTION("""COMPUTED_VALUE"""),-1.4879794878804122)</f>
        <v>-1.487979488</v>
      </c>
      <c r="F30" s="21">
        <f>IFERROR(__xludf.DUMMYFUNCTION("""COMPUTED_VALUE"""),1.8619801352128547)</f>
        <v>1.861980135</v>
      </c>
      <c r="G30" s="23">
        <f>IFERROR(__xludf.DUMMYFUNCTION("""COMPUTED_VALUE"""),1.2822400549370176)</f>
        <v>1.282240055</v>
      </c>
      <c r="H30" s="4"/>
      <c r="I30" s="5" t="s">
        <v>1599</v>
      </c>
      <c r="J30" s="5" t="s">
        <v>1572</v>
      </c>
      <c r="K30" s="5">
        <v>650.0</v>
      </c>
      <c r="L30" s="5">
        <v>2.09481</v>
      </c>
      <c r="M30" s="5">
        <v>-0.228258</v>
      </c>
      <c r="N30" s="5">
        <v>1.866552</v>
      </c>
      <c r="O30" s="5">
        <v>0.761242</v>
      </c>
    </row>
    <row r="31">
      <c r="A31" s="12" t="str">
        <f>IFERROR(__xludf.DUMMYFUNCTION("""COMPUTED_VALUE"""),"Brandon Bowman")</f>
        <v>Brandon Bowman</v>
      </c>
      <c r="B31" s="13" t="str">
        <f>IFERROR(__xludf.DUMMYFUNCTION("""COMPUTED_VALUE"""),"HAI")</f>
        <v>HAI</v>
      </c>
      <c r="C31" s="14">
        <f>IFERROR(__xludf.DUMMYFUNCTION("""COMPUTED_VALUE"""),678.0)</f>
        <v>678</v>
      </c>
      <c r="D31" s="15">
        <f>IFERROR(__xludf.DUMMYFUNCTION("""COMPUTED_VALUE"""),1.007769809010849)</f>
        <v>1.007769809</v>
      </c>
      <c r="E31" s="15">
        <f>IFERROR(__xludf.DUMMYFUNCTION("""COMPUTED_VALUE"""),0.7718280046750343)</f>
        <v>0.7718280047</v>
      </c>
      <c r="F31" s="15">
        <f>IFERROR(__xludf.DUMMYFUNCTION("""COMPUTED_VALUE"""),1.7795978136858832)</f>
        <v>1.779597814</v>
      </c>
      <c r="G31" s="17">
        <f>IFERROR(__xludf.DUMMYFUNCTION("""COMPUTED_VALUE"""),0.8122850435263645)</f>
        <v>0.8122850435</v>
      </c>
      <c r="H31" s="4"/>
      <c r="I31" s="5" t="s">
        <v>1602</v>
      </c>
      <c r="J31" s="5" t="s">
        <v>1592</v>
      </c>
      <c r="K31" s="24">
        <v>1026.0</v>
      </c>
      <c r="L31" s="5">
        <v>1.009227</v>
      </c>
      <c r="M31" s="5">
        <v>0.811141</v>
      </c>
      <c r="N31" s="5">
        <v>1.820368</v>
      </c>
      <c r="O31" s="5">
        <v>1.185398</v>
      </c>
    </row>
    <row r="32">
      <c r="A32" s="18" t="str">
        <f>IFERROR(__xludf.DUMMYFUNCTION("""COMPUTED_VALUE"""),"Tomer Ginat")</f>
        <v>Tomer Ginat</v>
      </c>
      <c r="B32" s="19" t="str">
        <f>IFERROR(__xludf.DUMMYFUNCTION("""COMPUTED_VALUE"""),"HAP")</f>
        <v>HAP</v>
      </c>
      <c r="C32" s="20">
        <f>IFERROR(__xludf.DUMMYFUNCTION("""COMPUTED_VALUE"""),852.0)</f>
        <v>852</v>
      </c>
      <c r="D32" s="21">
        <f>IFERROR(__xludf.DUMMYFUNCTION("""COMPUTED_VALUE"""),1.0545783086345992)</f>
        <v>1.054578309</v>
      </c>
      <c r="E32" s="21">
        <f>IFERROR(__xludf.DUMMYFUNCTION("""COMPUTED_VALUE"""),0.635378653895053)</f>
        <v>0.6353786539</v>
      </c>
      <c r="F32" s="21">
        <f>IFERROR(__xludf.DUMMYFUNCTION("""COMPUTED_VALUE"""),1.6899569625296522)</f>
        <v>1.689956963</v>
      </c>
      <c r="G32" s="23">
        <f>IFERROR(__xludf.DUMMYFUNCTION("""COMPUTED_VALUE"""),1.9312788838772585)</f>
        <v>1.931278884</v>
      </c>
      <c r="H32" s="4"/>
      <c r="I32" s="5" t="s">
        <v>1605</v>
      </c>
      <c r="J32" s="5" t="s">
        <v>1606</v>
      </c>
      <c r="K32" s="24">
        <v>655.0</v>
      </c>
      <c r="L32" s="5">
        <v>1.125647</v>
      </c>
      <c r="M32" s="5">
        <v>0.672279</v>
      </c>
      <c r="N32" s="5">
        <v>1.797926</v>
      </c>
      <c r="O32" s="5">
        <v>0.788232</v>
      </c>
    </row>
    <row r="33">
      <c r="A33" s="12" t="str">
        <f>IFERROR(__xludf.DUMMYFUNCTION("""COMPUTED_VALUE"""),"Yotam Halperin")</f>
        <v>Yotam Halperin</v>
      </c>
      <c r="B33" s="13" t="str">
        <f>IFERROR(__xludf.DUMMYFUNCTION("""COMPUTED_VALUE"""),"HAPJ")</f>
        <v>HAPJ</v>
      </c>
      <c r="C33" s="14">
        <f>IFERROR(__xludf.DUMMYFUNCTION("""COMPUTED_VALUE"""),603.0)</f>
        <v>603</v>
      </c>
      <c r="D33" s="15">
        <f>IFERROR(__xludf.DUMMYFUNCTION("""COMPUTED_VALUE"""),2.43786180231062)</f>
        <v>2.437861802</v>
      </c>
      <c r="E33" s="15">
        <f>IFERROR(__xludf.DUMMYFUNCTION("""COMPUTED_VALUE"""),-0.8217189635055338)</f>
        <v>-0.8217189635</v>
      </c>
      <c r="F33" s="15">
        <f>IFERROR(__xludf.DUMMYFUNCTION("""COMPUTED_VALUE"""),1.6161428388050862)</f>
        <v>1.616142839</v>
      </c>
      <c r="G33" s="17">
        <f>IFERROR(__xludf.DUMMYFUNCTION("""COMPUTED_VALUE"""),0.6589874963685016)</f>
        <v>0.6589874964</v>
      </c>
      <c r="H33" s="4"/>
      <c r="I33" s="5" t="s">
        <v>1609</v>
      </c>
      <c r="J33" s="5" t="s">
        <v>1572</v>
      </c>
      <c r="K33" s="24">
        <v>626.0</v>
      </c>
      <c r="L33" s="5">
        <v>-1.845149</v>
      </c>
      <c r="M33" s="5">
        <v>3.599836</v>
      </c>
      <c r="N33" s="5">
        <v>1.754687</v>
      </c>
      <c r="O33" s="5">
        <v>0.711924</v>
      </c>
    </row>
    <row r="34">
      <c r="A34" s="18" t="str">
        <f>IFERROR(__xludf.DUMMYFUNCTION("""COMPUTED_VALUE"""),"Oz Blayzer")</f>
        <v>Oz Blayzer</v>
      </c>
      <c r="B34" s="19" t="str">
        <f>IFERROR(__xludf.DUMMYFUNCTION("""COMPUTED_VALUE"""),"HAI")</f>
        <v>HAI</v>
      </c>
      <c r="C34" s="20">
        <f>IFERROR(__xludf.DUMMYFUNCTION("""COMPUTED_VALUE"""),906.0)</f>
        <v>906</v>
      </c>
      <c r="D34" s="21">
        <f>IFERROR(__xludf.DUMMYFUNCTION("""COMPUTED_VALUE"""),-0.4778360833944496)</f>
        <v>-0.4778360834</v>
      </c>
      <c r="E34" s="21">
        <f>IFERROR(__xludf.DUMMYFUNCTION("""COMPUTED_VALUE"""),2.030586012710308)</f>
        <v>2.030586013</v>
      </c>
      <c r="F34" s="21">
        <f>IFERROR(__xludf.DUMMYFUNCTION("""COMPUTED_VALUE"""),1.5527499293158584)</f>
        <v>1.552749929</v>
      </c>
      <c r="G34" s="23">
        <f>IFERROR(__xludf.DUMMYFUNCTION("""COMPUTED_VALUE"""),1.0202955932604618)</f>
        <v>1.020295593</v>
      </c>
      <c r="H34" s="4"/>
      <c r="I34" s="5" t="s">
        <v>1612</v>
      </c>
      <c r="J34" s="5" t="s">
        <v>1572</v>
      </c>
      <c r="K34" s="24">
        <v>582.0</v>
      </c>
      <c r="L34" s="5">
        <v>2.215725</v>
      </c>
      <c r="M34" s="5">
        <v>-0.485571</v>
      </c>
      <c r="N34" s="5">
        <v>1.730154</v>
      </c>
      <c r="O34" s="5">
        <v>0.65756</v>
      </c>
    </row>
    <row r="35">
      <c r="A35" s="12" t="str">
        <f>IFERROR(__xludf.DUMMYFUNCTION("""COMPUTED_VALUE"""),"Bar Timor")</f>
        <v>Bar Timor</v>
      </c>
      <c r="B35" s="13" t="str">
        <f>IFERROR(__xludf.DUMMYFUNCTION("""COMPUTED_VALUE"""),"HAPJ")</f>
        <v>HAPJ</v>
      </c>
      <c r="C35" s="14">
        <f>IFERROR(__xludf.DUMMYFUNCTION("""COMPUTED_VALUE"""),720.0)</f>
        <v>720</v>
      </c>
      <c r="D35" s="15">
        <f>IFERROR(__xludf.DUMMYFUNCTION("""COMPUTED_VALUE"""),2.256414321119359)</f>
        <v>2.256414321</v>
      </c>
      <c r="E35" s="15">
        <f>IFERROR(__xludf.DUMMYFUNCTION("""COMPUTED_VALUE"""),-0.7562239893386846)</f>
        <v>-0.7562239893</v>
      </c>
      <c r="F35" s="15">
        <f>IFERROR(__xludf.DUMMYFUNCTION("""COMPUTED_VALUE"""),1.5001903317806744)</f>
        <v>1.500190332</v>
      </c>
      <c r="G35" s="17">
        <f>IFERROR(__xludf.DUMMYFUNCTION("""COMPUTED_VALUE"""),0.7616201799088209)</f>
        <v>0.7616201799</v>
      </c>
      <c r="H35" s="4"/>
      <c r="I35" s="5" t="s">
        <v>1615</v>
      </c>
      <c r="J35" s="5" t="s">
        <v>1580</v>
      </c>
      <c r="K35" s="5">
        <v>699.0</v>
      </c>
      <c r="L35" s="5">
        <v>4.233923</v>
      </c>
      <c r="M35" s="5">
        <v>-2.568365</v>
      </c>
      <c r="N35" s="5">
        <v>1.665558</v>
      </c>
      <c r="O35" s="5">
        <v>0.779583</v>
      </c>
    </row>
    <row r="36">
      <c r="A36" s="18" t="str">
        <f>IFERROR(__xludf.DUMMYFUNCTION("""COMPUTED_VALUE"""),"Derwin Kitchen")</f>
        <v>Derwin Kitchen</v>
      </c>
      <c r="B36" s="19" t="str">
        <f>IFERROR(__xludf.DUMMYFUNCTION("""COMPUTED_VALUE"""),"EIL")</f>
        <v>EIL</v>
      </c>
      <c r="C36" s="20">
        <f>IFERROR(__xludf.DUMMYFUNCTION("""COMPUTED_VALUE"""),666.0)</f>
        <v>666</v>
      </c>
      <c r="D36" s="21">
        <f>IFERROR(__xludf.DUMMYFUNCTION("""COMPUTED_VALUE"""),0.6015231306035522)</f>
        <v>0.6015231306</v>
      </c>
      <c r="E36" s="21">
        <f>IFERROR(__xludf.DUMMYFUNCTION("""COMPUTED_VALUE"""),0.8346637985303822)</f>
        <v>0.8346637985</v>
      </c>
      <c r="F36" s="21">
        <f>IFERROR(__xludf.DUMMYFUNCTION("""COMPUTED_VALUE"""),1.4361869291339344)</f>
        <v>1.436186929</v>
      </c>
      <c r="G36" s="23">
        <f>IFERROR(__xludf.DUMMYFUNCTION("""COMPUTED_VALUE"""),0.700432348948515)</f>
        <v>0.7004323489</v>
      </c>
      <c r="H36" s="4"/>
      <c r="I36" s="5" t="s">
        <v>1618</v>
      </c>
      <c r="J36" s="5" t="s">
        <v>1606</v>
      </c>
      <c r="K36" s="5">
        <v>882.0</v>
      </c>
      <c r="L36" s="5">
        <v>-0.610775</v>
      </c>
      <c r="M36" s="5">
        <v>2.090853</v>
      </c>
      <c r="N36" s="5">
        <v>1.480079</v>
      </c>
      <c r="O36" s="5">
        <v>0.972577</v>
      </c>
    </row>
    <row r="37">
      <c r="A37" s="12" t="str">
        <f>IFERROR(__xludf.DUMMYFUNCTION("""COMPUTED_VALUE"""),"Itay Segev")</f>
        <v>Itay Segev</v>
      </c>
      <c r="B37" s="13" t="str">
        <f>IFERROR(__xludf.DUMMYFUNCTION("""COMPUTED_VALUE"""),"MAC")</f>
        <v>MAC</v>
      </c>
      <c r="C37" s="14">
        <f>IFERROR(__xludf.DUMMYFUNCTION("""COMPUTED_VALUE"""),343.0)</f>
        <v>343</v>
      </c>
      <c r="D37" s="15">
        <f>IFERROR(__xludf.DUMMYFUNCTION("""COMPUTED_VALUE"""),-2.236352644917739)</f>
        <v>-2.236352645</v>
      </c>
      <c r="E37" s="15">
        <f>IFERROR(__xludf.DUMMYFUNCTION("""COMPUTED_VALUE"""),3.626743534159681)</f>
        <v>3.626743534</v>
      </c>
      <c r="F37" s="15">
        <f>IFERROR(__xludf.DUMMYFUNCTION("""COMPUTED_VALUE"""),1.3903908892419423)</f>
        <v>1.390390889</v>
      </c>
      <c r="G37" s="17">
        <f>IFERROR(__xludf.DUMMYFUNCTION("""COMPUTED_VALUE"""),0.353501548945647)</f>
        <v>0.3535015489</v>
      </c>
      <c r="H37" s="4"/>
      <c r="I37" s="5" t="s">
        <v>1620</v>
      </c>
      <c r="J37" s="5" t="s">
        <v>1621</v>
      </c>
      <c r="K37" s="5">
        <v>764.0</v>
      </c>
      <c r="L37" s="5">
        <v>1.529363</v>
      </c>
      <c r="M37" s="5">
        <v>-0.165094</v>
      </c>
      <c r="N37" s="5">
        <v>1.364269</v>
      </c>
      <c r="O37" s="5">
        <v>0.784486</v>
      </c>
    </row>
    <row r="38">
      <c r="A38" s="18" t="str">
        <f>IFERROR(__xludf.DUMMYFUNCTION("""COMPUTED_VALUE"""),"Angel Rodriguez")</f>
        <v>Angel Rodriguez</v>
      </c>
      <c r="B38" s="19" t="str">
        <f>IFERROR(__xludf.DUMMYFUNCTION("""COMPUTED_VALUE"""),"HAI")</f>
        <v>HAI</v>
      </c>
      <c r="C38" s="20">
        <f>IFERROR(__xludf.DUMMYFUNCTION("""COMPUTED_VALUE"""),864.0)</f>
        <v>864</v>
      </c>
      <c r="D38" s="21">
        <f>IFERROR(__xludf.DUMMYFUNCTION("""COMPUTED_VALUE"""),0.15864682281672038)</f>
        <v>0.1586468228</v>
      </c>
      <c r="E38" s="21">
        <f>IFERROR(__xludf.DUMMYFUNCTION("""COMPUTED_VALUE"""),1.2018253578448417)</f>
        <v>1.201825358</v>
      </c>
      <c r="F38" s="21">
        <f>IFERROR(__xludf.DUMMYFUNCTION("""COMPUTED_VALUE"""),1.360472180661562)</f>
        <v>1.360472181</v>
      </c>
      <c r="G38" s="23">
        <f>IFERROR(__xludf.DUMMYFUNCTION("""COMPUTED_VALUE"""),0.9203377174203365)</f>
        <v>0.9203377174</v>
      </c>
      <c r="H38" s="4"/>
      <c r="I38" s="5" t="s">
        <v>1624</v>
      </c>
      <c r="J38" s="5" t="s">
        <v>1606</v>
      </c>
      <c r="K38" s="5">
        <v>805.0</v>
      </c>
      <c r="L38" s="5">
        <v>-0.92507</v>
      </c>
      <c r="M38" s="5">
        <v>2.267952</v>
      </c>
      <c r="N38" s="5">
        <v>1.342882</v>
      </c>
      <c r="O38" s="5">
        <v>0.852675</v>
      </c>
    </row>
    <row r="39">
      <c r="A39" s="12" t="str">
        <f>IFERROR(__xludf.DUMMYFUNCTION("""COMPUTED_VALUE"""),"Reginald Becton")</f>
        <v>Reginald Becton</v>
      </c>
      <c r="B39" s="13" t="str">
        <f>IFERROR(__xludf.DUMMYFUNCTION("""COMPUTED_VALUE"""),"HAI")</f>
        <v>HAI</v>
      </c>
      <c r="C39" s="14">
        <f>IFERROR(__xludf.DUMMYFUNCTION("""COMPUTED_VALUE"""),527.0)</f>
        <v>527</v>
      </c>
      <c r="D39" s="15">
        <f>IFERROR(__xludf.DUMMYFUNCTION("""COMPUTED_VALUE"""),-2.2108967623913047)</f>
        <v>-2.210896762</v>
      </c>
      <c r="E39" s="15">
        <f>IFERROR(__xludf.DUMMYFUNCTION("""COMPUTED_VALUE"""),3.5641921244445056)</f>
        <v>3.564192124</v>
      </c>
      <c r="F39" s="15">
        <f>IFERROR(__xludf.DUMMYFUNCTION("""COMPUTED_VALUE"""),1.3532953620532011)</f>
        <v>1.353295362</v>
      </c>
      <c r="G39" s="17">
        <f>IFERROR(__xludf.DUMMYFUNCTION("""COMPUTED_VALUE"""),0.5601645192788511)</f>
        <v>0.5601645193</v>
      </c>
      <c r="H39" s="4"/>
      <c r="I39" s="5" t="s">
        <v>182</v>
      </c>
      <c r="J39" s="5" t="s">
        <v>64</v>
      </c>
      <c r="K39" s="5">
        <v>508.0</v>
      </c>
      <c r="L39" s="5">
        <v>-0.720431</v>
      </c>
      <c r="M39" s="5">
        <v>2.009125</v>
      </c>
      <c r="N39" s="5">
        <v>1.288694</v>
      </c>
      <c r="O39" s="5">
        <v>0.507207</v>
      </c>
    </row>
    <row r="40">
      <c r="A40" s="18" t="str">
        <f>IFERROR(__xludf.DUMMYFUNCTION("""COMPUTED_VALUE"""),"Jerome Dyson")</f>
        <v>Jerome Dyson</v>
      </c>
      <c r="B40" s="19" t="str">
        <f>IFERROR(__xludf.DUMMYFUNCTION("""COMPUTED_VALUE"""),"HAPJ")</f>
        <v>HAPJ</v>
      </c>
      <c r="C40" s="20">
        <f>IFERROR(__xludf.DUMMYFUNCTION("""COMPUTED_VALUE"""),1165.0)</f>
        <v>1165</v>
      </c>
      <c r="D40" s="21">
        <f>IFERROR(__xludf.DUMMYFUNCTION("""COMPUTED_VALUE"""),1.3090295284461027)</f>
        <v>1.309029528</v>
      </c>
      <c r="E40" s="21">
        <f>IFERROR(__xludf.DUMMYFUNCTION("""COMPUTED_VALUE"""),0.006866230760353975)</f>
        <v>0.00686623076</v>
      </c>
      <c r="F40" s="21">
        <f>IFERROR(__xludf.DUMMYFUNCTION("""COMPUTED_VALUE"""),1.3158957592064566)</f>
        <v>1.315895759</v>
      </c>
      <c r="G40" s="23">
        <f>IFERROR(__xludf.DUMMYFUNCTION("""COMPUTED_VALUE"""),1.1674575012650816)</f>
        <v>1.167457501</v>
      </c>
      <c r="H40" s="4"/>
      <c r="I40" s="5" t="s">
        <v>1628</v>
      </c>
      <c r="J40" s="5" t="s">
        <v>1606</v>
      </c>
      <c r="K40" s="5">
        <v>864.0</v>
      </c>
      <c r="L40" s="5">
        <v>0.181976</v>
      </c>
      <c r="M40" s="5">
        <v>1.064796</v>
      </c>
      <c r="N40" s="5">
        <v>1.246772</v>
      </c>
      <c r="O40" s="5">
        <v>0.888857</v>
      </c>
    </row>
    <row r="41">
      <c r="A41" s="12" t="str">
        <f>IFERROR(__xludf.DUMMYFUNCTION("""COMPUTED_VALUE"""),"Willy Workman")</f>
        <v>Willy Workman</v>
      </c>
      <c r="B41" s="13" t="str">
        <f>IFERROR(__xludf.DUMMYFUNCTION("""COMPUTED_VALUE"""),"HAI")</f>
        <v>HAI</v>
      </c>
      <c r="C41" s="14">
        <f>IFERROR(__xludf.DUMMYFUNCTION("""COMPUTED_VALUE"""),829.0)</f>
        <v>829</v>
      </c>
      <c r="D41" s="15">
        <f>IFERROR(__xludf.DUMMYFUNCTION("""COMPUTED_VALUE"""),-1.0362967908056377)</f>
        <v>-1.036296791</v>
      </c>
      <c r="E41" s="15">
        <f>IFERROR(__xludf.DUMMYFUNCTION("""COMPUTED_VALUE"""),2.317704957065309)</f>
        <v>2.317704957</v>
      </c>
      <c r="F41" s="15">
        <f>IFERROR(__xludf.DUMMYFUNCTION("""COMPUTED_VALUE"""),1.2814081662596715)</f>
        <v>1.281408166</v>
      </c>
      <c r="G41" s="17">
        <f>IFERROR(__xludf.DUMMYFUNCTION("""COMPUTED_VALUE"""),0.8622792967668503)</f>
        <v>0.8622792968</v>
      </c>
      <c r="H41" s="4"/>
      <c r="I41" s="5" t="s">
        <v>1631</v>
      </c>
      <c r="J41" s="5" t="s">
        <v>1606</v>
      </c>
      <c r="K41" s="5">
        <v>527.0</v>
      </c>
      <c r="L41" s="5">
        <v>-2.1838</v>
      </c>
      <c r="M41" s="5">
        <v>3.427106</v>
      </c>
      <c r="N41" s="5">
        <v>1.243306</v>
      </c>
      <c r="O41" s="5">
        <v>0.541583</v>
      </c>
    </row>
    <row r="42">
      <c r="A42" s="18" t="str">
        <f>IFERROR(__xludf.DUMMYFUNCTION("""COMPUTED_VALUE"""),"Jerel McNeal")</f>
        <v>Jerel McNeal</v>
      </c>
      <c r="B42" s="19" t="str">
        <f>IFERROR(__xludf.DUMMYFUNCTION("""COMPUTED_VALUE"""),"HAP")</f>
        <v>HAP</v>
      </c>
      <c r="C42" s="20">
        <f>IFERROR(__xludf.DUMMYFUNCTION("""COMPUTED_VALUE"""),1000.0)</f>
        <v>1000</v>
      </c>
      <c r="D42" s="21">
        <f>IFERROR(__xludf.DUMMYFUNCTION("""COMPUTED_VALUE"""),-0.15206108749862302)</f>
        <v>-0.1520610875</v>
      </c>
      <c r="E42" s="21">
        <f>IFERROR(__xludf.DUMMYFUNCTION("""COMPUTED_VALUE"""),1.3870842757591206)</f>
        <v>1.387084276</v>
      </c>
      <c r="F42" s="21">
        <f>IFERROR(__xludf.DUMMYFUNCTION("""COMPUTED_VALUE"""),1.2350231882604976)</f>
        <v>1.235023188</v>
      </c>
      <c r="G42" s="23">
        <f>IFERROR(__xludf.DUMMYFUNCTION("""COMPUTED_VALUE"""),1.9872911313989152)</f>
        <v>1.987291131</v>
      </c>
      <c r="H42" s="4"/>
      <c r="I42" s="5" t="s">
        <v>1632</v>
      </c>
      <c r="J42" s="5" t="s">
        <v>1543</v>
      </c>
      <c r="K42" s="5">
        <v>838.0</v>
      </c>
      <c r="L42" s="5">
        <v>0.163102</v>
      </c>
      <c r="M42" s="5">
        <v>1.073617</v>
      </c>
      <c r="N42" s="5">
        <v>1.236719</v>
      </c>
      <c r="O42" s="5">
        <v>1.666154</v>
      </c>
    </row>
    <row r="43">
      <c r="A43" s="12" t="str">
        <f>IFERROR(__xludf.DUMMYFUNCTION("""COMPUTED_VALUE"""),"Tyler Stone")</f>
        <v>Tyler Stone</v>
      </c>
      <c r="B43" s="13" t="str">
        <f>IFERROR(__xludf.DUMMYFUNCTION("""COMPUTED_VALUE"""),"GAL")</f>
        <v>GAL</v>
      </c>
      <c r="C43" s="14">
        <f>IFERROR(__xludf.DUMMYFUNCTION("""COMPUTED_VALUE"""),262.0)</f>
        <v>262</v>
      </c>
      <c r="D43" s="15">
        <f>IFERROR(__xludf.DUMMYFUNCTION("""COMPUTED_VALUE"""),0.9068810750871142)</f>
        <v>0.9068810751</v>
      </c>
      <c r="E43" s="15">
        <f>IFERROR(__xludf.DUMMYFUNCTION("""COMPUTED_VALUE"""),0.2053264252706989)</f>
        <v>0.2053264253</v>
      </c>
      <c r="F43" s="15">
        <f>IFERROR(__xludf.DUMMYFUNCTION("""COMPUTED_VALUE"""),1.1122075003578131)</f>
        <v>1.1122075</v>
      </c>
      <c r="G43" s="17">
        <f>IFERROR(__xludf.DUMMYFUNCTION("""COMPUTED_VALUE"""),0.2858769639023314)</f>
        <v>0.2858769639</v>
      </c>
      <c r="H43" s="4"/>
      <c r="I43" s="5" t="s">
        <v>1634</v>
      </c>
      <c r="J43" s="5" t="s">
        <v>1580</v>
      </c>
      <c r="K43" s="5">
        <v>498.0</v>
      </c>
      <c r="L43" s="5">
        <v>2.618709</v>
      </c>
      <c r="M43" s="5">
        <v>-1.406572</v>
      </c>
      <c r="N43" s="5">
        <v>1.212137</v>
      </c>
      <c r="O43" s="5">
        <v>0.486708</v>
      </c>
    </row>
    <row r="44">
      <c r="A44" s="18" t="str">
        <f>IFERROR(__xludf.DUMMYFUNCTION("""COMPUTED_VALUE"""),"Mike Rosario")</f>
        <v>Mike Rosario</v>
      </c>
      <c r="B44" s="19" t="str">
        <f>IFERROR(__xludf.DUMMYFUNCTION("""COMPUTED_VALUE"""),"EIL")</f>
        <v>EIL</v>
      </c>
      <c r="C44" s="20">
        <f>IFERROR(__xludf.DUMMYFUNCTION("""COMPUTED_VALUE"""),184.0)</f>
        <v>184</v>
      </c>
      <c r="D44" s="21">
        <f>IFERROR(__xludf.DUMMYFUNCTION("""COMPUTED_VALUE"""),2.8113334248480633)</f>
        <v>2.811333425</v>
      </c>
      <c r="E44" s="21">
        <f>IFERROR(__xludf.DUMMYFUNCTION("""COMPUTED_VALUE"""),-1.6998364900790641)</f>
        <v>-1.69983649</v>
      </c>
      <c r="F44" s="21">
        <f>IFERROR(__xludf.DUMMYFUNCTION("""COMPUTED_VALUE"""),1.1114969347689991)</f>
        <v>1.111496935</v>
      </c>
      <c r="G44" s="23">
        <f>IFERROR(__xludf.DUMMYFUNCTION("""COMPUTED_VALUE"""),0.1752275485872219)</f>
        <v>0.1752275486</v>
      </c>
      <c r="H44" s="4"/>
      <c r="I44" s="5" t="s">
        <v>1636</v>
      </c>
      <c r="J44" s="5" t="s">
        <v>1592</v>
      </c>
      <c r="K44" s="5">
        <v>262.0</v>
      </c>
      <c r="L44" s="5">
        <v>0.537411</v>
      </c>
      <c r="M44" s="5">
        <v>0.62014</v>
      </c>
      <c r="N44" s="5">
        <v>1.157551</v>
      </c>
      <c r="O44" s="5">
        <v>0.250186</v>
      </c>
    </row>
    <row r="45">
      <c r="A45" s="12" t="str">
        <f>IFERROR(__xludf.DUMMYFUNCTION("""COMPUTED_VALUE"""),"Alex Young")</f>
        <v>Alex Young</v>
      </c>
      <c r="B45" s="13" t="str">
        <f>IFERROR(__xludf.DUMMYFUNCTION("""COMPUTED_VALUE"""),"NAH")</f>
        <v>NAH</v>
      </c>
      <c r="C45" s="14">
        <f>IFERROR(__xludf.DUMMYFUNCTION("""COMPUTED_VALUE"""),1098.0)</f>
        <v>1098</v>
      </c>
      <c r="D45" s="15">
        <f>IFERROR(__xludf.DUMMYFUNCTION("""COMPUTED_VALUE"""),0.12084259954995429)</f>
        <v>0.1208425995</v>
      </c>
      <c r="E45" s="15">
        <f>IFERROR(__xludf.DUMMYFUNCTION("""COMPUTED_VALUE"""),0.9513701635283016)</f>
        <v>0.9513701635</v>
      </c>
      <c r="F45" s="15">
        <f>IFERROR(__xludf.DUMMYFUNCTION("""COMPUTED_VALUE"""),1.0722127630782559)</f>
        <v>1.072212763</v>
      </c>
      <c r="G45" s="17">
        <f>IFERROR(__xludf.DUMMYFUNCTION("""COMPUTED_VALUE"""),1.0295338853234726)</f>
        <v>1.029533885</v>
      </c>
      <c r="H45" s="4"/>
      <c r="I45" s="5" t="s">
        <v>1638</v>
      </c>
      <c r="J45" s="5" t="s">
        <v>1546</v>
      </c>
      <c r="K45" s="24">
        <v>184.0</v>
      </c>
      <c r="L45" s="5">
        <v>2.74829</v>
      </c>
      <c r="M45" s="5">
        <v>-1.6192</v>
      </c>
      <c r="N45" s="5">
        <v>1.12909</v>
      </c>
      <c r="O45" s="5">
        <v>0.176029</v>
      </c>
    </row>
    <row r="46">
      <c r="A46" s="18" t="str">
        <f>IFERROR(__xludf.DUMMYFUNCTION("""COMPUTED_VALUE"""),"Mike Efevberha")</f>
        <v>Mike Efevberha</v>
      </c>
      <c r="B46" s="19" t="str">
        <f>IFERROR(__xludf.DUMMYFUNCTION("""COMPUTED_VALUE"""),"BHS")</f>
        <v>BHS</v>
      </c>
      <c r="C46" s="20">
        <f>IFERROR(__xludf.DUMMYFUNCTION("""COMPUTED_VALUE"""),111.0)</f>
        <v>111</v>
      </c>
      <c r="D46" s="21">
        <f>IFERROR(__xludf.DUMMYFUNCTION("""COMPUTED_VALUE"""),1.7196480705680566)</f>
        <v>1.719648071</v>
      </c>
      <c r="E46" s="21">
        <f>IFERROR(__xludf.DUMMYFUNCTION("""COMPUTED_VALUE"""),-0.6926656766393955)</f>
        <v>-0.6926656766</v>
      </c>
      <c r="F46" s="21">
        <f>IFERROR(__xludf.DUMMYFUNCTION("""COMPUTED_VALUE"""),1.026982393928661)</f>
        <v>1.026982394</v>
      </c>
      <c r="G46" s="23">
        <f>IFERROR(__xludf.DUMMYFUNCTION("""COMPUTED_VALUE"""),0.10292093043230292)</f>
        <v>0.1029209304</v>
      </c>
      <c r="H46" s="4"/>
      <c r="I46" s="5" t="s">
        <v>1641</v>
      </c>
      <c r="J46" s="5" t="s">
        <v>1554</v>
      </c>
      <c r="K46" s="5">
        <v>502.0</v>
      </c>
      <c r="L46" s="5">
        <v>2.096536</v>
      </c>
      <c r="M46" s="5">
        <v>-1.002323</v>
      </c>
      <c r="N46" s="5">
        <v>1.094213</v>
      </c>
      <c r="O46" s="5">
        <v>0.48896</v>
      </c>
    </row>
    <row r="47">
      <c r="A47" s="12" t="str">
        <f>IFERROR(__xludf.DUMMYFUNCTION("""COMPUTED_VALUE"""),"Tu Holloway")</f>
        <v>Tu Holloway</v>
      </c>
      <c r="B47" s="13" t="str">
        <f>IFERROR(__xludf.DUMMYFUNCTION("""COMPUTED_VALUE"""),"HAP")</f>
        <v>HAP</v>
      </c>
      <c r="C47" s="14">
        <f>IFERROR(__xludf.DUMMYFUNCTION("""COMPUTED_VALUE"""),1023.0)</f>
        <v>1023</v>
      </c>
      <c r="D47" s="15">
        <f>IFERROR(__xludf.DUMMYFUNCTION("""COMPUTED_VALUE"""),2.745655139319159)</f>
        <v>2.745655139</v>
      </c>
      <c r="E47" s="15">
        <f>IFERROR(__xludf.DUMMYFUNCTION("""COMPUTED_VALUE"""),-1.7518094074459978)</f>
        <v>-1.751809407</v>
      </c>
      <c r="F47" s="15">
        <f>IFERROR(__xludf.DUMMYFUNCTION("""COMPUTED_VALUE"""),0.9938457318731613)</f>
        <v>0.9938457319</v>
      </c>
      <c r="G47" s="17">
        <f>IFERROR(__xludf.DUMMYFUNCTION("""COMPUTED_VALUE"""),1.881434694027814)</f>
        <v>1.881434694</v>
      </c>
      <c r="H47" s="4"/>
      <c r="I47" s="5" t="s">
        <v>1642</v>
      </c>
      <c r="J47" s="5" t="s">
        <v>1643</v>
      </c>
      <c r="K47" s="24">
        <v>1004.0</v>
      </c>
      <c r="L47" s="5">
        <v>0.603077</v>
      </c>
      <c r="M47" s="5">
        <v>0.485365</v>
      </c>
      <c r="N47" s="5">
        <v>1.088442</v>
      </c>
      <c r="O47" s="5">
        <v>0.947808</v>
      </c>
    </row>
    <row r="48">
      <c r="A48" s="18" t="str">
        <f>IFERROR(__xludf.DUMMYFUNCTION("""COMPUTED_VALUE"""),"Joaquin Szuchman")</f>
        <v>Joaquin Szuchman</v>
      </c>
      <c r="B48" s="19" t="str">
        <f>IFERROR(__xludf.DUMMYFUNCTION("""COMPUTED_VALUE"""),"GAL")</f>
        <v>GAL</v>
      </c>
      <c r="C48" s="20">
        <f>IFERROR(__xludf.DUMMYFUNCTION("""COMPUTED_VALUE"""),1181.0)</f>
        <v>1181</v>
      </c>
      <c r="D48" s="21">
        <f>IFERROR(__xludf.DUMMYFUNCTION("""COMPUTED_VALUE"""),-0.48506967317900485)</f>
        <v>-0.4850696732</v>
      </c>
      <c r="E48" s="21">
        <f>IFERROR(__xludf.DUMMYFUNCTION("""COMPUTED_VALUE"""),1.4780556048416802)</f>
        <v>1.478055605</v>
      </c>
      <c r="F48" s="21">
        <f>IFERROR(__xludf.DUMMYFUNCTION("""COMPUTED_VALUE"""),0.9929859316626755)</f>
        <v>0.9929859317</v>
      </c>
      <c r="G48" s="23">
        <f>IFERROR(__xludf.DUMMYFUNCTION("""COMPUTED_VALUE"""),1.2392641826886495)</f>
        <v>1.239264183</v>
      </c>
      <c r="H48" s="4"/>
      <c r="I48" s="5" t="s">
        <v>1645</v>
      </c>
      <c r="J48" s="5" t="s">
        <v>1592</v>
      </c>
      <c r="K48" s="24">
        <v>1021.0</v>
      </c>
      <c r="L48" s="5">
        <v>-1.130644</v>
      </c>
      <c r="M48" s="5">
        <v>2.184505</v>
      </c>
      <c r="N48" s="5">
        <v>1.053861</v>
      </c>
      <c r="O48" s="5">
        <v>0.942946</v>
      </c>
    </row>
    <row r="49">
      <c r="A49" s="12" t="str">
        <f>IFERROR(__xludf.DUMMYFUNCTION("""COMPUTED_VALUE"""),"Joe Alexander")</f>
        <v>Joe Alexander</v>
      </c>
      <c r="B49" s="13" t="str">
        <f>IFERROR(__xludf.DUMMYFUNCTION("""COMPUTED_VALUE"""),"HAP")</f>
        <v>HAP</v>
      </c>
      <c r="C49" s="14">
        <f>IFERROR(__xludf.DUMMYFUNCTION("""COMPUTED_VALUE"""),1061.0)</f>
        <v>1061</v>
      </c>
      <c r="D49" s="15">
        <f>IFERROR(__xludf.DUMMYFUNCTION("""COMPUTED_VALUE"""),0.10540570632342938)</f>
        <v>0.1054057063</v>
      </c>
      <c r="E49" s="15">
        <f>IFERROR(__xludf.DUMMYFUNCTION("""COMPUTED_VALUE"""),0.8680258426881041)</f>
        <v>0.8680258427</v>
      </c>
      <c r="F49" s="15">
        <f>IFERROR(__xludf.DUMMYFUNCTION("""COMPUTED_VALUE"""),0.9734315490115335)</f>
        <v>0.973431549</v>
      </c>
      <c r="G49" s="17">
        <f>IFERROR(__xludf.DUMMYFUNCTION("""COMPUTED_VALUE"""),1.938016300130775)</f>
        <v>1.9380163</v>
      </c>
      <c r="H49" s="4"/>
      <c r="I49" s="5" t="s">
        <v>1646</v>
      </c>
      <c r="J49" s="5" t="s">
        <v>1643</v>
      </c>
      <c r="K49" s="5">
        <v>111.0</v>
      </c>
      <c r="L49" s="5">
        <v>1.746775</v>
      </c>
      <c r="M49" s="5">
        <v>-0.705751</v>
      </c>
      <c r="N49" s="5">
        <v>1.041024</v>
      </c>
      <c r="O49" s="5">
        <v>0.103179</v>
      </c>
    </row>
    <row r="50">
      <c r="A50" s="18" t="str">
        <f>IFERROR(__xludf.DUMMYFUNCTION("""COMPUTED_VALUE"""),"Shawn Dawson")</f>
        <v>Shawn Dawson</v>
      </c>
      <c r="B50" s="19" t="str">
        <f>IFERROR(__xludf.DUMMYFUNCTION("""COMPUTED_VALUE"""),"BHS")</f>
        <v>BHS</v>
      </c>
      <c r="C50" s="20">
        <f>IFERROR(__xludf.DUMMYFUNCTION("""COMPUTED_VALUE"""),1034.0)</f>
        <v>1034</v>
      </c>
      <c r="D50" s="21">
        <f>IFERROR(__xludf.DUMMYFUNCTION("""COMPUTED_VALUE"""),0.4453798108501611)</f>
        <v>0.4453798109</v>
      </c>
      <c r="E50" s="21">
        <f>IFERROR(__xludf.DUMMYFUNCTION("""COMPUTED_VALUE"""),0.5076384234302317)</f>
        <v>0.5076384234</v>
      </c>
      <c r="F50" s="21">
        <f>IFERROR(__xludf.DUMMYFUNCTION("""COMPUTED_VALUE"""),0.9530182342803928)</f>
        <v>0.9530182343</v>
      </c>
      <c r="G50" s="23">
        <f>IFERROR(__xludf.DUMMYFUNCTION("""COMPUTED_VALUE"""),0.9353141342940747)</f>
        <v>0.9353141343</v>
      </c>
      <c r="H50" s="4"/>
      <c r="I50" s="5" t="s">
        <v>1649</v>
      </c>
      <c r="J50" s="5" t="s">
        <v>1572</v>
      </c>
      <c r="K50" s="5">
        <v>967.0</v>
      </c>
      <c r="L50" s="5">
        <v>1.000815</v>
      </c>
      <c r="M50" s="5">
        <v>-0.00113</v>
      </c>
      <c r="N50" s="5">
        <v>0.999685</v>
      </c>
      <c r="O50" s="5">
        <v>0.878593</v>
      </c>
    </row>
    <row r="51">
      <c r="A51" s="12" t="str">
        <f>IFERROR(__xludf.DUMMYFUNCTION("""COMPUTED_VALUE"""),"Luke Martinez")</f>
        <v>Luke Martinez</v>
      </c>
      <c r="B51" s="13" t="str">
        <f>IFERROR(__xludf.DUMMYFUNCTION("""COMPUTED_VALUE"""),"HAI")</f>
        <v>HAI</v>
      </c>
      <c r="C51" s="14">
        <f>IFERROR(__xludf.DUMMYFUNCTION("""COMPUTED_VALUE"""),151.0)</f>
        <v>151</v>
      </c>
      <c r="D51" s="15">
        <f>IFERROR(__xludf.DUMMYFUNCTION("""COMPUTED_VALUE"""),1.0501876324174666)</f>
        <v>1.050187632</v>
      </c>
      <c r="E51" s="15">
        <f>IFERROR(__xludf.DUMMYFUNCTION("""COMPUTED_VALUE"""),-0.135031052672957)</f>
        <v>-0.1350310527</v>
      </c>
      <c r="F51" s="15">
        <f>IFERROR(__xludf.DUMMYFUNCTION("""COMPUTED_VALUE"""),0.9151565797445096)</f>
        <v>0.9151565797</v>
      </c>
      <c r="G51" s="17">
        <f>IFERROR(__xludf.DUMMYFUNCTION("""COMPUTED_VALUE"""),0.13953141796981278)</f>
        <v>0.139531418</v>
      </c>
      <c r="H51" s="4"/>
      <c r="I51" s="5" t="s">
        <v>1653</v>
      </c>
      <c r="J51" s="5" t="s">
        <v>1543</v>
      </c>
      <c r="K51" s="5">
        <v>819.0</v>
      </c>
      <c r="L51" s="5">
        <v>1.640772</v>
      </c>
      <c r="M51" s="5">
        <v>-0.666951</v>
      </c>
      <c r="N51" s="5">
        <v>0.973821</v>
      </c>
      <c r="O51" s="5">
        <v>1.496115</v>
      </c>
    </row>
    <row r="52">
      <c r="A52" s="18" t="str">
        <f>IFERROR(__xludf.DUMMYFUNCTION("""COMPUTED_VALUE"""),"Adrian Banks")</f>
        <v>Adrian Banks</v>
      </c>
      <c r="B52" s="19" t="str">
        <f>IFERROR(__xludf.DUMMYFUNCTION("""COMPUTED_VALUE"""),"HAP")</f>
        <v>HAP</v>
      </c>
      <c r="C52" s="20">
        <f>IFERROR(__xludf.DUMMYFUNCTION("""COMPUTED_VALUE"""),906.0)</f>
        <v>906</v>
      </c>
      <c r="D52" s="21">
        <f>IFERROR(__xludf.DUMMYFUNCTION("""COMPUTED_VALUE"""),2.612929367479561)</f>
        <v>2.612929367</v>
      </c>
      <c r="E52" s="21">
        <f>IFERROR(__xludf.DUMMYFUNCTION("""COMPUTED_VALUE"""),-1.8250680198910516)</f>
        <v>-1.82506802</v>
      </c>
      <c r="F52" s="21">
        <f>IFERROR(__xludf.DUMMYFUNCTION("""COMPUTED_VALUE"""),0.7878613475885092)</f>
        <v>0.7878613476</v>
      </c>
      <c r="G52" s="23">
        <f>IFERROR(__xludf.DUMMYFUNCTION("""COMPUTED_VALUE"""),1.5516131969236533)</f>
        <v>1.551613197</v>
      </c>
      <c r="H52" s="4"/>
      <c r="I52" s="5" t="s">
        <v>1656</v>
      </c>
      <c r="J52" s="5" t="s">
        <v>1580</v>
      </c>
      <c r="K52" s="5">
        <v>453.0</v>
      </c>
      <c r="L52" s="5">
        <v>-0.162957</v>
      </c>
      <c r="M52" s="5">
        <v>1.125142</v>
      </c>
      <c r="N52" s="5">
        <v>0.962186</v>
      </c>
      <c r="O52" s="5">
        <v>0.408277</v>
      </c>
    </row>
    <row r="53">
      <c r="A53" s="12" t="str">
        <f>IFERROR(__xludf.DUMMYFUNCTION("""COMPUTED_VALUE"""),"Tree Treadwell")</f>
        <v>Tree Treadwell</v>
      </c>
      <c r="B53" s="13" t="str">
        <f>IFERROR(__xludf.DUMMYFUNCTION("""COMPUTED_VALUE"""),"EIL")</f>
        <v>EIL</v>
      </c>
      <c r="C53" s="14">
        <f>IFERROR(__xludf.DUMMYFUNCTION("""COMPUTED_VALUE"""),1182.0)</f>
        <v>1182</v>
      </c>
      <c r="D53" s="15">
        <f>IFERROR(__xludf.DUMMYFUNCTION("""COMPUTED_VALUE"""),-0.4053964055400834)</f>
        <v>-0.4053964055</v>
      </c>
      <c r="E53" s="15">
        <f>IFERROR(__xludf.DUMMYFUNCTION("""COMPUTED_VALUE"""),1.1389531717574495)</f>
        <v>1.138953172</v>
      </c>
      <c r="F53" s="15">
        <f>IFERROR(__xludf.DUMMYFUNCTION("""COMPUTED_VALUE"""),0.733556766217366)</f>
        <v>0.7335567662</v>
      </c>
      <c r="G53" s="17">
        <f>IFERROR(__xludf.DUMMYFUNCTION("""COMPUTED_VALUE"""),0.9889190850833002)</f>
        <v>0.9889190851</v>
      </c>
      <c r="H53" s="4"/>
      <c r="I53" s="5" t="s">
        <v>1657</v>
      </c>
      <c r="J53" s="5" t="s">
        <v>1621</v>
      </c>
      <c r="K53" s="24">
        <v>1062.0</v>
      </c>
      <c r="L53" s="5">
        <v>0.244682</v>
      </c>
      <c r="M53" s="5">
        <v>0.661184</v>
      </c>
      <c r="N53" s="5">
        <v>0.905866</v>
      </c>
      <c r="O53" s="5">
        <v>0.941893</v>
      </c>
    </row>
    <row r="54">
      <c r="A54" s="18" t="str">
        <f>IFERROR(__xludf.DUMMYFUNCTION("""COMPUTED_VALUE"""),"Pierre Jackson")</f>
        <v>Pierre Jackson</v>
      </c>
      <c r="B54" s="19" t="str">
        <f>IFERROR(__xludf.DUMMYFUNCTION("""COMPUTED_VALUE"""),"MAC")</f>
        <v>MAC</v>
      </c>
      <c r="C54" s="20">
        <f>IFERROR(__xludf.DUMMYFUNCTION("""COMPUTED_VALUE"""),484.0)</f>
        <v>484</v>
      </c>
      <c r="D54" s="21">
        <f>IFERROR(__xludf.DUMMYFUNCTION("""COMPUTED_VALUE"""),1.2045529926017347)</f>
        <v>1.204552993</v>
      </c>
      <c r="E54" s="21">
        <f>IFERROR(__xludf.DUMMYFUNCTION("""COMPUTED_VALUE"""),-0.5380336071274971)</f>
        <v>-0.5380336071</v>
      </c>
      <c r="F54" s="21">
        <f>IFERROR(__xludf.DUMMYFUNCTION("""COMPUTED_VALUE"""),0.6665193854742375)</f>
        <v>0.6665193855</v>
      </c>
      <c r="G54" s="23">
        <f>IFERROR(__xludf.DUMMYFUNCTION("""COMPUTED_VALUE"""),0.3923173687361197)</f>
        <v>0.3923173687</v>
      </c>
      <c r="H54" s="4"/>
      <c r="I54" s="5" t="s">
        <v>1660</v>
      </c>
      <c r="J54" s="5" t="s">
        <v>1543</v>
      </c>
      <c r="K54" s="5">
        <v>755.0</v>
      </c>
      <c r="L54" s="5">
        <v>2.038567</v>
      </c>
      <c r="M54" s="5">
        <v>-1.174068</v>
      </c>
      <c r="N54" s="5">
        <v>0.864498</v>
      </c>
      <c r="O54" s="5">
        <v>1.328501</v>
      </c>
    </row>
    <row r="55">
      <c r="A55" s="12" t="str">
        <f>IFERROR(__xludf.DUMMYFUNCTION("""COMPUTED_VALUE"""),"Austin Daye")</f>
        <v>Austin Daye</v>
      </c>
      <c r="B55" s="13" t="str">
        <f>IFERROR(__xludf.DUMMYFUNCTION("""COMPUTED_VALUE"""),"HAPJ")</f>
        <v>HAPJ</v>
      </c>
      <c r="C55" s="14">
        <f>IFERROR(__xludf.DUMMYFUNCTION("""COMPUTED_VALUE"""),176.0)</f>
        <v>176</v>
      </c>
      <c r="D55" s="15">
        <f>IFERROR(__xludf.DUMMYFUNCTION("""COMPUTED_VALUE"""),0.7025436507342119)</f>
        <v>0.7025436507</v>
      </c>
      <c r="E55" s="15">
        <f>IFERROR(__xludf.DUMMYFUNCTION("""COMPUTED_VALUE"""),-0.05344989331205785)</f>
        <v>-0.05344989331</v>
      </c>
      <c r="F55" s="15">
        <f>IFERROR(__xludf.DUMMYFUNCTION("""COMPUTED_VALUE"""),0.649093757422154)</f>
        <v>0.6490937574</v>
      </c>
      <c r="G55" s="17">
        <f>IFERROR(__xludf.DUMMYFUNCTION("""COMPUTED_VALUE"""),0.14090431155410554)</f>
        <v>0.1409043116</v>
      </c>
      <c r="H55" s="4"/>
      <c r="I55" s="5" t="s">
        <v>1663</v>
      </c>
      <c r="J55" s="5" t="s">
        <v>1606</v>
      </c>
      <c r="K55" s="5">
        <v>151.0</v>
      </c>
      <c r="L55" s="5">
        <v>1.061885</v>
      </c>
      <c r="M55" s="5">
        <v>-0.203958</v>
      </c>
      <c r="N55" s="5">
        <v>0.857927</v>
      </c>
      <c r="O55" s="5">
        <v>0.13674</v>
      </c>
    </row>
    <row r="56">
      <c r="A56" s="18" t="str">
        <f>IFERROR(__xludf.DUMMYFUNCTION("""COMPUTED_VALUE"""),"Daequan Cook")</f>
        <v>Daequan Cook</v>
      </c>
      <c r="B56" s="19" t="str">
        <f>IFERROR(__xludf.DUMMYFUNCTION("""COMPUTED_VALUE"""),"IRO")</f>
        <v>IRO</v>
      </c>
      <c r="C56" s="20">
        <f>IFERROR(__xludf.DUMMYFUNCTION("""COMPUTED_VALUE"""),804.0)</f>
        <v>804</v>
      </c>
      <c r="D56" s="21">
        <f>IFERROR(__xludf.DUMMYFUNCTION("""COMPUTED_VALUE"""),3.6982990290454323)</f>
        <v>3.698299029</v>
      </c>
      <c r="E56" s="21">
        <f>IFERROR(__xludf.DUMMYFUNCTION("""COMPUTED_VALUE"""),-3.0623387779827396)</f>
        <v>-3.062338778</v>
      </c>
      <c r="F56" s="21">
        <f>IFERROR(__xludf.DUMMYFUNCTION("""COMPUTED_VALUE"""),0.6359602510626928)</f>
        <v>0.6359602511</v>
      </c>
      <c r="G56" s="23">
        <f>IFERROR(__xludf.DUMMYFUNCTION("""COMPUTED_VALUE"""),0.6450856352636214)</f>
        <v>0.6450856353</v>
      </c>
      <c r="H56" s="4"/>
      <c r="I56" s="5" t="s">
        <v>1666</v>
      </c>
      <c r="J56" s="5" t="s">
        <v>1580</v>
      </c>
      <c r="K56" s="5">
        <v>690.0</v>
      </c>
      <c r="L56" s="5">
        <v>-0.045788</v>
      </c>
      <c r="M56" s="5">
        <v>0.885749</v>
      </c>
      <c r="N56" s="5">
        <v>0.839961</v>
      </c>
      <c r="O56" s="5">
        <v>0.59622</v>
      </c>
    </row>
    <row r="57">
      <c r="A57" s="12" t="str">
        <f>IFERROR(__xludf.DUMMYFUNCTION("""COMPUTED_VALUE"""),"Guy Pnini")</f>
        <v>Guy Pnini</v>
      </c>
      <c r="B57" s="13" t="str">
        <f>IFERROR(__xludf.DUMMYFUNCTION("""COMPUTED_VALUE"""),"HAP")</f>
        <v>HAP</v>
      </c>
      <c r="C57" s="14">
        <f>IFERROR(__xludf.DUMMYFUNCTION("""COMPUTED_VALUE"""),1025.0)</f>
        <v>1025</v>
      </c>
      <c r="D57" s="15">
        <f>IFERROR(__xludf.DUMMYFUNCTION("""COMPUTED_VALUE"""),0.99054797809933)</f>
        <v>0.9905479781</v>
      </c>
      <c r="E57" s="15">
        <f>IFERROR(__xludf.DUMMYFUNCTION("""COMPUTED_VALUE"""),-0.42600866670909676)</f>
        <v>-0.4260086667</v>
      </c>
      <c r="F57" s="15">
        <f>IFERROR(__xludf.DUMMYFUNCTION("""COMPUTED_VALUE"""),0.5645393113902333)</f>
        <v>0.5645393114</v>
      </c>
      <c r="G57" s="17">
        <f>IFERROR(__xludf.DUMMYFUNCTION("""COMPUTED_VALUE"""),1.6147947267728466)</f>
        <v>1.614794727</v>
      </c>
      <c r="H57" s="4"/>
      <c r="I57" s="5" t="s">
        <v>1668</v>
      </c>
      <c r="J57" s="5" t="s">
        <v>1572</v>
      </c>
      <c r="K57" s="24">
        <v>176.0</v>
      </c>
      <c r="L57" s="5">
        <v>0.73552</v>
      </c>
      <c r="M57" s="5">
        <v>0.0878</v>
      </c>
      <c r="N57" s="5">
        <v>0.82332</v>
      </c>
      <c r="O57" s="5">
        <v>0.150508</v>
      </c>
    </row>
    <row r="58">
      <c r="A58" s="18" t="str">
        <f>IFERROR(__xludf.DUMMYFUNCTION("""COMPUTED_VALUE"""),"Netanel Artzi")</f>
        <v>Netanel Artzi</v>
      </c>
      <c r="B58" s="19" t="str">
        <f>IFERROR(__xludf.DUMMYFUNCTION("""COMPUTED_VALUE"""),"ASH")</f>
        <v>ASH</v>
      </c>
      <c r="C58" s="20">
        <f>IFERROR(__xludf.DUMMYFUNCTION("""COMPUTED_VALUE"""),86.0)</f>
        <v>86</v>
      </c>
      <c r="D58" s="21">
        <f>IFERROR(__xludf.DUMMYFUNCTION("""COMPUTED_VALUE"""),0.03794524091992237)</f>
        <v>0.03794524092</v>
      </c>
      <c r="E58" s="21">
        <f>IFERROR(__xludf.DUMMYFUNCTION("""COMPUTED_VALUE"""),0.4530949659754543)</f>
        <v>0.453094966</v>
      </c>
      <c r="F58" s="21">
        <f>IFERROR(__xludf.DUMMYFUNCTION("""COMPUTED_VALUE"""),0.49104020689537664)</f>
        <v>0.4910402069</v>
      </c>
      <c r="G58" s="23">
        <f>IFERROR(__xludf.DUMMYFUNCTION("""COMPUTED_VALUE"""),0.06722149613573296)</f>
        <v>0.06722149614</v>
      </c>
      <c r="H58" s="4"/>
      <c r="I58" s="5" t="s">
        <v>433</v>
      </c>
      <c r="J58" s="5" t="s">
        <v>64</v>
      </c>
      <c r="K58" s="5">
        <v>272.0</v>
      </c>
      <c r="L58" s="5">
        <v>-2.784812</v>
      </c>
      <c r="M58" s="5">
        <v>3.556685</v>
      </c>
      <c r="N58" s="5">
        <v>0.771872</v>
      </c>
      <c r="O58" s="5">
        <v>0.228897</v>
      </c>
    </row>
    <row r="59">
      <c r="A59" s="12" t="str">
        <f>IFERROR(__xludf.DUMMYFUNCTION("""COMPUTED_VALUE"""),"Denzel Livingston")</f>
        <v>Denzel Livingston</v>
      </c>
      <c r="B59" s="13" t="str">
        <f>IFERROR(__xludf.DUMMYFUNCTION("""COMPUTED_VALUE"""),"NAH")</f>
        <v>NAH</v>
      </c>
      <c r="C59" s="14">
        <f>IFERROR(__xludf.DUMMYFUNCTION("""COMPUTED_VALUE"""),522.0)</f>
        <v>522</v>
      </c>
      <c r="D59" s="15">
        <f>IFERROR(__xludf.DUMMYFUNCTION("""COMPUTED_VALUE"""),-0.5805587322315108)</f>
        <v>-0.5805587322</v>
      </c>
      <c r="E59" s="15">
        <f>IFERROR(__xludf.DUMMYFUNCTION("""COMPUTED_VALUE"""),1.065110061132236)</f>
        <v>1.065110061</v>
      </c>
      <c r="F59" s="15">
        <f>IFERROR(__xludf.DUMMYFUNCTION("""COMPUTED_VALUE"""),0.4845513289007253)</f>
        <v>0.4845513289</v>
      </c>
      <c r="G59" s="17">
        <f>IFERROR(__xludf.DUMMYFUNCTION("""COMPUTED_VALUE"""),0.39582707076281837)</f>
        <v>0.3958270708</v>
      </c>
      <c r="H59" s="4"/>
      <c r="I59" s="5" t="s">
        <v>1672</v>
      </c>
      <c r="J59" s="5" t="s">
        <v>1546</v>
      </c>
      <c r="K59" s="24">
        <v>1065.0</v>
      </c>
      <c r="L59" s="5">
        <v>-0.579488</v>
      </c>
      <c r="M59" s="5">
        <v>1.34749</v>
      </c>
      <c r="N59" s="5">
        <v>0.768002</v>
      </c>
      <c r="O59" s="5">
        <v>0.901291</v>
      </c>
    </row>
    <row r="60">
      <c r="A60" s="18" t="str">
        <f>IFERROR(__xludf.DUMMYFUNCTION("""COMPUTED_VALUE"""),"Ousmane Drame")</f>
        <v>Ousmane Drame</v>
      </c>
      <c r="B60" s="19" t="str">
        <f>IFERROR(__xludf.DUMMYFUNCTION("""COMPUTED_VALUE"""),"NAH")</f>
        <v>NAH</v>
      </c>
      <c r="C60" s="20">
        <f>IFERROR(__xludf.DUMMYFUNCTION("""COMPUTED_VALUE"""),76.0)</f>
        <v>76</v>
      </c>
      <c r="D60" s="21">
        <f>IFERROR(__xludf.DUMMYFUNCTION("""COMPUTED_VALUE"""),0.11418717759873213)</f>
        <v>0.1141871776</v>
      </c>
      <c r="E60" s="21">
        <f>IFERROR(__xludf.DUMMYFUNCTION("""COMPUTED_VALUE"""),0.36117117865653625)</f>
        <v>0.3611711787</v>
      </c>
      <c r="F60" s="21">
        <f>IFERROR(__xludf.DUMMYFUNCTION("""COMPUTED_VALUE"""),0.4753583562552684)</f>
        <v>0.4753583563</v>
      </c>
      <c r="G60" s="23">
        <f>IFERROR(__xludf.DUMMYFUNCTION("""COMPUTED_VALUE"""),0.05741676091686502)</f>
        <v>0.05741676092</v>
      </c>
      <c r="H60" s="4"/>
      <c r="I60" s="5" t="s">
        <v>1675</v>
      </c>
      <c r="J60" s="5" t="s">
        <v>1554</v>
      </c>
      <c r="K60" s="5">
        <v>331.0</v>
      </c>
      <c r="L60" s="5">
        <v>1.819047</v>
      </c>
      <c r="M60" s="5">
        <v>-1.166846</v>
      </c>
      <c r="N60" s="5">
        <v>0.652202</v>
      </c>
      <c r="O60" s="5">
        <v>0.276347</v>
      </c>
    </row>
    <row r="61">
      <c r="A61" s="12" t="str">
        <f>IFERROR(__xludf.DUMMYFUNCTION("""COMPUTED_VALUE"""),"Adam Ariel")</f>
        <v>Adam Ariel</v>
      </c>
      <c r="B61" s="13" t="str">
        <f>IFERROR(__xludf.DUMMYFUNCTION("""COMPUTED_VALUE"""),"ASH")</f>
        <v>ASH</v>
      </c>
      <c r="C61" s="14">
        <f>IFERROR(__xludf.DUMMYFUNCTION("""COMPUTED_VALUE"""),621.0)</f>
        <v>621</v>
      </c>
      <c r="D61" s="15">
        <f>IFERROR(__xludf.DUMMYFUNCTION("""COMPUTED_VALUE"""),1.3695838725750484)</f>
        <v>1.369583873</v>
      </c>
      <c r="E61" s="15">
        <f>IFERROR(__xludf.DUMMYFUNCTION("""COMPUTED_VALUE"""),-0.9154397311256858)</f>
        <v>-0.9154397311</v>
      </c>
      <c r="F61" s="15">
        <f>IFERROR(__xludf.DUMMYFUNCTION("""COMPUTED_VALUE"""),0.45414414144936266)</f>
        <v>0.4541441414</v>
      </c>
      <c r="G61" s="17">
        <f>IFERROR(__xludf.DUMMYFUNCTION("""COMPUTED_VALUE"""),0.4782122013813393)</f>
        <v>0.4782122014</v>
      </c>
      <c r="H61" s="4"/>
      <c r="I61" s="5" t="s">
        <v>1677</v>
      </c>
      <c r="J61" s="5" t="s">
        <v>1554</v>
      </c>
      <c r="K61" s="5">
        <v>698.0</v>
      </c>
      <c r="L61" s="5">
        <v>0.159148</v>
      </c>
      <c r="M61" s="5">
        <v>0.486647</v>
      </c>
      <c r="N61" s="5">
        <v>0.645795</v>
      </c>
      <c r="O61" s="5">
        <v>0.581341</v>
      </c>
    </row>
    <row r="62">
      <c r="A62" s="18" t="str">
        <f>IFERROR(__xludf.DUMMYFUNCTION("""COMPUTED_VALUE"""),"Evan Yates")</f>
        <v>Evan Yates</v>
      </c>
      <c r="B62" s="19" t="str">
        <f>IFERROR(__xludf.DUMMYFUNCTION("""COMPUTED_VALUE"""),"IRO")</f>
        <v>IRO</v>
      </c>
      <c r="C62" s="20">
        <f>IFERROR(__xludf.DUMMYFUNCTION("""COMPUTED_VALUE"""),18.0)</f>
        <v>18</v>
      </c>
      <c r="D62" s="21">
        <f>IFERROR(__xludf.DUMMYFUNCTION("""COMPUTED_VALUE"""),0.25526753910935523)</f>
        <v>0.2552675391</v>
      </c>
      <c r="E62" s="21">
        <f>IFERROR(__xludf.DUMMYFUNCTION("""COMPUTED_VALUE"""),0.18536091123206927)</f>
        <v>0.1853609112</v>
      </c>
      <c r="F62" s="21">
        <f>IFERROR(__xludf.DUMMYFUNCTION("""COMPUTED_VALUE"""),0.4406284503414245)</f>
        <v>0.4406284503</v>
      </c>
      <c r="G62" s="23">
        <f>IFERROR(__xludf.DUMMYFUNCTION("""COMPUTED_VALUE"""),0.013372008377379042)</f>
        <v>0.01337200838</v>
      </c>
      <c r="H62" s="4"/>
      <c r="I62" s="5" t="s">
        <v>1680</v>
      </c>
      <c r="J62" s="5" t="s">
        <v>1592</v>
      </c>
      <c r="K62" s="5">
        <v>868.0</v>
      </c>
      <c r="L62" s="5">
        <v>3.532111</v>
      </c>
      <c r="M62" s="5">
        <v>-2.970043</v>
      </c>
      <c r="N62" s="5">
        <v>0.562067</v>
      </c>
      <c r="O62" s="5">
        <v>0.672546</v>
      </c>
    </row>
    <row r="63">
      <c r="A63" s="12" t="str">
        <f>IFERROR(__xludf.DUMMYFUNCTION("""COMPUTED_VALUE"""),"Golan Gutt")</f>
        <v>Golan Gutt</v>
      </c>
      <c r="B63" s="13" t="str">
        <f>IFERROR(__xludf.DUMMYFUNCTION("""COMPUTED_VALUE"""),"IRO")</f>
        <v>IRO</v>
      </c>
      <c r="C63" s="14">
        <f>IFERROR(__xludf.DUMMYFUNCTION("""COMPUTED_VALUE"""),822.0)</f>
        <v>822</v>
      </c>
      <c r="D63" s="15">
        <f>IFERROR(__xludf.DUMMYFUNCTION("""COMPUTED_VALUE"""),-0.10060812647480977)</f>
        <v>-0.1006081265</v>
      </c>
      <c r="E63" s="15">
        <f>IFERROR(__xludf.DUMMYFUNCTION("""COMPUTED_VALUE"""),0.5301272108644535)</f>
        <v>0.5301272109</v>
      </c>
      <c r="F63" s="15">
        <f>IFERROR(__xludf.DUMMYFUNCTION("""COMPUTED_VALUE"""),0.4295190843896437)</f>
        <v>0.4295190844</v>
      </c>
      <c r="G63" s="17">
        <f>IFERROR(__xludf.DUMMYFUNCTION("""COMPUTED_VALUE"""),0.607875441214532)</f>
        <v>0.6078754412</v>
      </c>
      <c r="H63" s="4"/>
      <c r="I63" s="5" t="s">
        <v>223</v>
      </c>
      <c r="J63" s="5" t="s">
        <v>64</v>
      </c>
      <c r="K63" s="5">
        <v>484.0</v>
      </c>
      <c r="L63" s="5">
        <v>1.223329</v>
      </c>
      <c r="M63" s="5">
        <v>-0.713718</v>
      </c>
      <c r="N63" s="5">
        <v>0.50961</v>
      </c>
      <c r="O63" s="5">
        <v>0.368765</v>
      </c>
    </row>
    <row r="64">
      <c r="A64" s="18" t="str">
        <f>IFERROR(__xludf.DUMMYFUNCTION("""COMPUTED_VALUE"""),"Tywain McKee")</f>
        <v>Tywain McKee</v>
      </c>
      <c r="B64" s="19" t="str">
        <f>IFERROR(__xludf.DUMMYFUNCTION("""COMPUTED_VALUE"""),"HAP")</f>
        <v>HAP</v>
      </c>
      <c r="C64" s="20">
        <f>IFERROR(__xludf.DUMMYFUNCTION("""COMPUTED_VALUE"""),837.0)</f>
        <v>837</v>
      </c>
      <c r="D64" s="21">
        <f>IFERROR(__xludf.DUMMYFUNCTION("""COMPUTED_VALUE"""),1.174722610930473)</f>
        <v>1.174722611</v>
      </c>
      <c r="E64" s="21">
        <f>IFERROR(__xludf.DUMMYFUNCTION("""COMPUTED_VALUE"""),-0.7698889905731601)</f>
        <v>-0.7698889906</v>
      </c>
      <c r="F64" s="21">
        <f>IFERROR(__xludf.DUMMYFUNCTION("""COMPUTED_VALUE"""),0.4048336203573128)</f>
        <v>0.4048336204</v>
      </c>
      <c r="G64" s="23">
        <f>IFERROR(__xludf.DUMMYFUNCTION("""COMPUTED_VALUE"""),1.236501334199736)</f>
        <v>1.236501334</v>
      </c>
      <c r="H64" s="4"/>
      <c r="I64" s="5" t="s">
        <v>1682</v>
      </c>
      <c r="J64" s="5" t="s">
        <v>1580</v>
      </c>
      <c r="K64" s="5">
        <v>18.0</v>
      </c>
      <c r="L64" s="5">
        <v>0.261489</v>
      </c>
      <c r="M64" s="5">
        <v>0.20518</v>
      </c>
      <c r="N64" s="5">
        <v>0.466669</v>
      </c>
      <c r="O64" s="5">
        <v>0.013509</v>
      </c>
    </row>
    <row r="65">
      <c r="A65" s="12" t="str">
        <f>IFERROR(__xludf.DUMMYFUNCTION("""COMPUTED_VALUE"""),"Ben McCauley")</f>
        <v>Ben McCauley</v>
      </c>
      <c r="B65" s="13" t="str">
        <f>IFERROR(__xludf.DUMMYFUNCTION("""COMPUTED_VALUE"""),"ASH")</f>
        <v>ASH</v>
      </c>
      <c r="C65" s="14">
        <f>IFERROR(__xludf.DUMMYFUNCTION("""COMPUTED_VALUE"""),432.0)</f>
        <v>432</v>
      </c>
      <c r="D65" s="15">
        <f>IFERROR(__xludf.DUMMYFUNCTION("""COMPUTED_VALUE"""),1.203062000689148)</f>
        <v>1.203062001</v>
      </c>
      <c r="E65" s="15">
        <f>IFERROR(__xludf.DUMMYFUNCTION("""COMPUTED_VALUE"""),-0.8621410419131096)</f>
        <v>-0.8621410419</v>
      </c>
      <c r="F65" s="15">
        <f>IFERROR(__xludf.DUMMYFUNCTION("""COMPUTED_VALUE"""),0.34092095877603834)</f>
        <v>0.3409209588</v>
      </c>
      <c r="G65" s="17">
        <f>IFERROR(__xludf.DUMMYFUNCTION("""COMPUTED_VALUE"""),0.3173214882210743)</f>
        <v>0.3173214882</v>
      </c>
      <c r="H65" s="4"/>
      <c r="I65" s="5" t="s">
        <v>1684</v>
      </c>
      <c r="J65" s="5" t="s">
        <v>1621</v>
      </c>
      <c r="K65" s="5">
        <v>76.0</v>
      </c>
      <c r="L65" s="5">
        <v>0.124415</v>
      </c>
      <c r="M65" s="5">
        <v>0.34045</v>
      </c>
      <c r="N65" s="5">
        <v>0.464866</v>
      </c>
      <c r="O65" s="5">
        <v>0.057175</v>
      </c>
    </row>
    <row r="66">
      <c r="A66" s="18" t="str">
        <f>IFERROR(__xludf.DUMMYFUNCTION("""COMPUTED_VALUE"""),"Jeremy Pargo")</f>
        <v>Jeremy Pargo</v>
      </c>
      <c r="B66" s="19" t="str">
        <f>IFERROR(__xludf.DUMMYFUNCTION("""COMPUTED_VALUE"""),"MAC")</f>
        <v>MAC</v>
      </c>
      <c r="C66" s="20">
        <f>IFERROR(__xludf.DUMMYFUNCTION("""COMPUTED_VALUE"""),298.0)</f>
        <v>298</v>
      </c>
      <c r="D66" s="21">
        <f>IFERROR(__xludf.DUMMYFUNCTION("""COMPUTED_VALUE"""),1.6651430555336)</f>
        <v>1.665143056</v>
      </c>
      <c r="E66" s="21">
        <f>IFERROR(__xludf.DUMMYFUNCTION("""COMPUTED_VALUE"""),-1.41717506896799)</f>
        <v>-1.417175069</v>
      </c>
      <c r="F66" s="21">
        <f>IFERROR(__xludf.DUMMYFUNCTION("""COMPUTED_VALUE"""),0.24796798656561)</f>
        <v>0.2479679866</v>
      </c>
      <c r="G66" s="23">
        <f>IFERROR(__xludf.DUMMYFUNCTION("""COMPUTED_VALUE"""),0.20363565175128936)</f>
        <v>0.2036356518</v>
      </c>
      <c r="H66" s="4"/>
      <c r="I66" s="5" t="s">
        <v>1685</v>
      </c>
      <c r="J66" s="5" t="s">
        <v>1621</v>
      </c>
      <c r="K66" s="5">
        <v>522.0</v>
      </c>
      <c r="L66" s="5">
        <v>-0.545949</v>
      </c>
      <c r="M66" s="5">
        <v>0.983389</v>
      </c>
      <c r="N66" s="5">
        <v>0.43744</v>
      </c>
      <c r="O66" s="5">
        <v>0.388334</v>
      </c>
    </row>
    <row r="67">
      <c r="A67" s="12" t="str">
        <f>IFERROR(__xludf.DUMMYFUNCTION("""COMPUTED_VALUE"""),"Deshaun Thomas")</f>
        <v>Deshaun Thomas</v>
      </c>
      <c r="B67" s="13" t="str">
        <f>IFERROR(__xludf.DUMMYFUNCTION("""COMPUTED_VALUE"""),"MAC")</f>
        <v>MAC</v>
      </c>
      <c r="C67" s="14">
        <f>IFERROR(__xludf.DUMMYFUNCTION("""COMPUTED_VALUE"""),609.0)</f>
        <v>609</v>
      </c>
      <c r="D67" s="15">
        <f>IFERROR(__xludf.DUMMYFUNCTION("""COMPUTED_VALUE"""),2.1034373999522846)</f>
        <v>2.1034374</v>
      </c>
      <c r="E67" s="15">
        <f>IFERROR(__xludf.DUMMYFUNCTION("""COMPUTED_VALUE"""),-1.8925275577378398)</f>
        <v>-1.892527558</v>
      </c>
      <c r="F67" s="15">
        <f>IFERROR(__xludf.DUMMYFUNCTION("""COMPUTED_VALUE"""),0.21090984221444486)</f>
        <v>0.2109098422</v>
      </c>
      <c r="G67" s="17">
        <f>IFERROR(__xludf.DUMMYFUNCTION("""COMPUTED_VALUE"""),0.4092943545333435)</f>
        <v>0.4092943545</v>
      </c>
      <c r="H67" s="4"/>
      <c r="I67" s="5" t="s">
        <v>1687</v>
      </c>
      <c r="J67" s="5" t="s">
        <v>1554</v>
      </c>
      <c r="K67" s="5">
        <v>69.0</v>
      </c>
      <c r="L67" s="5">
        <v>0.035161</v>
      </c>
      <c r="M67" s="5">
        <v>0.381291</v>
      </c>
      <c r="N67" s="5">
        <v>0.416452</v>
      </c>
      <c r="O67" s="5">
        <v>0.052106</v>
      </c>
    </row>
    <row r="68">
      <c r="A68" s="18" t="str">
        <f>IFERROR(__xludf.DUMMYFUNCTION("""COMPUTED_VALUE"""),"Jeff Adrien")</f>
        <v>Jeff Adrien</v>
      </c>
      <c r="B68" s="19" t="str">
        <f>IFERROR(__xludf.DUMMYFUNCTION("""COMPUTED_VALUE"""),"BHS")</f>
        <v>BHS</v>
      </c>
      <c r="C68" s="20">
        <f>IFERROR(__xludf.DUMMYFUNCTION("""COMPUTED_VALUE"""),1062.0)</f>
        <v>1062</v>
      </c>
      <c r="D68" s="21">
        <f>IFERROR(__xludf.DUMMYFUNCTION("""COMPUTED_VALUE"""),0.26739027352227474)</f>
        <v>0.2673902735</v>
      </c>
      <c r="E68" s="21">
        <f>IFERROR(__xludf.DUMMYFUNCTION("""COMPUTED_VALUE"""),-0.0673222852843024)</f>
        <v>-0.06732228528</v>
      </c>
      <c r="F68" s="21">
        <f>IFERROR(__xludf.DUMMYFUNCTION("""COMPUTED_VALUE"""),0.20006798823797234)</f>
        <v>0.2000679882</v>
      </c>
      <c r="G68" s="23">
        <f>IFERROR(__xludf.DUMMYFUNCTION("""COMPUTED_VALUE"""),0.7157007109871939)</f>
        <v>0.715700711</v>
      </c>
      <c r="H68" s="4"/>
      <c r="I68" s="5" t="s">
        <v>1688</v>
      </c>
      <c r="J68" s="5" t="s">
        <v>64</v>
      </c>
      <c r="K68" s="5">
        <v>87.0</v>
      </c>
      <c r="L68" s="5">
        <v>0.980789</v>
      </c>
      <c r="M68" s="5">
        <v>-0.58716</v>
      </c>
      <c r="N68" s="5">
        <v>0.393628</v>
      </c>
      <c r="O68" s="5">
        <v>0.063223</v>
      </c>
    </row>
    <row r="69">
      <c r="A69" s="12" t="str">
        <f>IFERROR(__xludf.DUMMYFUNCTION("""COMPUTED_VALUE"""),"Jason Siggers")</f>
        <v>Jason Siggers</v>
      </c>
      <c r="B69" s="13" t="str">
        <f>IFERROR(__xludf.DUMMYFUNCTION("""COMPUTED_VALUE"""),"MRL")</f>
        <v>MRL</v>
      </c>
      <c r="C69" s="14">
        <f>IFERROR(__xludf.DUMMYFUNCTION("""COMPUTED_VALUE"""),670.0)</f>
        <v>670</v>
      </c>
      <c r="D69" s="15">
        <f>IFERROR(__xludf.DUMMYFUNCTION("""COMPUTED_VALUE"""),1.9014505517353482)</f>
        <v>1.901450552</v>
      </c>
      <c r="E69" s="15">
        <f>IFERROR(__xludf.DUMMYFUNCTION("""COMPUTED_VALUE"""),-1.7266718378246213)</f>
        <v>-1.726671838</v>
      </c>
      <c r="F69" s="15">
        <f>IFERROR(__xludf.DUMMYFUNCTION("""COMPUTED_VALUE"""),0.1747787139107268)</f>
        <v>0.1747787139</v>
      </c>
      <c r="G69" s="17">
        <f>IFERROR(__xludf.DUMMYFUNCTION("""COMPUTED_VALUE"""),0.45072605842190977)</f>
        <v>0.4507260584</v>
      </c>
      <c r="H69" s="4"/>
      <c r="I69" s="5" t="s">
        <v>1690</v>
      </c>
      <c r="J69" s="5" t="s">
        <v>1643</v>
      </c>
      <c r="K69" s="24">
        <v>1027.0</v>
      </c>
      <c r="L69" s="5">
        <v>0.474568</v>
      </c>
      <c r="M69" s="5">
        <v>-0.103684</v>
      </c>
      <c r="N69" s="5">
        <v>0.370884</v>
      </c>
      <c r="O69" s="5">
        <v>0.744266</v>
      </c>
    </row>
    <row r="70">
      <c r="A70" s="18" t="str">
        <f>IFERROR(__xludf.DUMMYFUNCTION("""COMPUTED_VALUE"""),"Roman Sorkin")</f>
        <v>Roman Sorkin</v>
      </c>
      <c r="B70" s="19" t="str">
        <f>IFERROR(__xludf.DUMMYFUNCTION("""COMPUTED_VALUE"""),"HAI")</f>
        <v>HAI</v>
      </c>
      <c r="C70" s="20">
        <f>IFERROR(__xludf.DUMMYFUNCTION("""COMPUTED_VALUE"""),21.0)</f>
        <v>21</v>
      </c>
      <c r="D70" s="21">
        <f>IFERROR(__xludf.DUMMYFUNCTION("""COMPUTED_VALUE"""),0.4293857920725917)</f>
        <v>0.4293857921</v>
      </c>
      <c r="E70" s="21">
        <f>IFERROR(__xludf.DUMMYFUNCTION("""COMPUTED_VALUE"""),-0.26991275489547023)</f>
        <v>-0.2699127549</v>
      </c>
      <c r="F70" s="21">
        <f>IFERROR(__xludf.DUMMYFUNCTION("""COMPUTED_VALUE"""),0.15947303717712147)</f>
        <v>0.1594730372</v>
      </c>
      <c r="G70" s="23">
        <f>IFERROR(__xludf.DUMMYFUNCTION("""COMPUTED_VALUE"""),0.014374748478143157)</f>
        <v>0.01437474848</v>
      </c>
      <c r="H70" s="4"/>
      <c r="I70" s="5" t="s">
        <v>1692</v>
      </c>
      <c r="J70" s="5" t="s">
        <v>1543</v>
      </c>
      <c r="K70" s="5">
        <v>461.0</v>
      </c>
      <c r="L70" s="5">
        <v>1.89995</v>
      </c>
      <c r="M70" s="5">
        <v>-1.602029</v>
      </c>
      <c r="N70" s="5">
        <v>0.297922</v>
      </c>
      <c r="O70" s="5">
        <v>0.650732</v>
      </c>
    </row>
    <row r="71">
      <c r="A71" s="12" t="str">
        <f>IFERROR(__xludf.DUMMYFUNCTION("""COMPUTED_VALUE"""),"Nimrod Levi")</f>
        <v>Nimrod Levi</v>
      </c>
      <c r="B71" s="13" t="str">
        <f>IFERROR(__xludf.DUMMYFUNCTION("""COMPUTED_VALUE"""),"ASH")</f>
        <v>ASH</v>
      </c>
      <c r="C71" s="14">
        <f>IFERROR(__xludf.DUMMYFUNCTION("""COMPUTED_VALUE"""),821.0)</f>
        <v>821</v>
      </c>
      <c r="D71" s="15">
        <f>IFERROR(__xludf.DUMMYFUNCTION("""COMPUTED_VALUE"""),-0.38517652670933)</f>
        <v>-0.3851765267</v>
      </c>
      <c r="E71" s="15">
        <f>IFERROR(__xludf.DUMMYFUNCTION("""COMPUTED_VALUE"""),0.5379765105833934)</f>
        <v>0.5379765106</v>
      </c>
      <c r="F71" s="15">
        <f>IFERROR(__xludf.DUMMYFUNCTION("""COMPUTED_VALUE"""),0.15279998387406338)</f>
        <v>0.1527999839</v>
      </c>
      <c r="G71" s="17">
        <f>IFERROR(__xludf.DUMMYFUNCTION("""COMPUTED_VALUE"""),0.55459483963281)</f>
        <v>0.5545948396</v>
      </c>
      <c r="H71" s="4"/>
      <c r="I71" s="5" t="s">
        <v>1695</v>
      </c>
      <c r="J71" s="5" t="s">
        <v>1606</v>
      </c>
      <c r="K71" s="5">
        <v>2.0</v>
      </c>
      <c r="L71" s="5">
        <v>0.205748</v>
      </c>
      <c r="M71" s="5">
        <v>0.074724</v>
      </c>
      <c r="N71" s="5">
        <v>0.280472</v>
      </c>
      <c r="O71" s="5">
        <v>0.001445</v>
      </c>
    </row>
    <row r="72">
      <c r="A72" s="18" t="str">
        <f>IFERROR(__xludf.DUMMYFUNCTION("""COMPUTED_VALUE"""),"Ben Carter")</f>
        <v>Ben Carter</v>
      </c>
      <c r="B72" s="19" t="str">
        <f>IFERROR(__xludf.DUMMYFUNCTION("""COMPUTED_VALUE"""),"HAPJ")</f>
        <v>HAPJ</v>
      </c>
      <c r="C72" s="20">
        <f>IFERROR(__xludf.DUMMYFUNCTION("""COMPUTED_VALUE"""),20.0)</f>
        <v>20</v>
      </c>
      <c r="D72" s="21">
        <f>IFERROR(__xludf.DUMMYFUNCTION("""COMPUTED_VALUE"""),0.04537744636412063)</f>
        <v>0.04537744636</v>
      </c>
      <c r="E72" s="21">
        <f>IFERROR(__xludf.DUMMYFUNCTION("""COMPUTED_VALUE"""),0.07774538811883391)</f>
        <v>0.07774538812</v>
      </c>
      <c r="F72" s="21">
        <f>IFERROR(__xludf.DUMMYFUNCTION("""COMPUTED_VALUE"""),0.12312283448295455)</f>
        <v>0.1231228345</v>
      </c>
      <c r="G72" s="23">
        <f>IFERROR(__xludf.DUMMYFUNCTION("""COMPUTED_VALUE"""),0.012832740205943157)</f>
        <v>0.01283274021</v>
      </c>
      <c r="H72" s="4"/>
      <c r="I72" s="5" t="s">
        <v>1697</v>
      </c>
      <c r="J72" s="5" t="s">
        <v>1572</v>
      </c>
      <c r="K72" s="24">
        <v>536.0</v>
      </c>
      <c r="L72" s="5">
        <v>-0.397093</v>
      </c>
      <c r="M72" s="5">
        <v>0.674085</v>
      </c>
      <c r="N72" s="5">
        <v>0.276993</v>
      </c>
      <c r="O72" s="5">
        <v>0.369668</v>
      </c>
    </row>
    <row r="73">
      <c r="A73" s="12" t="str">
        <f>IFERROR(__xludf.DUMMYFUNCTION("""COMPUTED_VALUE"""),"Khalif Wyatt")</f>
        <v>Khalif Wyatt</v>
      </c>
      <c r="B73" s="13" t="str">
        <f>IFERROR(__xludf.DUMMYFUNCTION("""COMPUTED_VALUE"""),"IRO")</f>
        <v>IRO</v>
      </c>
      <c r="C73" s="14">
        <f>IFERROR(__xludf.DUMMYFUNCTION("""COMPUTED_VALUE"""),631.0)</f>
        <v>631</v>
      </c>
      <c r="D73" s="15">
        <f>IFERROR(__xludf.DUMMYFUNCTION("""COMPUTED_VALUE"""),2.348836416124449)</f>
        <v>2.348836416</v>
      </c>
      <c r="E73" s="15">
        <f>IFERROR(__xludf.DUMMYFUNCTION("""COMPUTED_VALUE"""),-2.227711092857003)</f>
        <v>-2.227711093</v>
      </c>
      <c r="F73" s="15">
        <f>IFERROR(__xludf.DUMMYFUNCTION("""COMPUTED_VALUE"""),0.12112532326744585)</f>
        <v>0.1211253233</v>
      </c>
      <c r="G73" s="17">
        <f>IFERROR(__xludf.DUMMYFUNCTION("""COMPUTED_VALUE"""),0.40739730662805423)</f>
        <v>0.4073973066</v>
      </c>
      <c r="H73" s="4"/>
      <c r="I73" s="5" t="s">
        <v>1698</v>
      </c>
      <c r="J73" s="5" t="s">
        <v>1554</v>
      </c>
      <c r="K73" s="5">
        <v>541.0</v>
      </c>
      <c r="L73" s="5">
        <v>0.642475</v>
      </c>
      <c r="M73" s="5">
        <v>-0.484822</v>
      </c>
      <c r="N73" s="5">
        <v>0.157652</v>
      </c>
      <c r="O73" s="5">
        <v>0.36745</v>
      </c>
    </row>
    <row r="74">
      <c r="A74" s="18" t="str">
        <f>IFERROR(__xludf.DUMMYFUNCTION("""COMPUTED_VALUE"""),"Zuf Ben Moshe")</f>
        <v>Zuf Ben Moshe</v>
      </c>
      <c r="B74" s="19" t="str">
        <f>IFERROR(__xludf.DUMMYFUNCTION("""COMPUTED_VALUE"""),"HAP")</f>
        <v>HAP</v>
      </c>
      <c r="C74" s="20">
        <f>IFERROR(__xludf.DUMMYFUNCTION("""COMPUTED_VALUE"""),8.0)</f>
        <v>8</v>
      </c>
      <c r="D74" s="21">
        <f>IFERROR(__xludf.DUMMYFUNCTION("""COMPUTED_VALUE"""),-0.08076589374684887)</f>
        <v>-0.08076589375</v>
      </c>
      <c r="E74" s="21">
        <f>IFERROR(__xludf.DUMMYFUNCTION("""COMPUTED_VALUE"""),0.15035758301708768)</f>
        <v>0.150357583</v>
      </c>
      <c r="F74" s="21">
        <f>IFERROR(__xludf.DUMMYFUNCTION("""COMPUTED_VALUE"""),0.06959168927023882)</f>
        <v>0.06959168927</v>
      </c>
      <c r="G74" s="23">
        <f>IFERROR(__xludf.DUMMYFUNCTION("""COMPUTED_VALUE"""),0.010170885265067122)</f>
        <v>0.01017088527</v>
      </c>
      <c r="H74" s="4"/>
      <c r="I74" s="5" t="s">
        <v>1700</v>
      </c>
      <c r="J74" s="5" t="s">
        <v>1567</v>
      </c>
      <c r="K74" s="5">
        <v>670.0</v>
      </c>
      <c r="L74" s="5">
        <v>2.016782</v>
      </c>
      <c r="M74" s="5">
        <v>-1.88289</v>
      </c>
      <c r="N74" s="5">
        <v>0.133892</v>
      </c>
      <c r="O74" s="5">
        <v>0.442244</v>
      </c>
    </row>
    <row r="75">
      <c r="A75" s="12" t="str">
        <f>IFERROR(__xludf.DUMMYFUNCTION("""COMPUTED_VALUE"""),"Tomer Cohen")</f>
        <v>Tomer Cohen</v>
      </c>
      <c r="B75" s="13" t="str">
        <f>IFERROR(__xludf.DUMMYFUNCTION("""COMPUTED_VALUE"""),"NAH")</f>
        <v>NAH</v>
      </c>
      <c r="C75" s="14">
        <f>IFERROR(__xludf.DUMMYFUNCTION("""COMPUTED_VALUE"""),1.0)</f>
        <v>1</v>
      </c>
      <c r="D75" s="15">
        <f>IFERROR(__xludf.DUMMYFUNCTION("""COMPUTED_VALUE"""),0.06570158370788319)</f>
        <v>0.06570158371</v>
      </c>
      <c r="E75" s="15">
        <f>IFERROR(__xludf.DUMMYFUNCTION("""COMPUTED_VALUE"""),-0.03985348695542)</f>
        <v>-0.03985348696</v>
      </c>
      <c r="F75" s="15">
        <f>IFERROR(__xludf.DUMMYFUNCTION("""COMPUTED_VALUE"""),0.02584809675246319)</f>
        <v>0.02584809675</v>
      </c>
      <c r="G75" s="17">
        <f>IFERROR(__xludf.DUMMYFUNCTION("""COMPUTED_VALUE"""),6.182923795084892E-4)</f>
        <v>0.0006182923795</v>
      </c>
      <c r="H75" s="4"/>
      <c r="I75" s="5" t="s">
        <v>1703</v>
      </c>
      <c r="J75" s="5" t="s">
        <v>1543</v>
      </c>
      <c r="K75" s="5">
        <v>8.0</v>
      </c>
      <c r="L75" s="5">
        <v>-0.077278</v>
      </c>
      <c r="M75" s="5">
        <v>0.154346</v>
      </c>
      <c r="N75" s="5">
        <v>0.077068</v>
      </c>
      <c r="O75" s="5">
        <v>0.010207</v>
      </c>
    </row>
    <row r="76">
      <c r="A76" s="18" t="str">
        <f>IFERROR(__xludf.DUMMYFUNCTION("""COMPUTED_VALUE"""),"Yotam Hanochi")</f>
        <v>Yotam Hanochi</v>
      </c>
      <c r="B76" s="19" t="str">
        <f>IFERROR(__xludf.DUMMYFUNCTION("""COMPUTED_VALUE"""),"GAL")</f>
        <v>GAL</v>
      </c>
      <c r="C76" s="20">
        <f>IFERROR(__xludf.DUMMYFUNCTION("""COMPUTED_VALUE"""),7.0)</f>
        <v>7</v>
      </c>
      <c r="D76" s="21">
        <f>IFERROR(__xludf.DUMMYFUNCTION("""COMPUTED_VALUE"""),-0.11567037255259234)</f>
        <v>-0.1156703726</v>
      </c>
      <c r="E76" s="21">
        <f>IFERROR(__xludf.DUMMYFUNCTION("""COMPUTED_VALUE"""),0.10055137587010517)</f>
        <v>0.1005513759</v>
      </c>
      <c r="F76" s="21">
        <f>IFERROR(__xludf.DUMMYFUNCTION("""COMPUTED_VALUE"""),-0.01511899668248717)</f>
        <v>-0.01511899668</v>
      </c>
      <c r="G76" s="23">
        <f>IFERROR(__xludf.DUMMYFUNCTION("""COMPUTED_VALUE"""),0.00487126594139553)</f>
        <v>0.004871265941</v>
      </c>
      <c r="H76" s="4"/>
      <c r="I76" s="5" t="s">
        <v>1705</v>
      </c>
      <c r="J76" s="5" t="s">
        <v>1572</v>
      </c>
      <c r="K76" s="5">
        <v>11.0</v>
      </c>
      <c r="L76" s="5">
        <v>-0.201382</v>
      </c>
      <c r="M76" s="5">
        <v>0.274864</v>
      </c>
      <c r="N76" s="5">
        <v>0.073482</v>
      </c>
      <c r="O76" s="5">
        <v>0.006908</v>
      </c>
    </row>
    <row r="77">
      <c r="A77" s="12" t="str">
        <f>IFERROR(__xludf.DUMMYFUNCTION("""COMPUTED_VALUE"""),"Gal Shterenberg")</f>
        <v>Gal Shterenberg</v>
      </c>
      <c r="B77" s="13" t="str">
        <f>IFERROR(__xludf.DUMMYFUNCTION("""COMPUTED_VALUE"""),"HAP")</f>
        <v>HAP</v>
      </c>
      <c r="C77" s="14">
        <f>IFERROR(__xludf.DUMMYFUNCTION("""COMPUTED_VALUE"""),1.0)</f>
        <v>1</v>
      </c>
      <c r="D77" s="15">
        <f>IFERROR(__xludf.DUMMYFUNCTION("""COMPUTED_VALUE"""),-0.01796207910853279)</f>
        <v>-0.01796207911</v>
      </c>
      <c r="E77" s="15">
        <f>IFERROR(__xludf.DUMMYFUNCTION("""COMPUTED_VALUE"""),-0.001428488062677459)</f>
        <v>-0.001428488063</v>
      </c>
      <c r="F77" s="15">
        <f>IFERROR(__xludf.DUMMYFUNCTION("""COMPUTED_VALUE"""),-0.01939056717121025)</f>
        <v>-0.01939056717</v>
      </c>
      <c r="G77" s="17">
        <f>IFERROR(__xludf.DUMMYFUNCTION("""COMPUTED_VALUE"""),0.0012166984072661746)</f>
        <v>0.001216698407</v>
      </c>
      <c r="H77" s="4"/>
      <c r="I77" s="5" t="s">
        <v>1707</v>
      </c>
      <c r="J77" s="5" t="s">
        <v>1621</v>
      </c>
      <c r="K77" s="5">
        <v>1.0</v>
      </c>
      <c r="L77" s="5">
        <v>0.065691</v>
      </c>
      <c r="M77" s="5">
        <v>-0.040124</v>
      </c>
      <c r="N77" s="5">
        <v>0.025567</v>
      </c>
      <c r="O77" s="5">
        <v>6.18E-4</v>
      </c>
    </row>
    <row r="78">
      <c r="A78" s="18" t="str">
        <f>IFERROR(__xludf.DUMMYFUNCTION("""COMPUTED_VALUE"""),"Amit Shitrit")</f>
        <v>Amit Shitrit</v>
      </c>
      <c r="B78" s="19" t="str">
        <f>IFERROR(__xludf.DUMMYFUNCTION("""COMPUTED_VALUE"""),"NAH")</f>
        <v>NAH</v>
      </c>
      <c r="C78" s="20">
        <f>IFERROR(__xludf.DUMMYFUNCTION("""COMPUTED_VALUE"""),2.0)</f>
        <v>2</v>
      </c>
      <c r="D78" s="21">
        <f>IFERROR(__xludf.DUMMYFUNCTION("""COMPUTED_VALUE"""),-0.039117204546346575)</f>
        <v>-0.03911720455</v>
      </c>
      <c r="E78" s="21">
        <f>IFERROR(__xludf.DUMMYFUNCTION("""COMPUTED_VALUE"""),-0.005689031877591233)</f>
        <v>-0.005689031878</v>
      </c>
      <c r="F78" s="21">
        <f>IFERROR(__xludf.DUMMYFUNCTION("""COMPUTED_VALUE"""),-0.04480623642393781)</f>
        <v>-0.04480623642</v>
      </c>
      <c r="G78" s="23">
        <f>IFERROR(__xludf.DUMMYFUNCTION("""COMPUTED_VALUE"""),0.0011934571070945546)</f>
        <v>0.001193457107</v>
      </c>
      <c r="H78" s="4"/>
      <c r="I78" s="5" t="s">
        <v>1709</v>
      </c>
      <c r="J78" s="5" t="s">
        <v>1567</v>
      </c>
      <c r="K78" s="24">
        <v>360.0</v>
      </c>
      <c r="L78" s="5">
        <v>1.923227</v>
      </c>
      <c r="M78" s="5">
        <v>-1.920575</v>
      </c>
      <c r="N78" s="5">
        <v>0.002652</v>
      </c>
      <c r="O78" s="5">
        <v>0.223009</v>
      </c>
    </row>
    <row r="79">
      <c r="A79" s="12" t="str">
        <f>IFERROR(__xludf.DUMMYFUNCTION("""COMPUTED_VALUE"""),"JoJo Fallas")</f>
        <v>JoJo Fallas</v>
      </c>
      <c r="B79" s="13" t="str">
        <f>IFERROR(__xludf.DUMMYFUNCTION("""COMPUTED_VALUE"""),"IRO")</f>
        <v>IRO</v>
      </c>
      <c r="C79" s="14">
        <f>IFERROR(__xludf.DUMMYFUNCTION("""COMPUTED_VALUE"""),2.0)</f>
        <v>2</v>
      </c>
      <c r="D79" s="15">
        <f>IFERROR(__xludf.DUMMYFUNCTION("""COMPUTED_VALUE"""),-0.04595741541047399)</f>
        <v>-0.04595741541</v>
      </c>
      <c r="E79" s="15">
        <f>IFERROR(__xludf.DUMMYFUNCTION("""COMPUTED_VALUE"""),-0.0010200613829483424)</f>
        <v>-0.001020061383</v>
      </c>
      <c r="F79" s="15">
        <f>IFERROR(__xludf.DUMMYFUNCTION("""COMPUTED_VALUE"""),-0.04697747679342233)</f>
        <v>-0.04697747679</v>
      </c>
      <c r="G79" s="17">
        <f>IFERROR(__xludf.DUMMYFUNCTION("""COMPUTED_VALUE"""),0.001188939382389852)</f>
        <v>0.001188939382</v>
      </c>
      <c r="H79" s="4"/>
      <c r="I79" s="5" t="s">
        <v>1712</v>
      </c>
      <c r="J79" s="5" t="s">
        <v>1592</v>
      </c>
      <c r="K79" s="5">
        <v>7.0</v>
      </c>
      <c r="L79" s="5">
        <v>-0.129307</v>
      </c>
      <c r="M79" s="5">
        <v>0.111564</v>
      </c>
      <c r="N79" s="5">
        <v>-0.017743</v>
      </c>
      <c r="O79" s="5">
        <v>0.004196</v>
      </c>
    </row>
    <row r="80">
      <c r="A80" s="18" t="str">
        <f>IFERROR(__xludf.DUMMYFUNCTION("""COMPUTED_VALUE"""),"Tal Zach")</f>
        <v>Tal Zach</v>
      </c>
      <c r="B80" s="19" t="str">
        <f>IFERROR(__xludf.DUMMYFUNCTION("""COMPUTED_VALUE"""),"HAP")</f>
        <v>HAP</v>
      </c>
      <c r="C80" s="20">
        <f>IFERROR(__xludf.DUMMYFUNCTION("""COMPUTED_VALUE"""),3.0)</f>
        <v>3</v>
      </c>
      <c r="D80" s="21">
        <f>IFERROR(__xludf.DUMMYFUNCTION("""COMPUTED_VALUE"""),-0.053576885840010795)</f>
        <v>-0.05357688584</v>
      </c>
      <c r="E80" s="21">
        <f>IFERROR(__xludf.DUMMYFUNCTION("""COMPUTED_VALUE"""),-0.004002538950557952)</f>
        <v>-0.004002538951</v>
      </c>
      <c r="F80" s="21">
        <f>IFERROR(__xludf.DUMMYFUNCTION("""COMPUTED_VALUE"""),-0.057579424790568746)</f>
        <v>-0.05757942479</v>
      </c>
      <c r="G80" s="23">
        <f>IFERROR(__xludf.DUMMYFUNCTION("""COMPUTED_VALUE"""),0.00357971639576048)</f>
        <v>0.003579716396</v>
      </c>
      <c r="H80" s="4"/>
      <c r="I80" s="5" t="s">
        <v>1715</v>
      </c>
      <c r="J80" s="5" t="s">
        <v>1543</v>
      </c>
      <c r="K80" s="5">
        <v>1.0</v>
      </c>
      <c r="L80" s="5">
        <v>-0.017526</v>
      </c>
      <c r="M80" s="5">
        <v>-9.3E-4</v>
      </c>
      <c r="N80" s="5">
        <v>-0.018456</v>
      </c>
      <c r="O80" s="5">
        <v>0.001217</v>
      </c>
    </row>
    <row r="81">
      <c r="A81" s="12" t="str">
        <f>IFERROR(__xludf.DUMMYFUNCTION("""COMPUTED_VALUE"""),"Dor Wachner")</f>
        <v>Dor Wachner</v>
      </c>
      <c r="B81" s="13" t="str">
        <f>IFERROR(__xludf.DUMMYFUNCTION("""COMPUTED_VALUE"""),"HAP")</f>
        <v>HAP</v>
      </c>
      <c r="C81" s="14">
        <f>IFERROR(__xludf.DUMMYFUNCTION("""COMPUTED_VALUE"""),3.0)</f>
        <v>3</v>
      </c>
      <c r="D81" s="15">
        <f>IFERROR(__xludf.DUMMYFUNCTION("""COMPUTED_VALUE"""),-0.053709465048119756)</f>
        <v>-0.05370946505</v>
      </c>
      <c r="E81" s="15">
        <f>IFERROR(__xludf.DUMMYFUNCTION("""COMPUTED_VALUE"""),-0.004123792623761273)</f>
        <v>-0.004123792624</v>
      </c>
      <c r="F81" s="15">
        <f>IFERROR(__xludf.DUMMYFUNCTION("""COMPUTED_VALUE"""),-0.05783325767188103)</f>
        <v>-0.05783325767</v>
      </c>
      <c r="G81" s="17">
        <f>IFERROR(__xludf.DUMMYFUNCTION("""COMPUTED_VALUE"""),0.003579248603286176)</f>
        <v>0.003579248603</v>
      </c>
      <c r="H81" s="4"/>
      <c r="I81" s="5" t="s">
        <v>1715</v>
      </c>
      <c r="J81" s="5" t="s">
        <v>1543</v>
      </c>
      <c r="K81" s="5">
        <v>1.0</v>
      </c>
      <c r="L81" s="5">
        <v>-0.017526</v>
      </c>
      <c r="M81" s="5">
        <v>-9.3E-4</v>
      </c>
      <c r="N81" s="5">
        <v>-0.018456</v>
      </c>
      <c r="O81" s="5">
        <v>0.001217</v>
      </c>
    </row>
    <row r="82">
      <c r="A82" s="18" t="str">
        <f>IFERROR(__xludf.DUMMYFUNCTION("""COMPUTED_VALUE"""),"Igor Mayor")</f>
        <v>Igor Mayor</v>
      </c>
      <c r="B82" s="19" t="str">
        <f>IFERROR(__xludf.DUMMYFUNCTION("""COMPUTED_VALUE"""),"HAPJ")</f>
        <v>HAPJ</v>
      </c>
      <c r="C82" s="20">
        <f>IFERROR(__xludf.DUMMYFUNCTION("""COMPUTED_VALUE"""),2.0)</f>
        <v>2</v>
      </c>
      <c r="D82" s="21">
        <f>IFERROR(__xludf.DUMMYFUNCTION("""COMPUTED_VALUE"""),-0.07501499258732022)</f>
        <v>-0.07501499259</v>
      </c>
      <c r="E82" s="21">
        <f>IFERROR(__xludf.DUMMYFUNCTION("""COMPUTED_VALUE"""),-0.012753931724330411)</f>
        <v>-0.01275393172</v>
      </c>
      <c r="F82" s="21">
        <f>IFERROR(__xludf.DUMMYFUNCTION("""COMPUTED_VALUE"""),-0.08776892431165063)</f>
        <v>-0.08776892431</v>
      </c>
      <c r="G82" s="23">
        <f>IFERROR(__xludf.DUMMYFUNCTION("""COMPUTED_VALUE"""),0.001155805222829505)</f>
        <v>0.001155805223</v>
      </c>
      <c r="H82" s="4"/>
      <c r="I82" s="5" t="s">
        <v>1718</v>
      </c>
      <c r="J82" s="5" t="s">
        <v>1546</v>
      </c>
      <c r="K82" s="5">
        <v>1.0</v>
      </c>
      <c r="L82" s="5">
        <v>-0.020346</v>
      </c>
      <c r="M82" s="5">
        <v>-8.99E-4</v>
      </c>
      <c r="N82" s="5">
        <v>-0.021245</v>
      </c>
      <c r="O82" s="5">
        <v>6.05E-4</v>
      </c>
    </row>
    <row r="83">
      <c r="A83" s="12" t="str">
        <f>IFERROR(__xludf.DUMMYFUNCTION("""COMPUTED_VALUE"""),"Gerald Lee")</f>
        <v>Gerald Lee</v>
      </c>
      <c r="B83" s="13" t="str">
        <f>IFERROR(__xludf.DUMMYFUNCTION("""COMPUTED_VALUE"""),"ASH")</f>
        <v>ASH</v>
      </c>
      <c r="C83" s="14">
        <f>IFERROR(__xludf.DUMMYFUNCTION("""COMPUTED_VALUE"""),656.0)</f>
        <v>656</v>
      </c>
      <c r="D83" s="15">
        <f>IFERROR(__xludf.DUMMYFUNCTION("""COMPUTED_VALUE"""),0.4077592368514483)</f>
        <v>0.4077592369</v>
      </c>
      <c r="E83" s="15">
        <f>IFERROR(__xludf.DUMMYFUNCTION("""COMPUTED_VALUE"""),-0.5065800372003284)</f>
        <v>-0.5065800372</v>
      </c>
      <c r="F83" s="15">
        <f>IFERROR(__xludf.DUMMYFUNCTION("""COMPUTED_VALUE"""),-0.09882080034888002)</f>
        <v>-0.09882080035</v>
      </c>
      <c r="G83" s="17">
        <f>IFERROR(__xludf.DUMMYFUNCTION("""COMPUTED_VALUE"""),0.3913414764233182)</f>
        <v>0.3913414764</v>
      </c>
      <c r="H83" s="4"/>
      <c r="I83" s="5" t="s">
        <v>1720</v>
      </c>
      <c r="J83" s="5" t="s">
        <v>1580</v>
      </c>
      <c r="K83" s="5">
        <v>2.0</v>
      </c>
      <c r="L83" s="5">
        <v>-0.045396</v>
      </c>
      <c r="M83" s="5">
        <v>0.00119</v>
      </c>
      <c r="N83" s="5">
        <v>-0.044206</v>
      </c>
      <c r="O83" s="5">
        <v>0.00119</v>
      </c>
    </row>
    <row r="84">
      <c r="A84" s="18" t="str">
        <f>IFERROR(__xludf.DUMMYFUNCTION("""COMPUTED_VALUE"""),"Brandon Triche")</f>
        <v>Brandon Triche</v>
      </c>
      <c r="B84" s="19" t="str">
        <f>IFERROR(__xludf.DUMMYFUNCTION("""COMPUTED_VALUE"""),"BHS")</f>
        <v>BHS</v>
      </c>
      <c r="C84" s="20">
        <f>IFERROR(__xludf.DUMMYFUNCTION("""COMPUTED_VALUE"""),532.0)</f>
        <v>532</v>
      </c>
      <c r="D84" s="21">
        <f>IFERROR(__xludf.DUMMYFUNCTION("""COMPUTED_VALUE"""),1.573845575984158)</f>
        <v>1.573845576</v>
      </c>
      <c r="E84" s="21">
        <f>IFERROR(__xludf.DUMMYFUNCTION("""COMPUTED_VALUE"""),-1.6788077212513672)</f>
        <v>-1.678807721</v>
      </c>
      <c r="F84" s="21">
        <f>IFERROR(__xludf.DUMMYFUNCTION("""COMPUTED_VALUE"""),-0.10496214526720915)</f>
        <v>-0.1049621453</v>
      </c>
      <c r="G84" s="23">
        <f>IFERROR(__xludf.DUMMYFUNCTION("""COMPUTED_VALUE"""),0.30881639721018606)</f>
        <v>0.3088163972</v>
      </c>
      <c r="H84" s="4"/>
      <c r="I84" s="5" t="s">
        <v>1720</v>
      </c>
      <c r="J84" s="5" t="s">
        <v>1580</v>
      </c>
      <c r="K84" s="5">
        <v>2.0</v>
      </c>
      <c r="L84" s="5">
        <v>-0.045396</v>
      </c>
      <c r="M84" s="5">
        <v>0.00119</v>
      </c>
      <c r="N84" s="5">
        <v>-0.044206</v>
      </c>
      <c r="O84" s="5">
        <v>0.00119</v>
      </c>
    </row>
    <row r="85">
      <c r="A85" s="12" t="str">
        <f>IFERROR(__xludf.DUMMYFUNCTION("""COMPUTED_VALUE"""),"Keith Langford")</f>
        <v>Keith Langford</v>
      </c>
      <c r="B85" s="13" t="str">
        <f>IFERROR(__xludf.DUMMYFUNCTION("""COMPUTED_VALUE"""),"MRL")</f>
        <v>MRL</v>
      </c>
      <c r="C85" s="14">
        <f>IFERROR(__xludf.DUMMYFUNCTION("""COMPUTED_VALUE"""),389.0)</f>
        <v>389</v>
      </c>
      <c r="D85" s="15">
        <f>IFERROR(__xludf.DUMMYFUNCTION("""COMPUTED_VALUE"""),1.8639517332122975)</f>
        <v>1.863951733</v>
      </c>
      <c r="E85" s="15">
        <f>IFERROR(__xludf.DUMMYFUNCTION("""COMPUTED_VALUE"""),-1.993305550862689)</f>
        <v>-1.993305551</v>
      </c>
      <c r="F85" s="15">
        <f>IFERROR(__xludf.DUMMYFUNCTION("""COMPUTED_VALUE"""),-0.1293538176503915)</f>
        <v>-0.1293538177</v>
      </c>
      <c r="G85" s="17">
        <f>IFERROR(__xludf.DUMMYFUNCTION("""COMPUTED_VALUE"""),0.22509406500461115)</f>
        <v>0.225094065</v>
      </c>
      <c r="H85" s="4"/>
      <c r="I85" s="5" t="s">
        <v>1723</v>
      </c>
      <c r="J85" s="5" t="s">
        <v>1621</v>
      </c>
      <c r="K85" s="5">
        <v>2.0</v>
      </c>
      <c r="L85" s="5">
        <v>-0.039139</v>
      </c>
      <c r="M85" s="5">
        <v>-0.00623</v>
      </c>
      <c r="N85" s="5">
        <v>-0.045369</v>
      </c>
      <c r="O85" s="5">
        <v>0.001193</v>
      </c>
    </row>
    <row r="86">
      <c r="A86" s="18" t="str">
        <f>IFERROR(__xludf.DUMMYFUNCTION("""COMPUTED_VALUE"""),"Tyler Dawson")</f>
        <v>Tyler Dawson</v>
      </c>
      <c r="B86" s="19" t="str">
        <f>IFERROR(__xludf.DUMMYFUNCTION("""COMPUTED_VALUE"""),"MRL")</f>
        <v>MRL</v>
      </c>
      <c r="C86" s="20">
        <f>IFERROR(__xludf.DUMMYFUNCTION("""COMPUTED_VALUE"""),7.0)</f>
        <v>7</v>
      </c>
      <c r="D86" s="21">
        <f>IFERROR(__xludf.DUMMYFUNCTION("""COMPUTED_VALUE"""),-0.13204455328191766)</f>
        <v>-0.1320445533</v>
      </c>
      <c r="E86" s="21">
        <f>IFERROR(__xludf.DUMMYFUNCTION("""COMPUTED_VALUE"""),-8.215486139868944E-4)</f>
        <v>-0.000821548614</v>
      </c>
      <c r="F86" s="21">
        <f>IFERROR(__xludf.DUMMYFUNCTION("""COMPUTED_VALUE"""),-0.13286610189590456)</f>
        <v>-0.1328661019</v>
      </c>
      <c r="G86" s="23">
        <f>IFERROR(__xludf.DUMMYFUNCTION("""COMPUTED_VALUE"""),0.004042930676796893)</f>
        <v>0.004042930677</v>
      </c>
      <c r="H86" s="4"/>
      <c r="I86" s="5" t="s">
        <v>1725</v>
      </c>
      <c r="J86" s="5" t="s">
        <v>1543</v>
      </c>
      <c r="K86" s="24">
        <v>3.0</v>
      </c>
      <c r="L86" s="5">
        <v>-0.052269</v>
      </c>
      <c r="M86" s="5">
        <v>-0.002507</v>
      </c>
      <c r="N86" s="5">
        <v>-0.054776</v>
      </c>
      <c r="O86" s="5">
        <v>0.003585</v>
      </c>
    </row>
    <row r="87">
      <c r="A87" s="12" t="str">
        <f>IFERROR(__xludf.DUMMYFUNCTION("""COMPUTED_VALUE"""),"Harol Dadon")</f>
        <v>Harol Dadon</v>
      </c>
      <c r="B87" s="13" t="str">
        <f>IFERROR(__xludf.DUMMYFUNCTION("""COMPUTED_VALUE"""),"HAP")</f>
        <v>HAP</v>
      </c>
      <c r="C87" s="14">
        <f>IFERROR(__xludf.DUMMYFUNCTION("""COMPUTED_VALUE"""),19.0)</f>
        <v>19</v>
      </c>
      <c r="D87" s="15">
        <f>IFERROR(__xludf.DUMMYFUNCTION("""COMPUTED_VALUE"""),0.05515104502485791)</f>
        <v>0.05515104502</v>
      </c>
      <c r="E87" s="15">
        <f>IFERROR(__xludf.DUMMYFUNCTION("""COMPUTED_VALUE"""),-0.19844638650040594)</f>
        <v>-0.1984463865</v>
      </c>
      <c r="F87" s="15">
        <f>IFERROR(__xludf.DUMMYFUNCTION("""COMPUTED_VALUE"""),-0.14329534147554804)</f>
        <v>-0.1432953415</v>
      </c>
      <c r="G87" s="17">
        <f>IFERROR(__xludf.DUMMYFUNCTION("""COMPUTED_VALUE"""),0.02167107845877237)</f>
        <v>0.02167107846</v>
      </c>
      <c r="H87" s="4"/>
      <c r="I87" s="5" t="s">
        <v>1728</v>
      </c>
      <c r="J87" s="5" t="s">
        <v>1572</v>
      </c>
      <c r="K87" s="5">
        <v>2.0</v>
      </c>
      <c r="L87" s="5">
        <v>-0.07578</v>
      </c>
      <c r="M87" s="5">
        <v>-0.011163</v>
      </c>
      <c r="N87" s="5">
        <v>-0.086942</v>
      </c>
      <c r="O87" s="5">
        <v>0.001159</v>
      </c>
    </row>
    <row r="88">
      <c r="A88" s="18" t="str">
        <f>IFERROR(__xludf.DUMMYFUNCTION("""COMPUTED_VALUE"""),"Aviel Levi")</f>
        <v>Aviel Levi</v>
      </c>
      <c r="B88" s="19" t="str">
        <f>IFERROR(__xludf.DUMMYFUNCTION("""COMPUTED_VALUE"""),"GAL")</f>
        <v>GAL</v>
      </c>
      <c r="C88" s="20">
        <f>IFERROR(__xludf.DUMMYFUNCTION("""COMPUTED_VALUE"""),6.0)</f>
        <v>6</v>
      </c>
      <c r="D88" s="21">
        <f>IFERROR(__xludf.DUMMYFUNCTION("""COMPUTED_VALUE"""),-0.20591251676180689)</f>
        <v>-0.2059125168</v>
      </c>
      <c r="E88" s="21">
        <f>IFERROR(__xludf.DUMMYFUNCTION("""COMPUTED_VALUE"""),0.06145774121579339)</f>
        <v>0.06145774122</v>
      </c>
      <c r="F88" s="21">
        <f>IFERROR(__xludf.DUMMYFUNCTION("""COMPUTED_VALUE"""),-0.1444547755460135)</f>
        <v>-0.1444547755</v>
      </c>
      <c r="G88" s="23">
        <f>IFERROR(__xludf.DUMMYFUNCTION("""COMPUTED_VALUE"""),0.0039033016831427317)</f>
        <v>0.003903301683</v>
      </c>
      <c r="H88" s="4"/>
      <c r="I88" s="5" t="s">
        <v>1730</v>
      </c>
      <c r="J88" s="5" t="s">
        <v>1592</v>
      </c>
      <c r="K88" s="5">
        <v>4.0</v>
      </c>
      <c r="L88" s="5">
        <v>-0.181881</v>
      </c>
      <c r="M88" s="5">
        <v>0.088117</v>
      </c>
      <c r="N88" s="5">
        <v>-0.093764</v>
      </c>
      <c r="O88" s="5">
        <v>0.002306</v>
      </c>
    </row>
    <row r="89">
      <c r="A89" s="12" t="str">
        <f>IFERROR(__xludf.DUMMYFUNCTION("""COMPUTED_VALUE"""),"Trahson Burrell")</f>
        <v>Trahson Burrell</v>
      </c>
      <c r="B89" s="13" t="str">
        <f>IFERROR(__xludf.DUMMYFUNCTION("""COMPUTED_VALUE"""),"HAI")</f>
        <v>HAI</v>
      </c>
      <c r="C89" s="14">
        <f>IFERROR(__xludf.DUMMYFUNCTION("""COMPUTED_VALUE"""),37.0)</f>
        <v>37</v>
      </c>
      <c r="D89" s="15">
        <f>IFERROR(__xludf.DUMMYFUNCTION("""COMPUTED_VALUE"""),-0.37826658005186375)</f>
        <v>-0.3782665801</v>
      </c>
      <c r="E89" s="15">
        <f>IFERROR(__xludf.DUMMYFUNCTION("""COMPUTED_VALUE"""),0.2226945321098259)</f>
        <v>0.2226945321</v>
      </c>
      <c r="F89" s="15">
        <f>IFERROR(__xludf.DUMMYFUNCTION("""COMPUTED_VALUE"""),-0.15557204794203786)</f>
        <v>-0.1555720479</v>
      </c>
      <c r="G89" s="17">
        <f>IFERROR(__xludf.DUMMYFUNCTION("""COMPUTED_VALUE"""),0.021631995956694367)</f>
        <v>0.02163199596</v>
      </c>
      <c r="H89" s="4"/>
      <c r="I89" s="5" t="s">
        <v>1732</v>
      </c>
      <c r="J89" s="5" t="s">
        <v>1554</v>
      </c>
      <c r="K89" s="5">
        <v>3.0</v>
      </c>
      <c r="L89" s="5">
        <v>-0.101692</v>
      </c>
      <c r="M89" s="5">
        <v>-0.015613</v>
      </c>
      <c r="N89" s="5">
        <v>-0.117305</v>
      </c>
      <c r="O89" s="5">
        <v>0.001778</v>
      </c>
    </row>
    <row r="90">
      <c r="A90" s="18" t="str">
        <f>IFERROR(__xludf.DUMMYFUNCTION("""COMPUTED_VALUE"""),"Chanan Colman")</f>
        <v>Chanan Colman</v>
      </c>
      <c r="B90" s="19" t="str">
        <f>IFERROR(__xludf.DUMMYFUNCTION("""COMPUTED_VALUE"""),"HAP")</f>
        <v>HAP</v>
      </c>
      <c r="C90" s="20">
        <f>IFERROR(__xludf.DUMMYFUNCTION("""COMPUTED_VALUE"""),595.0)</f>
        <v>595</v>
      </c>
      <c r="D90" s="21">
        <f>IFERROR(__xludf.DUMMYFUNCTION("""COMPUTED_VALUE"""),0.47847607253448465)</f>
        <v>0.4784760725</v>
      </c>
      <c r="E90" s="21">
        <f>IFERROR(__xludf.DUMMYFUNCTION("""COMPUTED_VALUE"""),-0.6601167595354507)</f>
        <v>-0.6601167595</v>
      </c>
      <c r="F90" s="21">
        <f>IFERROR(__xludf.DUMMYFUNCTION("""COMPUTED_VALUE"""),-0.18164068700096597)</f>
        <v>-0.181640687</v>
      </c>
      <c r="G90" s="23">
        <f>IFERROR(__xludf.DUMMYFUNCTION("""COMPUTED_VALUE"""),0.6646312653869391)</f>
        <v>0.6646312654</v>
      </c>
      <c r="H90" s="4"/>
      <c r="I90" s="5" t="s">
        <v>1733</v>
      </c>
      <c r="J90" s="5" t="s">
        <v>1572</v>
      </c>
      <c r="K90" s="5">
        <v>4.0</v>
      </c>
      <c r="L90" s="5">
        <v>-0.117231</v>
      </c>
      <c r="M90" s="5">
        <v>-0.008189</v>
      </c>
      <c r="N90" s="5">
        <v>-0.12542</v>
      </c>
      <c r="O90" s="5">
        <v>0.002271</v>
      </c>
    </row>
    <row r="91">
      <c r="A91" s="12" t="str">
        <f>IFERROR(__xludf.DUMMYFUNCTION("""COMPUTED_VALUE"""),"Tom Sapir")</f>
        <v>Tom Sapir</v>
      </c>
      <c r="B91" s="13" t="str">
        <f>IFERROR(__xludf.DUMMYFUNCTION("""COMPUTED_VALUE"""),"HAP")</f>
        <v>HAP</v>
      </c>
      <c r="C91" s="14">
        <f>IFERROR(__xludf.DUMMYFUNCTION("""COMPUTED_VALUE"""),3.0)</f>
        <v>3</v>
      </c>
      <c r="D91" s="15">
        <f>IFERROR(__xludf.DUMMYFUNCTION("""COMPUTED_VALUE"""),-0.1321174266456304)</f>
        <v>-0.1321174266</v>
      </c>
      <c r="E91" s="15">
        <f>IFERROR(__xludf.DUMMYFUNCTION("""COMPUTED_VALUE"""),-0.06167351756454437)</f>
        <v>-0.06167351756</v>
      </c>
      <c r="F91" s="15">
        <f>IFERROR(__xludf.DUMMYFUNCTION("""COMPUTED_VALUE"""),-0.19379094421017476)</f>
        <v>-0.1937909442</v>
      </c>
      <c r="G91" s="17">
        <f>IFERROR(__xludf.DUMMYFUNCTION("""COMPUTED_VALUE"""),0.0033286901167038766)</f>
        <v>0.003328690117</v>
      </c>
      <c r="H91" s="4"/>
      <c r="I91" s="5" t="s">
        <v>1735</v>
      </c>
      <c r="J91" s="5" t="s">
        <v>1543</v>
      </c>
      <c r="K91" s="5">
        <v>19.0</v>
      </c>
      <c r="L91" s="5">
        <v>0.060542</v>
      </c>
      <c r="M91" s="5">
        <v>-0.189122</v>
      </c>
      <c r="N91" s="5">
        <v>-0.12858</v>
      </c>
      <c r="O91" s="5">
        <v>0.021842</v>
      </c>
    </row>
    <row r="92">
      <c r="A92" s="18" t="str">
        <f>IFERROR(__xludf.DUMMYFUNCTION("""COMPUTED_VALUE"""),"Chris Smith")</f>
        <v>Chris Smith</v>
      </c>
      <c r="B92" s="19" t="str">
        <f>IFERROR(__xludf.DUMMYFUNCTION("""COMPUTED_VALUE"""),"NAH")</f>
        <v>NAH</v>
      </c>
      <c r="C92" s="20">
        <f>IFERROR(__xludf.DUMMYFUNCTION("""COMPUTED_VALUE"""),6.0)</f>
        <v>6</v>
      </c>
      <c r="D92" s="21">
        <f>IFERROR(__xludf.DUMMYFUNCTION("""COMPUTED_VALUE"""),-0.11841661019694523)</f>
        <v>-0.1184166102</v>
      </c>
      <c r="E92" s="21">
        <f>IFERROR(__xludf.DUMMYFUNCTION("""COMPUTED_VALUE"""),-0.08871140119361583)</f>
        <v>-0.08871140119</v>
      </c>
      <c r="F92" s="21">
        <f>IFERROR(__xludf.DUMMYFUNCTION("""COMPUTED_VALUE"""),-0.20712801139056106)</f>
        <v>-0.2071280114</v>
      </c>
      <c r="G92" s="23">
        <f>IFERROR(__xludf.DUMMYFUNCTION("""COMPUTED_VALUE"""),0.0032831259849199716)</f>
        <v>0.003283125985</v>
      </c>
      <c r="H92" s="4"/>
      <c r="I92" s="5" t="s">
        <v>1737</v>
      </c>
      <c r="J92" s="5" t="s">
        <v>1567</v>
      </c>
      <c r="K92" s="5">
        <v>7.0</v>
      </c>
      <c r="L92" s="5">
        <v>-0.12845</v>
      </c>
      <c r="M92" s="5">
        <v>-0.004377</v>
      </c>
      <c r="N92" s="5">
        <v>-0.132828</v>
      </c>
      <c r="O92" s="5">
        <v>0.004043</v>
      </c>
    </row>
    <row r="93">
      <c r="A93" s="12" t="str">
        <f>IFERROR(__xludf.DUMMYFUNCTION("""COMPUTED_VALUE"""),"Elijah Johnson")</f>
        <v>Elijah Johnson</v>
      </c>
      <c r="B93" s="13" t="str">
        <f>IFERROR(__xludf.DUMMYFUNCTION("""COMPUTED_VALUE"""),"GAL")</f>
        <v>GAL</v>
      </c>
      <c r="C93" s="14">
        <f>IFERROR(__xludf.DUMMYFUNCTION("""COMPUTED_VALUE"""),189.0)</f>
        <v>189</v>
      </c>
      <c r="D93" s="15">
        <f>IFERROR(__xludf.DUMMYFUNCTION("""COMPUTED_VALUE"""),0.7425962493895054)</f>
        <v>0.7425962494</v>
      </c>
      <c r="E93" s="15">
        <f>IFERROR(__xludf.DUMMYFUNCTION("""COMPUTED_VALUE"""),-0.9653265679087076)</f>
        <v>-0.9653265679</v>
      </c>
      <c r="F93" s="15">
        <f>IFERROR(__xludf.DUMMYFUNCTION("""COMPUTED_VALUE"""),-0.22273031851920222)</f>
        <v>-0.2227303185</v>
      </c>
      <c r="G93" s="17">
        <f>IFERROR(__xludf.DUMMYFUNCTION("""COMPUTED_VALUE"""),0.11776723030108986)</f>
        <v>0.1177672303</v>
      </c>
      <c r="H93" s="4"/>
      <c r="I93" s="5" t="s">
        <v>1739</v>
      </c>
      <c r="J93" s="5" t="s">
        <v>1543</v>
      </c>
      <c r="K93" s="5">
        <v>706.0</v>
      </c>
      <c r="L93" s="5">
        <v>0.340391</v>
      </c>
      <c r="M93" s="5">
        <v>-0.480929</v>
      </c>
      <c r="N93" s="5">
        <v>-0.140538</v>
      </c>
      <c r="O93" s="5">
        <v>0.806415</v>
      </c>
    </row>
    <row r="94">
      <c r="A94" s="18" t="str">
        <f>IFERROR(__xludf.DUMMYFUNCTION("""COMPUTED_VALUE"""),"Itay Shriki")</f>
        <v>Itay Shriki</v>
      </c>
      <c r="B94" s="19" t="str">
        <f>IFERROR(__xludf.DUMMYFUNCTION("""COMPUTED_VALUE"""),"EIL")</f>
        <v>EIL</v>
      </c>
      <c r="C94" s="20">
        <f>IFERROR(__xludf.DUMMYFUNCTION("""COMPUTED_VALUE"""),3.0)</f>
        <v>3</v>
      </c>
      <c r="D94" s="21">
        <f>IFERROR(__xludf.DUMMYFUNCTION("""COMPUTED_VALUE"""),-0.17762863566138667)</f>
        <v>-0.1776286357</v>
      </c>
      <c r="E94" s="21">
        <f>IFERROR(__xludf.DUMMYFUNCTION("""COMPUTED_VALUE"""),-0.05037215527178873)</f>
        <v>-0.05037215527</v>
      </c>
      <c r="F94" s="21">
        <f>IFERROR(__xludf.DUMMYFUNCTION("""COMPUTED_VALUE"""),-0.2280007909331754)</f>
        <v>-0.2280007909</v>
      </c>
      <c r="G94" s="23">
        <f>IFERROR(__xludf.DUMMYFUNCTION("""COMPUTED_VALUE"""),0.0016270464933174343)</f>
        <v>0.001627046493</v>
      </c>
      <c r="H94" s="4"/>
      <c r="I94" s="5" t="s">
        <v>1741</v>
      </c>
      <c r="J94" s="5" t="s">
        <v>1543</v>
      </c>
      <c r="K94" s="5">
        <v>3.0</v>
      </c>
      <c r="L94" s="5">
        <v>-0.13228</v>
      </c>
      <c r="M94" s="5">
        <v>-0.060249</v>
      </c>
      <c r="N94" s="5">
        <v>-0.192529</v>
      </c>
      <c r="O94" s="5">
        <v>0.003331</v>
      </c>
    </row>
    <row r="95">
      <c r="A95" s="12" t="str">
        <f>IFERROR(__xludf.DUMMYFUNCTION("""COMPUTED_VALUE"""),"Roy Indik")</f>
        <v>Roy Indik</v>
      </c>
      <c r="B95" s="13" t="str">
        <f>IFERROR(__xludf.DUMMYFUNCTION("""COMPUTED_VALUE"""),"EIL")</f>
        <v>EIL</v>
      </c>
      <c r="C95" s="14">
        <f>IFERROR(__xludf.DUMMYFUNCTION("""COMPUTED_VALUE"""),5.0)</f>
        <v>5</v>
      </c>
      <c r="D95" s="15">
        <f>IFERROR(__xludf.DUMMYFUNCTION("""COMPUTED_VALUE"""),-0.24917172139017216)</f>
        <v>-0.2491717214</v>
      </c>
      <c r="E95" s="15">
        <f>IFERROR(__xludf.DUMMYFUNCTION("""COMPUTED_VALUE"""),-0.004343360298195625)</f>
        <v>-0.004343360298</v>
      </c>
      <c r="F95" s="15">
        <f>IFERROR(__xludf.DUMMYFUNCTION("""COMPUTED_VALUE"""),-0.2535150816883678)</f>
        <v>-0.2535150817</v>
      </c>
      <c r="G95" s="17">
        <f>IFERROR(__xludf.DUMMYFUNCTION("""COMPUTED_VALUE"""),0.0026726988622333006)</f>
        <v>0.002672698862</v>
      </c>
      <c r="H95" s="4"/>
      <c r="I95" s="5" t="s">
        <v>1743</v>
      </c>
      <c r="J95" s="5" t="s">
        <v>1621</v>
      </c>
      <c r="K95" s="5">
        <v>6.0</v>
      </c>
      <c r="L95" s="5">
        <v>-0.118118</v>
      </c>
      <c r="M95" s="5">
        <v>-0.090339</v>
      </c>
      <c r="N95" s="5">
        <v>-0.208458</v>
      </c>
      <c r="O95" s="5">
        <v>0.003281</v>
      </c>
    </row>
    <row r="96">
      <c r="A96" s="18" t="str">
        <f>IFERROR(__xludf.DUMMYFUNCTION("""COMPUTED_VALUE"""),"Harrison Neri")</f>
        <v>Harrison Neri</v>
      </c>
      <c r="B96" s="19" t="str">
        <f>IFERROR(__xludf.DUMMYFUNCTION("""COMPUTED_VALUE"""),"NAH")</f>
        <v>NAH</v>
      </c>
      <c r="C96" s="20">
        <f>IFERROR(__xludf.DUMMYFUNCTION("""COMPUTED_VALUE"""),7.0)</f>
        <v>7</v>
      </c>
      <c r="D96" s="21">
        <f>IFERROR(__xludf.DUMMYFUNCTION("""COMPUTED_VALUE"""),-0.12967673335331886)</f>
        <v>-0.1296767334</v>
      </c>
      <c r="E96" s="21">
        <f>IFERROR(__xludf.DUMMYFUNCTION("""COMPUTED_VALUE"""),-0.15401083809798294)</f>
        <v>-0.1540108381</v>
      </c>
      <c r="F96" s="21">
        <f>IFERROR(__xludf.DUMMYFUNCTION("""COMPUTED_VALUE"""),-0.2836875714513018)</f>
        <v>-0.2836875715</v>
      </c>
      <c r="G96" s="23">
        <f>IFERROR(__xludf.DUMMYFUNCTION("""COMPUTED_VALUE"""),0.0036667508683891387)</f>
        <v>0.003666750868</v>
      </c>
      <c r="H96" s="4"/>
      <c r="I96" s="5" t="s">
        <v>1745</v>
      </c>
      <c r="J96" s="5" t="s">
        <v>1546</v>
      </c>
      <c r="K96" s="24">
        <v>1065.0</v>
      </c>
      <c r="L96" s="5">
        <v>0.945545</v>
      </c>
      <c r="M96" s="5">
        <v>-1.1566</v>
      </c>
      <c r="N96" s="5">
        <v>-0.211055</v>
      </c>
      <c r="O96" s="5">
        <v>0.5825</v>
      </c>
    </row>
    <row r="97">
      <c r="A97" s="12" t="str">
        <f>IFERROR(__xludf.DUMMYFUNCTION("""COMPUTED_VALUE"""),"Ido Shabat")</f>
        <v>Ido Shabat</v>
      </c>
      <c r="B97" s="13" t="str">
        <f>IFERROR(__xludf.DUMMYFUNCTION("""COMPUTED_VALUE"""),"IRO")</f>
        <v>IRO</v>
      </c>
      <c r="C97" s="14">
        <f>IFERROR(__xludf.DUMMYFUNCTION("""COMPUTED_VALUE"""),7.0)</f>
        <v>7</v>
      </c>
      <c r="D97" s="15">
        <f>IFERROR(__xludf.DUMMYFUNCTION("""COMPUTED_VALUE"""),-0.17558428569706735)</f>
        <v>-0.1755842857</v>
      </c>
      <c r="E97" s="15">
        <f>IFERROR(__xludf.DUMMYFUNCTION("""COMPUTED_VALUE"""),-0.1289902756046144)</f>
        <v>-0.1289902756</v>
      </c>
      <c r="F97" s="15">
        <f>IFERROR(__xludf.DUMMYFUNCTION("""COMPUTED_VALUE"""),-0.30457456130168176)</f>
        <v>-0.3045745613</v>
      </c>
      <c r="G97" s="17">
        <f>IFERROR(__xludf.DUMMYFUNCTION("""COMPUTED_VALUE"""),0.0036124280058611653)</f>
        <v>0.003612428006</v>
      </c>
      <c r="H97" s="4"/>
      <c r="I97" s="5" t="s">
        <v>1747</v>
      </c>
      <c r="J97" s="5" t="s">
        <v>1546</v>
      </c>
      <c r="K97" s="5">
        <v>3.0</v>
      </c>
      <c r="L97" s="5">
        <v>-0.2176</v>
      </c>
      <c r="M97" s="5">
        <v>-5.73E-4</v>
      </c>
      <c r="N97" s="5">
        <v>-0.218173</v>
      </c>
      <c r="O97" s="5">
        <v>0.001634</v>
      </c>
    </row>
    <row r="98">
      <c r="A98" s="18" t="str">
        <f>IFERROR(__xludf.DUMMYFUNCTION("""COMPUTED_VALUE"""),"Jimmy McDonnell")</f>
        <v>Jimmy McDonnell</v>
      </c>
      <c r="B98" s="19" t="str">
        <f>IFERROR(__xludf.DUMMYFUNCTION("""COMPUTED_VALUE"""),"ASH")</f>
        <v>ASH</v>
      </c>
      <c r="C98" s="20">
        <f>IFERROR(__xludf.DUMMYFUNCTION("""COMPUTED_VALUE"""),11.0)</f>
        <v>11</v>
      </c>
      <c r="D98" s="21">
        <f>IFERROR(__xludf.DUMMYFUNCTION("""COMPUTED_VALUE"""),-0.013862210577631942)</f>
        <v>-0.01386221058</v>
      </c>
      <c r="E98" s="21">
        <f>IFERROR(__xludf.DUMMYFUNCTION("""COMPUTED_VALUE"""),-0.2924786782404622)</f>
        <v>-0.2924786782</v>
      </c>
      <c r="F98" s="21">
        <f>IFERROR(__xludf.DUMMYFUNCTION("""COMPUTED_VALUE"""),-0.3063408888180941)</f>
        <v>-0.3063408888</v>
      </c>
      <c r="G98" s="23">
        <f>IFERROR(__xludf.DUMMYFUNCTION("""COMPUTED_VALUE"""),0.005845850081846702)</f>
        <v>0.005845850082</v>
      </c>
      <c r="H98" s="4"/>
      <c r="I98" s="5" t="s">
        <v>1749</v>
      </c>
      <c r="J98" s="5" t="s">
        <v>1543</v>
      </c>
      <c r="K98" s="24">
        <v>8.0</v>
      </c>
      <c r="L98" s="5">
        <v>-0.095428</v>
      </c>
      <c r="M98" s="5">
        <v>-0.127258</v>
      </c>
      <c r="N98" s="5">
        <v>-0.222686</v>
      </c>
      <c r="O98" s="5">
        <v>0.008734</v>
      </c>
    </row>
    <row r="99">
      <c r="A99" s="12" t="str">
        <f>IFERROR(__xludf.DUMMYFUNCTION("""COMPUTED_VALUE"""),"Jabril Trawick")</f>
        <v>Jabril Trawick</v>
      </c>
      <c r="B99" s="13" t="str">
        <f>IFERROR(__xludf.DUMMYFUNCTION("""COMPUTED_VALUE"""),"HAP")</f>
        <v>HAP</v>
      </c>
      <c r="C99" s="14">
        <f>IFERROR(__xludf.DUMMYFUNCTION("""COMPUTED_VALUE"""),24.0)</f>
        <v>24</v>
      </c>
      <c r="D99" s="15">
        <f>IFERROR(__xludf.DUMMYFUNCTION("""COMPUTED_VALUE"""),-0.2603308212026585)</f>
        <v>-0.2603308212</v>
      </c>
      <c r="E99" s="15">
        <f>IFERROR(__xludf.DUMMYFUNCTION("""COMPUTED_VALUE"""),-0.08384537738876718)</f>
        <v>-0.08384537739</v>
      </c>
      <c r="F99" s="15">
        <f>IFERROR(__xludf.DUMMYFUNCTION("""COMPUTED_VALUE"""),-0.3441761985914257)</f>
        <v>-0.3441761986</v>
      </c>
      <c r="G99" s="17">
        <f>IFERROR(__xludf.DUMMYFUNCTION("""COMPUTED_VALUE"""),0.024412342768779127)</f>
        <v>0.02441234277</v>
      </c>
      <c r="H99" s="4"/>
      <c r="I99" s="5" t="s">
        <v>1750</v>
      </c>
      <c r="J99" s="5" t="s">
        <v>1543</v>
      </c>
      <c r="K99" s="5">
        <v>750.0</v>
      </c>
      <c r="L99" s="5">
        <v>1.746643</v>
      </c>
      <c r="M99" s="5">
        <v>-2.006255</v>
      </c>
      <c r="N99" s="5">
        <v>-0.259612</v>
      </c>
      <c r="O99" s="5">
        <v>0.801814</v>
      </c>
    </row>
    <row r="100">
      <c r="A100" s="18" t="str">
        <f>IFERROR(__xludf.DUMMYFUNCTION("""COMPUTED_VALUE"""),"Eric Griffin")</f>
        <v>Eric Griffin</v>
      </c>
      <c r="B100" s="19" t="str">
        <f>IFERROR(__xludf.DUMMYFUNCTION("""COMPUTED_VALUE"""),"EIL")</f>
        <v>EIL</v>
      </c>
      <c r="C100" s="20">
        <f>IFERROR(__xludf.DUMMYFUNCTION("""COMPUTED_VALUE"""),579.0)</f>
        <v>579</v>
      </c>
      <c r="D100" s="21">
        <f>IFERROR(__xludf.DUMMYFUNCTION("""COMPUTED_VALUE"""),-1.1678339925443115)</f>
        <v>-1.167833993</v>
      </c>
      <c r="E100" s="21">
        <f>IFERROR(__xludf.DUMMYFUNCTION("""COMPUTED_VALUE"""),0.8228973559784766)</f>
        <v>0.822897356</v>
      </c>
      <c r="F100" s="21">
        <f>IFERROR(__xludf.DUMMYFUNCTION("""COMPUTED_VALUE"""),-0.34493663656583495)</f>
        <v>-0.3449366366</v>
      </c>
      <c r="G100" s="23">
        <f>IFERROR(__xludf.DUMMYFUNCTION("""COMPUTED_VALUE"""),0.2932975084794678)</f>
        <v>0.2932975085</v>
      </c>
      <c r="H100" s="4"/>
      <c r="I100" s="5" t="s">
        <v>1753</v>
      </c>
      <c r="J100" s="5" t="s">
        <v>1643</v>
      </c>
      <c r="K100" s="5">
        <v>833.0</v>
      </c>
      <c r="L100" s="5">
        <v>-1.45674</v>
      </c>
      <c r="M100" s="5">
        <v>1.196911</v>
      </c>
      <c r="N100" s="5">
        <v>-0.259829</v>
      </c>
      <c r="O100" s="5">
        <v>0.443082</v>
      </c>
    </row>
    <row r="101">
      <c r="A101" s="12" t="str">
        <f>IFERROR(__xludf.DUMMYFUNCTION("""COMPUTED_VALUE"""),"Derrick Sharp")</f>
        <v>Derrick Sharp</v>
      </c>
      <c r="B101" s="13" t="str">
        <f>IFERROR(__xludf.DUMMYFUNCTION("""COMPUTED_VALUE"""),"BHS")</f>
        <v>BHS</v>
      </c>
      <c r="C101" s="14">
        <f>IFERROR(__xludf.DUMMYFUNCTION("""COMPUTED_VALUE"""),15.0)</f>
        <v>15</v>
      </c>
      <c r="D101" s="15">
        <f>IFERROR(__xludf.DUMMYFUNCTION("""COMPUTED_VALUE"""),-0.1297905072325427)</f>
        <v>-0.1297905072</v>
      </c>
      <c r="E101" s="15">
        <f>IFERROR(__xludf.DUMMYFUNCTION("""COMPUTED_VALUE"""),-0.21984101466602463)</f>
        <v>-0.2198410147</v>
      </c>
      <c r="F101" s="15">
        <f>IFERROR(__xludf.DUMMYFUNCTION("""COMPUTED_VALUE"""),-0.34963152189856733)</f>
        <v>-0.3496315219</v>
      </c>
      <c r="G101" s="17">
        <f>IFERROR(__xludf.DUMMYFUNCTION("""COMPUTED_VALUE"""),0.007583034101973879)</f>
        <v>0.007583034102</v>
      </c>
      <c r="H101" s="4"/>
      <c r="I101" s="5" t="s">
        <v>1754</v>
      </c>
      <c r="J101" s="5" t="s">
        <v>1546</v>
      </c>
      <c r="K101" s="5">
        <v>5.0</v>
      </c>
      <c r="L101" s="5">
        <v>-0.259787</v>
      </c>
      <c r="M101" s="5">
        <v>-0.002008</v>
      </c>
      <c r="N101" s="5">
        <v>-0.261795</v>
      </c>
      <c r="O101" s="5">
        <v>0.002657</v>
      </c>
    </row>
    <row r="102">
      <c r="A102" s="18" t="str">
        <f>IFERROR(__xludf.DUMMYFUNCTION("""COMPUTED_VALUE"""),"Gal Baruch")</f>
        <v>Gal Baruch</v>
      </c>
      <c r="B102" s="19" t="str">
        <f>IFERROR(__xludf.DUMMYFUNCTION("""COMPUTED_VALUE"""),"HAI")</f>
        <v>HAI</v>
      </c>
      <c r="C102" s="20">
        <f>IFERROR(__xludf.DUMMYFUNCTION("""COMPUTED_VALUE"""),3.0)</f>
        <v>3</v>
      </c>
      <c r="D102" s="21">
        <f>IFERROR(__xludf.DUMMYFUNCTION("""COMPUTED_VALUE"""),-0.23261633415723415)</f>
        <v>-0.2326163342</v>
      </c>
      <c r="E102" s="21">
        <f>IFERROR(__xludf.DUMMYFUNCTION("""COMPUTED_VALUE"""),-0.13860252224177855)</f>
        <v>-0.1386025222</v>
      </c>
      <c r="F102" s="21">
        <f>IFERROR(__xludf.DUMMYFUNCTION("""COMPUTED_VALUE"""),-0.3712188563990127)</f>
        <v>-0.3712188564</v>
      </c>
      <c r="G102" s="23">
        <f>IFERROR(__xludf.DUMMYFUNCTION("""COMPUTED_VALUE"""),0.0015488778222495442)</f>
        <v>0.001548877822</v>
      </c>
      <c r="H102" s="4"/>
      <c r="I102" s="5" t="s">
        <v>1757</v>
      </c>
      <c r="J102" s="5" t="s">
        <v>1621</v>
      </c>
      <c r="K102" s="5">
        <v>7.0</v>
      </c>
      <c r="L102" s="5">
        <v>-0.128784</v>
      </c>
      <c r="M102" s="5">
        <v>-0.155918</v>
      </c>
      <c r="N102" s="5">
        <v>-0.284702</v>
      </c>
      <c r="O102" s="5">
        <v>0.003665</v>
      </c>
    </row>
    <row r="103">
      <c r="A103" s="12" t="str">
        <f>IFERROR(__xludf.DUMMYFUNCTION("""COMPUTED_VALUE"""),"Yovel Zoosman")</f>
        <v>Yovel Zoosman</v>
      </c>
      <c r="B103" s="13" t="str">
        <f>IFERROR(__xludf.DUMMYFUNCTION("""COMPUTED_VALUE"""),"MAC")</f>
        <v>MAC</v>
      </c>
      <c r="C103" s="14">
        <f>IFERROR(__xludf.DUMMYFUNCTION("""COMPUTED_VALUE"""),490.0)</f>
        <v>490</v>
      </c>
      <c r="D103" s="15">
        <f>IFERROR(__xludf.DUMMYFUNCTION("""COMPUTED_VALUE"""),-1.157081581998328)</f>
        <v>-1.157081582</v>
      </c>
      <c r="E103" s="15">
        <f>IFERROR(__xludf.DUMMYFUNCTION("""COMPUTED_VALUE"""),0.7824779717986496)</f>
        <v>0.7824779718</v>
      </c>
      <c r="F103" s="15">
        <f>IFERROR(__xludf.DUMMYFUNCTION("""COMPUTED_VALUE"""),-0.37460361019967836)</f>
        <v>-0.3746036102</v>
      </c>
      <c r="G103" s="17">
        <f>IFERROR(__xludf.DUMMYFUNCTION("""COMPUTED_VALUE"""),0.2421044653280363)</f>
        <v>0.2421044653</v>
      </c>
      <c r="H103" s="4"/>
      <c r="I103" s="5" t="s">
        <v>1759</v>
      </c>
      <c r="J103" s="5" t="s">
        <v>1543</v>
      </c>
      <c r="K103" s="5">
        <v>24.0</v>
      </c>
      <c r="L103" s="5">
        <v>-0.252858</v>
      </c>
      <c r="M103" s="5">
        <v>-0.072025</v>
      </c>
      <c r="N103" s="5">
        <v>-0.324883</v>
      </c>
      <c r="O103" s="5">
        <v>0.024696</v>
      </c>
    </row>
    <row r="104">
      <c r="A104" s="18" t="str">
        <f>IFERROR(__xludf.DUMMYFUNCTION("""COMPUTED_VALUE"""),"Omer Birnfeld")</f>
        <v>Omer Birnfeld</v>
      </c>
      <c r="B104" s="19" t="str">
        <f>IFERROR(__xludf.DUMMYFUNCTION("""COMPUTED_VALUE"""),"ASH")</f>
        <v>ASH</v>
      </c>
      <c r="C104" s="20">
        <f>IFERROR(__xludf.DUMMYFUNCTION("""COMPUTED_VALUE"""),3.0)</f>
        <v>3</v>
      </c>
      <c r="D104" s="21">
        <f>IFERROR(__xludf.DUMMYFUNCTION("""COMPUTED_VALUE"""),-0.46629184884027153)</f>
        <v>-0.4662918488</v>
      </c>
      <c r="E104" s="21">
        <f>IFERROR(__xludf.DUMMYFUNCTION("""COMPUTED_VALUE"""),0.09087918914592896)</f>
        <v>0.09087918915</v>
      </c>
      <c r="F104" s="21">
        <f>IFERROR(__xludf.DUMMYFUNCTION("""COMPUTED_VALUE"""),-0.37541265969434257)</f>
        <v>-0.3754126597</v>
      </c>
      <c r="G104" s="23">
        <f>IFERROR(__xludf.DUMMYFUNCTION("""COMPUTED_VALUE"""),0.0015293021708159026)</f>
        <v>0.001529302171</v>
      </c>
      <c r="H104" s="4"/>
      <c r="I104" s="5" t="s">
        <v>1761</v>
      </c>
      <c r="J104" s="5" t="s">
        <v>1643</v>
      </c>
      <c r="K104" s="5">
        <v>15.0</v>
      </c>
      <c r="L104" s="5">
        <v>-0.126383</v>
      </c>
      <c r="M104" s="5">
        <v>-0.221511</v>
      </c>
      <c r="N104" s="5">
        <v>-0.347894</v>
      </c>
      <c r="O104" s="5">
        <v>0.007575</v>
      </c>
    </row>
    <row r="105">
      <c r="A105" s="12" t="str">
        <f>IFERROR(__xludf.DUMMYFUNCTION("""COMPUTED_VALUE"""),"Daniel Reuven")</f>
        <v>Daniel Reuven</v>
      </c>
      <c r="B105" s="13" t="str">
        <f>IFERROR(__xludf.DUMMYFUNCTION("""COMPUTED_VALUE"""),"EIL")</f>
        <v>EIL</v>
      </c>
      <c r="C105" s="14">
        <f>IFERROR(__xludf.DUMMYFUNCTION("""COMPUTED_VALUE"""),7.0)</f>
        <v>7</v>
      </c>
      <c r="D105" s="15">
        <f>IFERROR(__xludf.DUMMYFUNCTION("""COMPUTED_VALUE"""),-0.295146773384513)</f>
        <v>-0.2951467734</v>
      </c>
      <c r="E105" s="15">
        <f>IFERROR(__xludf.DUMMYFUNCTION("""COMPUTED_VALUE"""),-0.09146241297625407)</f>
        <v>-0.09146241298</v>
      </c>
      <c r="F105" s="15">
        <f>IFERROR(__xludf.DUMMYFUNCTION("""COMPUTED_VALUE"""),-0.3866091863607671)</f>
        <v>-0.3866091864</v>
      </c>
      <c r="G105" s="17">
        <f>IFERROR(__xludf.DUMMYFUNCTION("""COMPUTED_VALUE"""),0.0034566292817276626)</f>
        <v>0.003456629282</v>
      </c>
      <c r="H105" s="4"/>
      <c r="I105" s="5" t="s">
        <v>1763</v>
      </c>
      <c r="J105" s="5" t="s">
        <v>1621</v>
      </c>
      <c r="K105" s="5">
        <v>672.0</v>
      </c>
      <c r="L105" s="5">
        <v>-0.713393</v>
      </c>
      <c r="M105" s="5">
        <v>0.344914</v>
      </c>
      <c r="N105" s="5">
        <v>-0.368479</v>
      </c>
      <c r="O105" s="5">
        <v>0.334629</v>
      </c>
    </row>
    <row r="106">
      <c r="A106" s="18" t="str">
        <f>IFERROR(__xludf.DUMMYFUNCTION("""COMPUTED_VALUE"""),"Yariv Amiram")</f>
        <v>Yariv Amiram</v>
      </c>
      <c r="B106" s="19" t="str">
        <f>IFERROR(__xludf.DUMMYFUNCTION("""COMPUTED_VALUE"""),"NAH")</f>
        <v>NAH</v>
      </c>
      <c r="C106" s="20">
        <f>IFERROR(__xludf.DUMMYFUNCTION("""COMPUTED_VALUE"""),11.0)</f>
        <v>11</v>
      </c>
      <c r="D106" s="21">
        <f>IFERROR(__xludf.DUMMYFUNCTION("""COMPUTED_VALUE"""),-0.2745626526975269)</f>
        <v>-0.2745626527</v>
      </c>
      <c r="E106" s="21">
        <f>IFERROR(__xludf.DUMMYFUNCTION("""COMPUTED_VALUE"""),-0.13079996973061392)</f>
        <v>-0.1307999697</v>
      </c>
      <c r="F106" s="21">
        <f>IFERROR(__xludf.DUMMYFUNCTION("""COMPUTED_VALUE"""),-0.4053626224281408)</f>
        <v>-0.4053626224</v>
      </c>
      <c r="G106" s="23">
        <f>IFERROR(__xludf.DUMMYFUNCTION("""COMPUTED_VALUE"""),0.005353547258720306)</f>
        <v>0.005353547259</v>
      </c>
      <c r="H106" s="4"/>
      <c r="I106" s="5" t="s">
        <v>1765</v>
      </c>
      <c r="J106" s="5" t="s">
        <v>1606</v>
      </c>
      <c r="K106" s="5">
        <v>3.0</v>
      </c>
      <c r="L106" s="5">
        <v>-0.232651</v>
      </c>
      <c r="M106" s="5">
        <v>-0.139956</v>
      </c>
      <c r="N106" s="5">
        <v>-0.372608</v>
      </c>
      <c r="O106" s="5">
        <v>0.001547</v>
      </c>
    </row>
    <row r="107">
      <c r="A107" s="12" t="str">
        <f>IFERROR(__xludf.DUMMYFUNCTION("""COMPUTED_VALUE"""),"Elad Hoffman")</f>
        <v>Elad Hoffman</v>
      </c>
      <c r="B107" s="13" t="str">
        <f>IFERROR(__xludf.DUMMYFUNCTION("""COMPUTED_VALUE"""),"IRO")</f>
        <v>IRO</v>
      </c>
      <c r="C107" s="14">
        <f>IFERROR(__xludf.DUMMYFUNCTION("""COMPUTED_VALUE"""),545.0)</f>
        <v>545</v>
      </c>
      <c r="D107" s="15">
        <f>IFERROR(__xludf.DUMMYFUNCTION("""COMPUTED_VALUE"""),-1.0456641647249165)</f>
        <v>-1.045664165</v>
      </c>
      <c r="E107" s="15">
        <f>IFERROR(__xludf.DUMMYFUNCTION("""COMPUTED_VALUE"""),0.6275816579421805)</f>
        <v>0.6275816579</v>
      </c>
      <c r="F107" s="15">
        <f>IFERROR(__xludf.DUMMYFUNCTION("""COMPUTED_VALUE"""),-0.41808250678273606)</f>
        <v>-0.4180825068</v>
      </c>
      <c r="G107" s="17">
        <f>IFERROR(__xludf.DUMMYFUNCTION("""COMPUTED_VALUE"""),0.2624235439788324)</f>
        <v>0.262423544</v>
      </c>
      <c r="H107" s="4"/>
      <c r="I107" s="5" t="s">
        <v>1767</v>
      </c>
      <c r="J107" s="5" t="s">
        <v>1554</v>
      </c>
      <c r="K107" s="5">
        <v>3.0</v>
      </c>
      <c r="L107" s="5">
        <v>-0.464043</v>
      </c>
      <c r="M107" s="5">
        <v>0.090895</v>
      </c>
      <c r="N107" s="5">
        <v>-0.373148</v>
      </c>
      <c r="O107" s="5">
        <v>0.001536</v>
      </c>
    </row>
    <row r="108">
      <c r="A108" s="18" t="str">
        <f>IFERROR(__xludf.DUMMYFUNCTION("""COMPUTED_VALUE"""),"Tarence Kinsey")</f>
        <v>Tarence Kinsey</v>
      </c>
      <c r="B108" s="19" t="str">
        <f>IFERROR(__xludf.DUMMYFUNCTION("""COMPUTED_VALUE"""),"HAPJ")</f>
        <v>HAPJ</v>
      </c>
      <c r="C108" s="20">
        <f>IFERROR(__xludf.DUMMYFUNCTION("""COMPUTED_VALUE"""),723.0)</f>
        <v>723</v>
      </c>
      <c r="D108" s="21">
        <f>IFERROR(__xludf.DUMMYFUNCTION("""COMPUTED_VALUE"""),-0.8534762429632339)</f>
        <v>-0.853476243</v>
      </c>
      <c r="E108" s="21">
        <f>IFERROR(__xludf.DUMMYFUNCTION("""COMPUTED_VALUE"""),0.4108787361790005)</f>
        <v>0.4108787362</v>
      </c>
      <c r="F108" s="21">
        <f>IFERROR(__xludf.DUMMYFUNCTION("""COMPUTED_VALUE"""),-0.4425975067842334)</f>
        <v>-0.4425975068</v>
      </c>
      <c r="G108" s="23">
        <f>IFERROR(__xludf.DUMMYFUNCTION("""COMPUTED_VALUE"""),0.3402933390378306)</f>
        <v>0.340293339</v>
      </c>
      <c r="H108" s="4"/>
      <c r="I108" s="5" t="s">
        <v>491</v>
      </c>
      <c r="J108" s="5" t="s">
        <v>64</v>
      </c>
      <c r="K108" s="5">
        <v>525.0</v>
      </c>
      <c r="L108" s="5">
        <v>1.439014</v>
      </c>
      <c r="M108" s="5">
        <v>-1.839314</v>
      </c>
      <c r="N108" s="5">
        <v>-0.400301</v>
      </c>
      <c r="O108" s="5">
        <v>0.254974</v>
      </c>
    </row>
    <row r="109">
      <c r="A109" s="12" t="str">
        <f>IFERROR(__xludf.DUMMYFUNCTION("""COMPUTED_VALUE"""),"Noam Avivi")</f>
        <v>Noam Avivi</v>
      </c>
      <c r="B109" s="13" t="str">
        <f>IFERROR(__xludf.DUMMYFUNCTION("""COMPUTED_VALUE"""),"BHS")</f>
        <v>BHS</v>
      </c>
      <c r="C109" s="14">
        <f>IFERROR(__xludf.DUMMYFUNCTION("""COMPUTED_VALUE"""),11.0)</f>
        <v>11</v>
      </c>
      <c r="D109" s="15">
        <f>IFERROR(__xludf.DUMMYFUNCTION("""COMPUTED_VALUE"""),-0.28205467465881356)</f>
        <v>-0.2820546747</v>
      </c>
      <c r="E109" s="15">
        <f>IFERROR(__xludf.DUMMYFUNCTION("""COMPUTED_VALUE"""),-0.17471446935435553)</f>
        <v>-0.1747144694</v>
      </c>
      <c r="F109" s="15">
        <f>IFERROR(__xludf.DUMMYFUNCTION("""COMPUTED_VALUE"""),-0.4567691440131691)</f>
        <v>-0.456769144</v>
      </c>
      <c r="G109" s="17">
        <f>IFERROR(__xludf.DUMMYFUNCTION("""COMPUTED_VALUE"""),0.005199893074299645)</f>
        <v>0.005199893074</v>
      </c>
      <c r="H109" s="4"/>
      <c r="I109" s="5" t="s">
        <v>1770</v>
      </c>
      <c r="J109" s="5" t="s">
        <v>1621</v>
      </c>
      <c r="K109" s="5">
        <v>11.0</v>
      </c>
      <c r="L109" s="5">
        <v>-0.274305</v>
      </c>
      <c r="M109" s="5">
        <v>-0.133779</v>
      </c>
      <c r="N109" s="5">
        <v>-0.408084</v>
      </c>
      <c r="O109" s="5">
        <v>0.005345</v>
      </c>
    </row>
    <row r="110">
      <c r="A110" s="18" t="str">
        <f>IFERROR(__xludf.DUMMYFUNCTION("""COMPUTED_VALUE"""),"Denzel Bowles")</f>
        <v>Denzel Bowles</v>
      </c>
      <c r="B110" s="19" t="str">
        <f>IFERROR(__xludf.DUMMYFUNCTION("""COMPUTED_VALUE"""),"EIL")</f>
        <v>EIL</v>
      </c>
      <c r="C110" s="20">
        <f>IFERROR(__xludf.DUMMYFUNCTION("""COMPUTED_VALUE"""),19.0)</f>
        <v>19</v>
      </c>
      <c r="D110" s="21">
        <f>IFERROR(__xludf.DUMMYFUNCTION("""COMPUTED_VALUE"""),-0.3722958128371525)</f>
        <v>-0.3722958128</v>
      </c>
      <c r="E110" s="21">
        <f>IFERROR(__xludf.DUMMYFUNCTION("""COMPUTED_VALUE"""),-0.12110410301209096)</f>
        <v>-0.121104103</v>
      </c>
      <c r="F110" s="21">
        <f>IFERROR(__xludf.DUMMYFUNCTION("""COMPUTED_VALUE"""),-0.4933999158492435)</f>
        <v>-0.4933999158</v>
      </c>
      <c r="G110" s="23">
        <f>IFERROR(__xludf.DUMMYFUNCTION("""COMPUTED_VALUE"""),0.008761264123393325)</f>
        <v>0.008761264123</v>
      </c>
      <c r="H110" s="4"/>
      <c r="I110" s="5" t="s">
        <v>1773</v>
      </c>
      <c r="J110" s="5" t="s">
        <v>1643</v>
      </c>
      <c r="K110" s="5">
        <v>11.0</v>
      </c>
      <c r="L110" s="5">
        <v>-0.279457</v>
      </c>
      <c r="M110" s="5">
        <v>-0.17602</v>
      </c>
      <c r="N110" s="5">
        <v>-0.455477</v>
      </c>
      <c r="O110" s="5">
        <v>0.005193</v>
      </c>
    </row>
    <row r="111">
      <c r="A111" s="12" t="str">
        <f>IFERROR(__xludf.DUMMYFUNCTION("""COMPUTED_VALUE"""),"Dominique Archie")</f>
        <v>Dominique Archie</v>
      </c>
      <c r="B111" s="13" t="str">
        <f>IFERROR(__xludf.DUMMYFUNCTION("""COMPUTED_VALUE"""),"BHS")</f>
        <v>BHS</v>
      </c>
      <c r="C111" s="14">
        <f>IFERROR(__xludf.DUMMYFUNCTION("""COMPUTED_VALUE"""),851.0)</f>
        <v>851</v>
      </c>
      <c r="D111" s="15">
        <f>IFERROR(__xludf.DUMMYFUNCTION("""COMPUTED_VALUE"""),-1.706924550859688)</f>
        <v>-1.706924551</v>
      </c>
      <c r="E111" s="15">
        <f>IFERROR(__xludf.DUMMYFUNCTION("""COMPUTED_VALUE"""),1.162975283923174)</f>
        <v>1.162975284</v>
      </c>
      <c r="F111" s="15">
        <f>IFERROR(__xludf.DUMMYFUNCTION("""COMPUTED_VALUE"""),-0.543949266936514)</f>
        <v>-0.5439492669</v>
      </c>
      <c r="G111" s="17">
        <f>IFERROR(__xludf.DUMMYFUNCTION("""COMPUTED_VALUE"""),0.37955690564905636)</f>
        <v>0.3795569056</v>
      </c>
      <c r="H111" s="4"/>
      <c r="I111" s="5" t="s">
        <v>1775</v>
      </c>
      <c r="J111" s="5" t="s">
        <v>1546</v>
      </c>
      <c r="K111" s="5">
        <v>19.0</v>
      </c>
      <c r="L111" s="5">
        <v>-0.381907</v>
      </c>
      <c r="M111" s="5">
        <v>-0.112749</v>
      </c>
      <c r="N111" s="5">
        <v>-0.494656</v>
      </c>
      <c r="O111" s="5">
        <v>0.008745</v>
      </c>
    </row>
    <row r="112">
      <c r="A112" s="18" t="str">
        <f>IFERROR(__xludf.DUMMYFUNCTION("""COMPUTED_VALUE"""),"Michael Moshkovitz")</f>
        <v>Michael Moshkovitz</v>
      </c>
      <c r="B112" s="19" t="str">
        <f>IFERROR(__xludf.DUMMYFUNCTION("""COMPUTED_VALUE"""),"HAPJ")</f>
        <v>HAPJ</v>
      </c>
      <c r="C112" s="20">
        <f>IFERROR(__xludf.DUMMYFUNCTION("""COMPUTED_VALUE"""),8.0)</f>
        <v>8</v>
      </c>
      <c r="D112" s="21">
        <f>IFERROR(__xludf.DUMMYFUNCTION("""COMPUTED_VALUE"""),-0.4606162588473344)</f>
        <v>-0.4606162588</v>
      </c>
      <c r="E112" s="21">
        <f>IFERROR(__xludf.DUMMYFUNCTION("""COMPUTED_VALUE"""),-0.11050943892119774)</f>
        <v>-0.1105094389</v>
      </c>
      <c r="F112" s="21">
        <f>IFERROR(__xludf.DUMMYFUNCTION("""COMPUTED_VALUE"""),-0.5711256977685322)</f>
        <v>-0.5711256978</v>
      </c>
      <c r="G112" s="23">
        <f>IFERROR(__xludf.DUMMYFUNCTION("""COMPUTED_VALUE"""),0.003454604210302359)</f>
        <v>0.00345460421</v>
      </c>
      <c r="H112" s="4"/>
      <c r="I112" s="5" t="s">
        <v>1776</v>
      </c>
      <c r="J112" s="5" t="s">
        <v>1543</v>
      </c>
      <c r="K112" s="5">
        <v>471.0</v>
      </c>
      <c r="L112" s="5">
        <v>0.282352</v>
      </c>
      <c r="M112" s="5">
        <v>-0.784616</v>
      </c>
      <c r="N112" s="5">
        <v>-0.502264</v>
      </c>
      <c r="O112" s="5">
        <v>0.433334</v>
      </c>
    </row>
    <row r="113">
      <c r="A113" s="12" t="str">
        <f>IFERROR(__xludf.DUMMYFUNCTION("""COMPUTED_VALUE"""),"Iftah Ziv")</f>
        <v>Iftah Ziv</v>
      </c>
      <c r="B113" s="13" t="str">
        <f>IFERROR(__xludf.DUMMYFUNCTION("""COMPUTED_VALUE"""),"NAH")</f>
        <v>NAH</v>
      </c>
      <c r="C113" s="14">
        <f>IFERROR(__xludf.DUMMYFUNCTION("""COMPUTED_VALUE"""),697.0)</f>
        <v>697</v>
      </c>
      <c r="D113" s="15">
        <f>IFERROR(__xludf.DUMMYFUNCTION("""COMPUTED_VALUE"""),-1.0741901935656035)</f>
        <v>-1.074190194</v>
      </c>
      <c r="E113" s="15">
        <f>IFERROR(__xludf.DUMMYFUNCTION("""COMPUTED_VALUE"""),0.45779660873483063)</f>
        <v>0.4577966087</v>
      </c>
      <c r="F113" s="15">
        <f>IFERROR(__xludf.DUMMYFUNCTION("""COMPUTED_VALUE"""),-0.6163935848307729)</f>
        <v>-0.6163935848</v>
      </c>
      <c r="G113" s="17">
        <f>IFERROR(__xludf.DUMMYFUNCTION("""COMPUTED_VALUE"""),0.29432852984602476)</f>
        <v>0.2943285298</v>
      </c>
      <c r="H113" s="4"/>
      <c r="I113" s="5" t="s">
        <v>1778</v>
      </c>
      <c r="J113" s="5" t="s">
        <v>1554</v>
      </c>
      <c r="K113" s="5">
        <v>627.0</v>
      </c>
      <c r="L113" s="5">
        <v>-0.979309</v>
      </c>
      <c r="M113" s="5">
        <v>0.465678</v>
      </c>
      <c r="N113" s="5">
        <v>-0.513631</v>
      </c>
      <c r="O113" s="5">
        <v>0.293369</v>
      </c>
    </row>
    <row r="114">
      <c r="A114" s="18" t="str">
        <f>IFERROR(__xludf.DUMMYFUNCTION("""COMPUTED_VALUE"""),"Curtis Jerrells")</f>
        <v>Curtis Jerrells</v>
      </c>
      <c r="B114" s="19" t="str">
        <f>IFERROR(__xludf.DUMMYFUNCTION("""COMPUTED_VALUE"""),"HAPJ")</f>
        <v>HAPJ</v>
      </c>
      <c r="C114" s="20">
        <f>IFERROR(__xludf.DUMMYFUNCTION("""COMPUTED_VALUE"""),62.0)</f>
        <v>62</v>
      </c>
      <c r="D114" s="21">
        <f>IFERROR(__xludf.DUMMYFUNCTION("""COMPUTED_VALUE"""),-0.44644365705854844)</f>
        <v>-0.4464436571</v>
      </c>
      <c r="E114" s="21">
        <f>IFERROR(__xludf.DUMMYFUNCTION("""COMPUTED_VALUE"""),-0.1808785771682599)</f>
        <v>-0.1808785772</v>
      </c>
      <c r="F114" s="21">
        <f>IFERROR(__xludf.DUMMYFUNCTION("""COMPUTED_VALUE"""),-0.6273222342268083)</f>
        <v>-0.6273222342</v>
      </c>
      <c r="G114" s="23">
        <f>IFERROR(__xludf.DUMMYFUNCTION("""COMPUTED_VALUE"""),0.02572021377778092)</f>
        <v>0.02572021378</v>
      </c>
      <c r="H114" s="4"/>
      <c r="I114" s="5" t="s">
        <v>1780</v>
      </c>
      <c r="J114" s="5" t="s">
        <v>64</v>
      </c>
      <c r="K114" s="5">
        <v>3.0</v>
      </c>
      <c r="L114" s="5">
        <v>-0.477111</v>
      </c>
      <c r="M114" s="5">
        <v>-0.093762</v>
      </c>
      <c r="N114" s="5">
        <v>-0.570873</v>
      </c>
      <c r="O114" s="5">
        <v>0.001302</v>
      </c>
    </row>
    <row r="115">
      <c r="A115" s="12" t="str">
        <f>IFERROR(__xludf.DUMMYFUNCTION("""COMPUTED_VALUE"""),"Jermaine Beal")</f>
        <v>Jermaine Beal</v>
      </c>
      <c r="B115" s="13" t="str">
        <f>IFERROR(__xludf.DUMMYFUNCTION("""COMPUTED_VALUE"""),"IRO")</f>
        <v>IRO</v>
      </c>
      <c r="C115" s="14">
        <f>IFERROR(__xludf.DUMMYFUNCTION("""COMPUTED_VALUE"""),28.0)</f>
        <v>28</v>
      </c>
      <c r="D115" s="15">
        <f>IFERROR(__xludf.DUMMYFUNCTION("""COMPUTED_VALUE"""),-0.7014672553490859)</f>
        <v>-0.7014672553</v>
      </c>
      <c r="E115" s="15">
        <f>IFERROR(__xludf.DUMMYFUNCTION("""COMPUTED_VALUE"""),0.05189113299705339)</f>
        <v>0.051891133</v>
      </c>
      <c r="F115" s="15">
        <f>IFERROR(__xludf.DUMMYFUNCTION("""COMPUTED_VALUE"""),-0.6495761223520325)</f>
        <v>-0.6495761224</v>
      </c>
      <c r="G115" s="17">
        <f>IFERROR(__xludf.DUMMYFUNCTION("""COMPUTED_VALUE"""),0.011509344909073736)</f>
        <v>0.01150934491</v>
      </c>
      <c r="H115" s="4"/>
      <c r="I115" s="5" t="s">
        <v>277</v>
      </c>
      <c r="J115" s="5" t="s">
        <v>1572</v>
      </c>
      <c r="K115" s="5">
        <v>62.0</v>
      </c>
      <c r="L115" s="5">
        <v>-0.453591</v>
      </c>
      <c r="M115" s="5">
        <v>-0.131263</v>
      </c>
      <c r="N115" s="5">
        <v>-0.584854</v>
      </c>
      <c r="O115" s="5">
        <v>0.026575</v>
      </c>
    </row>
    <row r="116">
      <c r="A116" s="18" t="str">
        <f>IFERROR(__xludf.DUMMYFUNCTION("""COMPUTED_VALUE"""),"Amit Erlich")</f>
        <v>Amit Erlich</v>
      </c>
      <c r="B116" s="19" t="str">
        <f>IFERROR(__xludf.DUMMYFUNCTION("""COMPUTED_VALUE"""),"BHS")</f>
        <v>BHS</v>
      </c>
      <c r="C116" s="20">
        <f>IFERROR(__xludf.DUMMYFUNCTION("""COMPUTED_VALUE"""),6.0)</f>
        <v>6</v>
      </c>
      <c r="D116" s="21">
        <f>IFERROR(__xludf.DUMMYFUNCTION("""COMPUTED_VALUE"""),-0.5929801764390935)</f>
        <v>-0.5929801764</v>
      </c>
      <c r="E116" s="21">
        <f>IFERROR(__xludf.DUMMYFUNCTION("""COMPUTED_VALUE"""),-0.07496703225953705)</f>
        <v>-0.07496703226</v>
      </c>
      <c r="F116" s="21">
        <f>IFERROR(__xludf.DUMMYFUNCTION("""COMPUTED_VALUE"""),-0.6679472086986306)</f>
        <v>-0.6679472087</v>
      </c>
      <c r="G116" s="23">
        <f>IFERROR(__xludf.DUMMYFUNCTION("""COMPUTED_VALUE"""),0.0024481809671226566)</f>
        <v>0.002448180967</v>
      </c>
      <c r="H116" s="4"/>
      <c r="I116" s="5" t="s">
        <v>1783</v>
      </c>
      <c r="J116" s="5" t="s">
        <v>1580</v>
      </c>
      <c r="K116" s="5">
        <v>28.0</v>
      </c>
      <c r="L116" s="5">
        <v>-0.692644</v>
      </c>
      <c r="M116" s="5">
        <v>0.08278</v>
      </c>
      <c r="N116" s="5">
        <v>-0.609863</v>
      </c>
      <c r="O116" s="5">
        <v>0.011843</v>
      </c>
    </row>
    <row r="117">
      <c r="A117" s="12" t="str">
        <f>IFERROR(__xludf.DUMMYFUNCTION("""COMPUTED_VALUE"""),"Shahar Amir")</f>
        <v>Shahar Amir</v>
      </c>
      <c r="B117" s="13" t="str">
        <f>IFERROR(__xludf.DUMMYFUNCTION("""COMPUTED_VALUE"""),"HAP")</f>
        <v>HAP</v>
      </c>
      <c r="C117" s="14">
        <f>IFERROR(__xludf.DUMMYFUNCTION("""COMPUTED_VALUE"""),19.0)</f>
        <v>19</v>
      </c>
      <c r="D117" s="15">
        <f>IFERROR(__xludf.DUMMYFUNCTION("""COMPUTED_VALUE"""),-0.231852561419172)</f>
        <v>-0.2318525614</v>
      </c>
      <c r="E117" s="15">
        <f>IFERROR(__xludf.DUMMYFUNCTION("""COMPUTED_VALUE"""),-0.45708092330605965)</f>
        <v>-0.4570809233</v>
      </c>
      <c r="F117" s="15">
        <f>IFERROR(__xludf.DUMMYFUNCTION("""COMPUTED_VALUE"""),-0.6889334847252316)</f>
        <v>-0.6889334847</v>
      </c>
      <c r="G117" s="17">
        <f>IFERROR(__xludf.DUMMYFUNCTION("""COMPUTED_VALUE"""),0.015302501228045806)</f>
        <v>0.01530250123</v>
      </c>
      <c r="H117" s="4"/>
      <c r="I117" s="5" t="s">
        <v>1785</v>
      </c>
      <c r="J117" s="5" t="s">
        <v>1592</v>
      </c>
      <c r="K117" s="5">
        <v>122.0</v>
      </c>
      <c r="L117" s="5">
        <v>-0.384983</v>
      </c>
      <c r="M117" s="5">
        <v>-0.255792</v>
      </c>
      <c r="N117" s="5">
        <v>-0.640775</v>
      </c>
      <c r="O117" s="5">
        <v>0.050149</v>
      </c>
    </row>
    <row r="118">
      <c r="A118" s="18" t="str">
        <f>IFERROR(__xludf.DUMMYFUNCTION("""COMPUTED_VALUE"""),"Deni Avdija")</f>
        <v>Deni Avdija</v>
      </c>
      <c r="B118" s="19" t="str">
        <f>IFERROR(__xludf.DUMMYFUNCTION("""COMPUTED_VALUE"""),"MAC")</f>
        <v>MAC</v>
      </c>
      <c r="C118" s="20">
        <f>IFERROR(__xludf.DUMMYFUNCTION("""COMPUTED_VALUE"""),6.0)</f>
        <v>6</v>
      </c>
      <c r="D118" s="21">
        <f>IFERROR(__xludf.DUMMYFUNCTION("""COMPUTED_VALUE"""),-0.5023496991148293)</f>
        <v>-0.5023496991</v>
      </c>
      <c r="E118" s="21">
        <f>IFERROR(__xludf.DUMMYFUNCTION("""COMPUTED_VALUE"""),-0.21106755720861958)</f>
        <v>-0.2110675572</v>
      </c>
      <c r="F118" s="21">
        <f>IFERROR(__xludf.DUMMYFUNCTION("""COMPUTED_VALUE"""),-0.7134172563234489)</f>
        <v>-0.7134172563</v>
      </c>
      <c r="G118" s="23">
        <f>IFERROR(__xludf.DUMMYFUNCTION("""COMPUTED_VALUE"""),0.002346585599844057)</f>
        <v>0.0023465856</v>
      </c>
      <c r="H118" s="4"/>
      <c r="I118" s="5" t="s">
        <v>1787</v>
      </c>
      <c r="J118" s="5" t="s">
        <v>1643</v>
      </c>
      <c r="K118" s="5">
        <v>6.0</v>
      </c>
      <c r="L118" s="5">
        <v>-0.591615</v>
      </c>
      <c r="M118" s="5">
        <v>-0.075638</v>
      </c>
      <c r="N118" s="5">
        <v>-0.667253</v>
      </c>
      <c r="O118" s="5">
        <v>0.002444</v>
      </c>
    </row>
    <row r="119">
      <c r="A119" s="12" t="str">
        <f>IFERROR(__xludf.DUMMYFUNCTION("""COMPUTED_VALUE"""),"Hakim Warrick")</f>
        <v>Hakim Warrick</v>
      </c>
      <c r="B119" s="13" t="str">
        <f>IFERROR(__xludf.DUMMYFUNCTION("""COMPUTED_VALUE"""),"NAH")</f>
        <v>NAH</v>
      </c>
      <c r="C119" s="14">
        <f>IFERROR(__xludf.DUMMYFUNCTION("""COMPUTED_VALUE"""),79.0)</f>
        <v>79</v>
      </c>
      <c r="D119" s="15">
        <f>IFERROR(__xludf.DUMMYFUNCTION("""COMPUTED_VALUE"""),-0.3979453452414279)</f>
        <v>-0.3979453452</v>
      </c>
      <c r="E119" s="15">
        <f>IFERROR(__xludf.DUMMYFUNCTION("""COMPUTED_VALUE"""),-0.48171567766160284)</f>
        <v>-0.4817156777</v>
      </c>
      <c r="F119" s="15">
        <f>IFERROR(__xludf.DUMMYFUNCTION("""COMPUTED_VALUE"""),-0.8796610229030307)</f>
        <v>-0.8796610229</v>
      </c>
      <c r="G119" s="17">
        <f>IFERROR(__xludf.DUMMYFUNCTION("""COMPUTED_VALUE"""),0.02701242368376474)</f>
        <v>0.02701242368</v>
      </c>
      <c r="H119" s="4"/>
      <c r="I119" s="5" t="s">
        <v>1789</v>
      </c>
      <c r="J119" s="5" t="s">
        <v>1543</v>
      </c>
      <c r="K119" s="5">
        <v>21.0</v>
      </c>
      <c r="L119" s="5">
        <v>-0.599988</v>
      </c>
      <c r="M119" s="5">
        <v>-0.206142</v>
      </c>
      <c r="N119" s="5">
        <v>-0.806129</v>
      </c>
      <c r="O119" s="5">
        <v>0.015401</v>
      </c>
    </row>
    <row r="120">
      <c r="A120" s="18" t="str">
        <f>IFERROR(__xludf.DUMMYFUNCTION("""COMPUTED_VALUE"""),"Rom Cornelius")</f>
        <v>Rom Cornelius</v>
      </c>
      <c r="B120" s="19" t="str">
        <f>IFERROR(__xludf.DUMMYFUNCTION("""COMPUTED_VALUE"""),"MRL")</f>
        <v>MRL</v>
      </c>
      <c r="C120" s="20">
        <f>IFERROR(__xludf.DUMMYFUNCTION("""COMPUTED_VALUE"""),34.0)</f>
        <v>34</v>
      </c>
      <c r="D120" s="21">
        <f>IFERROR(__xludf.DUMMYFUNCTION("""COMPUTED_VALUE"""),-0.7952462024457019)</f>
        <v>-0.7952462024</v>
      </c>
      <c r="E120" s="21">
        <f>IFERROR(__xludf.DUMMYFUNCTION("""COMPUTED_VALUE"""),-0.12276586349176621)</f>
        <v>-0.1227658635</v>
      </c>
      <c r="F120" s="21">
        <f>IFERROR(__xludf.DUMMYFUNCTION("""COMPUTED_VALUE"""),-0.9180120659374681)</f>
        <v>-0.9180120659</v>
      </c>
      <c r="G120" s="23">
        <f>IFERROR(__xludf.DUMMYFUNCTION("""COMPUTED_VALUE"""),0.011379524774733892)</f>
        <v>0.01137952477</v>
      </c>
      <c r="H120" s="4"/>
      <c r="I120" s="5" t="s">
        <v>1791</v>
      </c>
      <c r="J120" s="5" t="s">
        <v>1543</v>
      </c>
      <c r="K120" s="5">
        <v>252.0</v>
      </c>
      <c r="L120" s="5">
        <v>0.459495</v>
      </c>
      <c r="M120" s="5">
        <v>-1.324016</v>
      </c>
      <c r="N120" s="5">
        <v>-0.86452</v>
      </c>
      <c r="O120" s="5">
        <v>0.175771</v>
      </c>
    </row>
    <row r="121">
      <c r="A121" s="12" t="str">
        <f>IFERROR(__xludf.DUMMYFUNCTION("""COMPUTED_VALUE"""),"Amit Simhon")</f>
        <v>Amit Simhon</v>
      </c>
      <c r="B121" s="13" t="str">
        <f>IFERROR(__xludf.DUMMYFUNCTION("""COMPUTED_VALUE"""),"EIL")</f>
        <v>EIL</v>
      </c>
      <c r="C121" s="14">
        <f>IFERROR(__xludf.DUMMYFUNCTION("""COMPUTED_VALUE"""),1277.0)</f>
        <v>1277</v>
      </c>
      <c r="D121" s="15">
        <f>IFERROR(__xludf.DUMMYFUNCTION("""COMPUTED_VALUE"""),0.5317776221806622)</f>
        <v>0.5317776222</v>
      </c>
      <c r="E121" s="15">
        <f>IFERROR(__xludf.DUMMYFUNCTION("""COMPUTED_VALUE"""),-1.4735249103825339)</f>
        <v>-1.47352491</v>
      </c>
      <c r="F121" s="15">
        <f>IFERROR(__xludf.DUMMYFUNCTION("""COMPUTED_VALUE"""),-0.9417472882018717)</f>
        <v>-0.9417472882</v>
      </c>
      <c r="G121" s="17">
        <f>IFERROR(__xludf.DUMMYFUNCTION("""COMPUTED_VALUE"""),0.4136142302415504)</f>
        <v>0.4136142302</v>
      </c>
      <c r="H121" s="4"/>
      <c r="I121" s="5" t="s">
        <v>1793</v>
      </c>
      <c r="J121" s="5" t="s">
        <v>1543</v>
      </c>
      <c r="K121" s="5">
        <v>817.0</v>
      </c>
      <c r="L121" s="5">
        <v>-1.022294</v>
      </c>
      <c r="M121" s="5">
        <v>0.149402</v>
      </c>
      <c r="N121" s="5">
        <v>-0.872892</v>
      </c>
      <c r="O121" s="5">
        <v>0.565658</v>
      </c>
    </row>
    <row r="122">
      <c r="A122" s="18" t="str">
        <f>IFERROR(__xludf.DUMMYFUNCTION("""COMPUTED_VALUE"""),"Noam Hason")</f>
        <v>Noam Hason</v>
      </c>
      <c r="B122" s="19" t="str">
        <f>IFERROR(__xludf.DUMMYFUNCTION("""COMPUTED_VALUE"""),"HAP")</f>
        <v>HAP</v>
      </c>
      <c r="C122" s="20">
        <f>IFERROR(__xludf.DUMMYFUNCTION("""COMPUTED_VALUE"""),27.0)</f>
        <v>27</v>
      </c>
      <c r="D122" s="21">
        <f>IFERROR(__xludf.DUMMYFUNCTION("""COMPUTED_VALUE"""),-0.7037642619816687)</f>
        <v>-0.703764262</v>
      </c>
      <c r="E122" s="21">
        <f>IFERROR(__xludf.DUMMYFUNCTION("""COMPUTED_VALUE"""),-0.3206448006039978)</f>
        <v>-0.3206448006</v>
      </c>
      <c r="F122" s="21">
        <f>IFERROR(__xludf.DUMMYFUNCTION("""COMPUTED_VALUE"""),-1.0244090625856666)</f>
        <v>-1.024409063</v>
      </c>
      <c r="G122" s="23">
        <f>IFERROR(__xludf.DUMMYFUNCTION("""COMPUTED_VALUE"""),0.016181382275858535)</f>
        <v>0.01618138228</v>
      </c>
      <c r="H122" s="4"/>
      <c r="I122" s="5" t="s">
        <v>754</v>
      </c>
      <c r="J122" s="5" t="s">
        <v>1643</v>
      </c>
      <c r="K122" s="5">
        <v>508.0</v>
      </c>
      <c r="L122" s="5">
        <v>0.749041</v>
      </c>
      <c r="M122" s="5">
        <v>-1.656983</v>
      </c>
      <c r="N122" s="5">
        <v>-0.907942</v>
      </c>
      <c r="O122" s="5">
        <v>0.169573</v>
      </c>
    </row>
    <row r="123">
      <c r="A123" s="12" t="str">
        <f>IFERROR(__xludf.DUMMYFUNCTION("""COMPUTED_VALUE"""),"Shlomi Harush")</f>
        <v>Shlomi Harush</v>
      </c>
      <c r="B123" s="13" t="str">
        <f>IFERROR(__xludf.DUMMYFUNCTION("""COMPUTED_VALUE"""),"HAP")</f>
        <v>HAP</v>
      </c>
      <c r="C123" s="14">
        <f>IFERROR(__xludf.DUMMYFUNCTION("""COMPUTED_VALUE"""),532.0)</f>
        <v>532</v>
      </c>
      <c r="D123" s="15">
        <f>IFERROR(__xludf.DUMMYFUNCTION("""COMPUTED_VALUE"""),0.7241446595181557)</f>
        <v>0.7241446595</v>
      </c>
      <c r="E123" s="15">
        <f>IFERROR(__xludf.DUMMYFUNCTION("""COMPUTED_VALUE"""),-1.7707827182159273)</f>
        <v>-1.770782718</v>
      </c>
      <c r="F123" s="15">
        <f>IFERROR(__xludf.DUMMYFUNCTION("""COMPUTED_VALUE"""),-1.0466380586977715)</f>
        <v>-1.046638059</v>
      </c>
      <c r="G123" s="17">
        <f>IFERROR(__xludf.DUMMYFUNCTION("""COMPUTED_VALUE"""),0.3115684971069346)</f>
        <v>0.3115684971</v>
      </c>
      <c r="H123" s="4"/>
      <c r="I123" s="5" t="s">
        <v>369</v>
      </c>
      <c r="J123" s="5" t="s">
        <v>1572</v>
      </c>
      <c r="K123" s="5">
        <v>151.0</v>
      </c>
      <c r="L123" s="5">
        <v>0.00251</v>
      </c>
      <c r="M123" s="5">
        <v>-0.921986</v>
      </c>
      <c r="N123" s="5">
        <v>-0.919476</v>
      </c>
      <c r="O123" s="5">
        <v>0.049419</v>
      </c>
    </row>
    <row r="124">
      <c r="A124" s="18" t="str">
        <f>IFERROR(__xludf.DUMMYFUNCTION("""COMPUTED_VALUE"""),"Alen Omic")</f>
        <v>Alen Omic</v>
      </c>
      <c r="B124" s="19" t="str">
        <f>IFERROR(__xludf.DUMMYFUNCTION("""COMPUTED_VALUE"""),"HAPJ")</f>
        <v>HAPJ</v>
      </c>
      <c r="C124" s="20">
        <f>IFERROR(__xludf.DUMMYFUNCTION("""COMPUTED_VALUE"""),151.0)</f>
        <v>151</v>
      </c>
      <c r="D124" s="21">
        <f>IFERROR(__xludf.DUMMYFUNCTION("""COMPUTED_VALUE"""),-0.009852405178287948)</f>
        <v>-0.009852405178</v>
      </c>
      <c r="E124" s="21">
        <f>IFERROR(__xludf.DUMMYFUNCTION("""COMPUTED_VALUE"""),-1.0430121174211933)</f>
        <v>-1.043012117</v>
      </c>
      <c r="F124" s="21">
        <f>IFERROR(__xludf.DUMMYFUNCTION("""COMPUTED_VALUE"""),-1.0528645225994813)</f>
        <v>-1.052864523</v>
      </c>
      <c r="G124" s="23">
        <f>IFERROR(__xludf.DUMMYFUNCTION("""COMPUTED_VALUE"""),0.043221848540976826)</f>
        <v>0.04322184854</v>
      </c>
      <c r="H124" s="4"/>
      <c r="I124" s="5" t="s">
        <v>1797</v>
      </c>
      <c r="J124" s="5" t="s">
        <v>1567</v>
      </c>
      <c r="K124" s="5">
        <v>34.0</v>
      </c>
      <c r="L124" s="5">
        <v>-0.780166</v>
      </c>
      <c r="M124" s="5">
        <v>-0.140303</v>
      </c>
      <c r="N124" s="5">
        <v>-0.920469</v>
      </c>
      <c r="O124" s="5">
        <v>0.011353</v>
      </c>
    </row>
    <row r="125">
      <c r="A125" s="12" t="str">
        <f>IFERROR(__xludf.DUMMYFUNCTION("""COMPUTED_VALUE"""),"Rafi Manco")</f>
        <v>Rafi Manco</v>
      </c>
      <c r="B125" s="13" t="str">
        <f>IFERROR(__xludf.DUMMYFUNCTION("""COMPUTED_VALUE"""),"HAP")</f>
        <v>HAP</v>
      </c>
      <c r="C125" s="14">
        <f>IFERROR(__xludf.DUMMYFUNCTION("""COMPUTED_VALUE"""),972.0)</f>
        <v>972</v>
      </c>
      <c r="D125" s="15">
        <f>IFERROR(__xludf.DUMMYFUNCTION("""COMPUTED_VALUE"""),-0.8530825188755329)</f>
        <v>-0.8530825189</v>
      </c>
      <c r="E125" s="15">
        <f>IFERROR(__xludf.DUMMYFUNCTION("""COMPUTED_VALUE"""),-0.21219368661389848)</f>
        <v>-0.2121936866</v>
      </c>
      <c r="F125" s="15">
        <f>IFERROR(__xludf.DUMMYFUNCTION("""COMPUTED_VALUE"""),-1.0652762054894314)</f>
        <v>-1.065276205</v>
      </c>
      <c r="G125" s="17">
        <f>IFERROR(__xludf.DUMMYFUNCTION("""COMPUTED_VALUE"""),0.5581278060357225)</f>
        <v>0.558127806</v>
      </c>
      <c r="H125" s="4"/>
      <c r="I125" s="5" t="s">
        <v>1799</v>
      </c>
      <c r="J125" s="5" t="s">
        <v>1567</v>
      </c>
      <c r="K125" s="5">
        <v>645.0</v>
      </c>
      <c r="L125" s="5">
        <v>-0.523776</v>
      </c>
      <c r="M125" s="5">
        <v>-0.403146</v>
      </c>
      <c r="N125" s="5">
        <v>-0.926923</v>
      </c>
      <c r="O125" s="5">
        <v>0.214094</v>
      </c>
    </row>
    <row r="126">
      <c r="A126" s="18" t="str">
        <f>IFERROR(__xludf.DUMMYFUNCTION("""COMPUTED_VALUE"""),"Corey Webster")</f>
        <v>Corey Webster</v>
      </c>
      <c r="B126" s="19" t="str">
        <f>IFERROR(__xludf.DUMMYFUNCTION("""COMPUTED_VALUE"""),"NAH")</f>
        <v>NAH</v>
      </c>
      <c r="C126" s="20">
        <f>IFERROR(__xludf.DUMMYFUNCTION("""COMPUTED_VALUE"""),711.0)</f>
        <v>711</v>
      </c>
      <c r="D126" s="21">
        <f>IFERROR(__xludf.DUMMYFUNCTION("""COMPUTED_VALUE"""),1.6493255552171509)</f>
        <v>1.649325555</v>
      </c>
      <c r="E126" s="21">
        <f>IFERROR(__xludf.DUMMYFUNCTION("""COMPUTED_VALUE"""),-2.7149995748273974)</f>
        <v>-2.714999575</v>
      </c>
      <c r="F126" s="21">
        <f>IFERROR(__xludf.DUMMYFUNCTION("""COMPUTED_VALUE"""),-1.0656740196102465)</f>
        <v>-1.06567402</v>
      </c>
      <c r="G126" s="23">
        <f>IFERROR(__xludf.DUMMYFUNCTION("""COMPUTED_VALUE"""),0.20274728257505917)</f>
        <v>0.2027472826</v>
      </c>
      <c r="H126" s="4"/>
      <c r="I126" s="5" t="s">
        <v>1801</v>
      </c>
      <c r="J126" s="5" t="s">
        <v>1572</v>
      </c>
      <c r="K126" s="5">
        <v>436.0</v>
      </c>
      <c r="L126" s="5">
        <v>-1.909932</v>
      </c>
      <c r="M126" s="5">
        <v>0.961267</v>
      </c>
      <c r="N126" s="5">
        <v>-0.948665</v>
      </c>
      <c r="O126" s="5">
        <v>0.13884</v>
      </c>
    </row>
    <row r="127">
      <c r="A127" s="12" t="str">
        <f>IFERROR(__xludf.DUMMYFUNCTION("""COMPUTED_VALUE"""),"Tyrone Nash")</f>
        <v>Tyrone Nash</v>
      </c>
      <c r="B127" s="13" t="str">
        <f>IFERROR(__xludf.DUMMYFUNCTION("""COMPUTED_VALUE"""),"NAH")</f>
        <v>NAH</v>
      </c>
      <c r="C127" s="14">
        <f>IFERROR(__xludf.DUMMYFUNCTION("""COMPUTED_VALUE"""),753.0)</f>
        <v>753</v>
      </c>
      <c r="D127" s="15">
        <f>IFERROR(__xludf.DUMMYFUNCTION("""COMPUTED_VALUE"""),-1.0335912140943242)</f>
        <v>-1.033591214</v>
      </c>
      <c r="E127" s="15">
        <f>IFERROR(__xludf.DUMMYFUNCTION("""COMPUTED_VALUE"""),-0.06279935993580832)</f>
        <v>-0.06279935994</v>
      </c>
      <c r="F127" s="15">
        <f>IFERROR(__xludf.DUMMYFUNCTION("""COMPUTED_VALUE"""),-1.0963905740301325)</f>
        <v>-1.096390574</v>
      </c>
      <c r="G127" s="17">
        <f>IFERROR(__xludf.DUMMYFUNCTION("""COMPUTED_VALUE"""),0.20766473149575898)</f>
        <v>0.2076647315</v>
      </c>
      <c r="H127" s="4"/>
      <c r="I127" s="5" t="s">
        <v>1804</v>
      </c>
      <c r="J127" s="5" t="s">
        <v>1621</v>
      </c>
      <c r="K127" s="5">
        <v>57.0</v>
      </c>
      <c r="L127" s="5">
        <v>-0.830296</v>
      </c>
      <c r="M127" s="5">
        <v>-0.183839</v>
      </c>
      <c r="N127" s="5">
        <v>-1.014135</v>
      </c>
      <c r="O127" s="5">
        <v>0.017151</v>
      </c>
    </row>
    <row r="128">
      <c r="A128" s="18" t="str">
        <f>IFERROR(__xludf.DUMMYFUNCTION("""COMPUTED_VALUE"""),"Nitzan Hanochi")</f>
        <v>Nitzan Hanochi</v>
      </c>
      <c r="B128" s="19" t="str">
        <f>IFERROR(__xludf.DUMMYFUNCTION("""COMPUTED_VALUE"""),"MRL")</f>
        <v>MRL</v>
      </c>
      <c r="C128" s="20">
        <f>IFERROR(__xludf.DUMMYFUNCTION("""COMPUTED_VALUE"""),673.0)</f>
        <v>673</v>
      </c>
      <c r="D128" s="21">
        <f>IFERROR(__xludf.DUMMYFUNCTION("""COMPUTED_VALUE"""),-0.8176678136680182)</f>
        <v>-0.8176678137</v>
      </c>
      <c r="E128" s="21">
        <f>IFERROR(__xludf.DUMMYFUNCTION("""COMPUTED_VALUE"""),-0.2833555277013795)</f>
        <v>-0.2833555277</v>
      </c>
      <c r="F128" s="21">
        <f>IFERROR(__xludf.DUMMYFUNCTION("""COMPUTED_VALUE"""),-1.1010233413693977)</f>
        <v>-1.101023341</v>
      </c>
      <c r="G128" s="23">
        <f>IFERROR(__xludf.DUMMYFUNCTION("""COMPUTED_VALUE"""),0.18714846564113014)</f>
        <v>0.1871484656</v>
      </c>
      <c r="H128" s="4"/>
      <c r="I128" s="5" t="s">
        <v>1405</v>
      </c>
      <c r="J128" s="5" t="s">
        <v>1580</v>
      </c>
      <c r="K128" s="5">
        <v>357.0</v>
      </c>
      <c r="L128" s="5">
        <v>-0.62238</v>
      </c>
      <c r="M128" s="5">
        <v>-0.431742</v>
      </c>
      <c r="N128" s="5">
        <v>-1.054122</v>
      </c>
      <c r="O128" s="5">
        <v>0.102742</v>
      </c>
    </row>
    <row r="129">
      <c r="A129" s="12" t="str">
        <f>IFERROR(__xludf.DUMMYFUNCTION("""COMPUTED_VALUE"""),"Paul Delaney")</f>
        <v>Paul Delaney</v>
      </c>
      <c r="B129" s="13" t="str">
        <f>IFERROR(__xludf.DUMMYFUNCTION("""COMPUTED_VALUE"""),"MRL")</f>
        <v>MRL</v>
      </c>
      <c r="C129" s="14">
        <f>IFERROR(__xludf.DUMMYFUNCTION("""COMPUTED_VALUE"""),48.0)</f>
        <v>48</v>
      </c>
      <c r="D129" s="15">
        <f>IFERROR(__xludf.DUMMYFUNCTION("""COMPUTED_VALUE"""),-0.31617728354065006)</f>
        <v>-0.3161772835</v>
      </c>
      <c r="E129" s="15">
        <f>IFERROR(__xludf.DUMMYFUNCTION("""COMPUTED_VALUE"""),-0.7899013375570949)</f>
        <v>-0.7899013376</v>
      </c>
      <c r="F129" s="15">
        <f>IFERROR(__xludf.DUMMYFUNCTION("""COMPUTED_VALUE"""),-1.106078621097745)</f>
        <v>-1.106078621</v>
      </c>
      <c r="G129" s="17">
        <f>IFERROR(__xludf.DUMMYFUNCTION("""COMPUTED_VALUE"""),0.013272824508175437)</f>
        <v>0.01327282451</v>
      </c>
      <c r="H129" s="4"/>
      <c r="I129" s="5" t="s">
        <v>1808</v>
      </c>
      <c r="J129" s="5" t="s">
        <v>1621</v>
      </c>
      <c r="K129" s="5">
        <v>711.0</v>
      </c>
      <c r="L129" s="5">
        <v>1.704197</v>
      </c>
      <c r="M129" s="5">
        <v>-2.79708</v>
      </c>
      <c r="N129" s="5">
        <v>-1.092883</v>
      </c>
      <c r="O129" s="5">
        <v>0.196849</v>
      </c>
    </row>
    <row r="130">
      <c r="A130" s="18" t="str">
        <f>IFERROR(__xludf.DUMMYFUNCTION("""COMPUTED_VALUE"""),"Travis Warech")</f>
        <v>Travis Warech</v>
      </c>
      <c r="B130" s="19" t="str">
        <f>IFERROR(__xludf.DUMMYFUNCTION("""COMPUTED_VALUE"""),"ASH")</f>
        <v>ASH</v>
      </c>
      <c r="C130" s="20">
        <f>IFERROR(__xludf.DUMMYFUNCTION("""COMPUTED_VALUE"""),681.0)</f>
        <v>681</v>
      </c>
      <c r="D130" s="21">
        <f>IFERROR(__xludf.DUMMYFUNCTION("""COMPUTED_VALUE"""),-1.3814329870016697)</f>
        <v>-1.381432987</v>
      </c>
      <c r="E130" s="21">
        <f>IFERROR(__xludf.DUMMYFUNCTION("""COMPUTED_VALUE"""),0.2701725596154152)</f>
        <v>0.2701725596</v>
      </c>
      <c r="F130" s="21">
        <f>IFERROR(__xludf.DUMMYFUNCTION("""COMPUTED_VALUE"""),-1.1112604273862545)</f>
        <v>-1.111260427</v>
      </c>
      <c r="G130" s="23">
        <f>IFERROR(__xludf.DUMMYFUNCTION("""COMPUTED_VALUE"""),0.1899112165537208)</f>
        <v>0.1899112166</v>
      </c>
      <c r="H130" s="4"/>
      <c r="I130" s="5" t="s">
        <v>1811</v>
      </c>
      <c r="J130" s="5" t="s">
        <v>1567</v>
      </c>
      <c r="K130" s="5">
        <v>48.0</v>
      </c>
      <c r="L130" s="5">
        <v>-0.295479</v>
      </c>
      <c r="M130" s="5">
        <v>-0.814743</v>
      </c>
      <c r="N130" s="5">
        <v>-1.110222</v>
      </c>
      <c r="O130" s="5">
        <v>0.013211</v>
      </c>
    </row>
    <row r="131">
      <c r="A131" s="12" t="str">
        <f>IFERROR(__xludf.DUMMYFUNCTION("""COMPUTED_VALUE"""),"Yogev Ohayon")</f>
        <v>Yogev Ohayon</v>
      </c>
      <c r="B131" s="13" t="str">
        <f>IFERROR(__xludf.DUMMYFUNCTION("""COMPUTED_VALUE"""),"HAPJ")</f>
        <v>HAPJ</v>
      </c>
      <c r="C131" s="14">
        <f>IFERROR(__xludf.DUMMYFUNCTION("""COMPUTED_VALUE"""),446.0)</f>
        <v>446</v>
      </c>
      <c r="D131" s="15">
        <f>IFERROR(__xludf.DUMMYFUNCTION("""COMPUTED_VALUE"""),-1.8917565201841764)</f>
        <v>-1.89175652</v>
      </c>
      <c r="E131" s="15">
        <f>IFERROR(__xludf.DUMMYFUNCTION("""COMPUTED_VALUE"""),0.7796445600518143)</f>
        <v>0.7796445601</v>
      </c>
      <c r="F131" s="15">
        <f>IFERROR(__xludf.DUMMYFUNCTION("""COMPUTED_VALUE"""),-1.1121119601323621)</f>
        <v>-1.11211196</v>
      </c>
      <c r="G131" s="17">
        <f>IFERROR(__xludf.DUMMYFUNCTION("""COMPUTED_VALUE"""),0.1196760785030295)</f>
        <v>0.1196760785</v>
      </c>
      <c r="H131" s="4"/>
      <c r="I131" s="5" t="s">
        <v>1813</v>
      </c>
      <c r="J131" s="5" t="s">
        <v>1592</v>
      </c>
      <c r="K131" s="5">
        <v>16.0</v>
      </c>
      <c r="L131" s="5">
        <v>-1.009527</v>
      </c>
      <c r="M131" s="5">
        <v>-0.126414</v>
      </c>
      <c r="N131" s="5">
        <v>-1.135941</v>
      </c>
      <c r="O131" s="5">
        <v>0.004181</v>
      </c>
    </row>
    <row r="132">
      <c r="A132" s="18" t="str">
        <f>IFERROR(__xludf.DUMMYFUNCTION("""COMPUTED_VALUE"""),"Tristan Spurlock")</f>
        <v>Tristan Spurlock</v>
      </c>
      <c r="B132" s="19" t="str">
        <f>IFERROR(__xludf.DUMMYFUNCTION("""COMPUTED_VALUE"""),"GAL")</f>
        <v>GAL</v>
      </c>
      <c r="C132" s="20">
        <f>IFERROR(__xludf.DUMMYFUNCTION("""COMPUTED_VALUE"""),16.0)</f>
        <v>16</v>
      </c>
      <c r="D132" s="21">
        <f>IFERROR(__xludf.DUMMYFUNCTION("""COMPUTED_VALUE"""),-0.9819037741996546)</f>
        <v>-0.9819037742</v>
      </c>
      <c r="E132" s="21">
        <f>IFERROR(__xludf.DUMMYFUNCTION("""COMPUTED_VALUE"""),-0.151670614402313)</f>
        <v>-0.1516706144</v>
      </c>
      <c r="F132" s="21">
        <f>IFERROR(__xludf.DUMMYFUNCTION("""COMPUTED_VALUE"""),-1.1335743886019676)</f>
        <v>-1.133574389</v>
      </c>
      <c r="G132" s="23">
        <f>IFERROR(__xludf.DUMMYFUNCTION("""COMPUTED_VALUE"""),0.004860272158239385)</f>
        <v>0.004860272158</v>
      </c>
      <c r="H132" s="4"/>
      <c r="I132" s="5" t="s">
        <v>1815</v>
      </c>
      <c r="J132" s="5" t="s">
        <v>1592</v>
      </c>
      <c r="K132" s="5">
        <v>89.0</v>
      </c>
      <c r="L132" s="5">
        <v>-0.957609</v>
      </c>
      <c r="M132" s="5">
        <v>-0.1786</v>
      </c>
      <c r="N132" s="5">
        <v>-1.13621</v>
      </c>
      <c r="O132" s="5">
        <v>0.023249</v>
      </c>
    </row>
    <row r="133">
      <c r="A133" s="12" t="str">
        <f>IFERROR(__xludf.DUMMYFUNCTION("""COMPUTED_VALUE"""),"Karam Mashour")</f>
        <v>Karam Mashour</v>
      </c>
      <c r="B133" s="13" t="str">
        <f>IFERROR(__xludf.DUMMYFUNCTION("""COMPUTED_VALUE"""),"MAC")</f>
        <v>MAC</v>
      </c>
      <c r="C133" s="14">
        <f>IFERROR(__xludf.DUMMYFUNCTION("""COMPUTED_VALUE"""),243.0)</f>
        <v>243</v>
      </c>
      <c r="D133" s="15">
        <f>IFERROR(__xludf.DUMMYFUNCTION("""COMPUTED_VALUE"""),-1.768690128460072)</f>
        <v>-1.768690128</v>
      </c>
      <c r="E133" s="15">
        <f>IFERROR(__xludf.DUMMYFUNCTION("""COMPUTED_VALUE"""),0.5952017461833488)</f>
        <v>0.5952017462</v>
      </c>
      <c r="F133" s="15">
        <f>IFERROR(__xludf.DUMMYFUNCTION("""COMPUTED_VALUE"""),-1.1734883822767233)</f>
        <v>-1.173488382</v>
      </c>
      <c r="G133" s="17">
        <f>IFERROR(__xludf.DUMMYFUNCTION("""COMPUTED_VALUE"""),0.06105238930517185)</f>
        <v>0.06105238931</v>
      </c>
      <c r="H133" s="4"/>
      <c r="I133" s="5" t="s">
        <v>1817</v>
      </c>
      <c r="J133" s="5" t="s">
        <v>1592</v>
      </c>
      <c r="K133" s="5">
        <v>224.0</v>
      </c>
      <c r="L133" s="5">
        <v>-1.367218</v>
      </c>
      <c r="M133" s="5">
        <v>0.216281</v>
      </c>
      <c r="N133" s="5">
        <v>-1.150937</v>
      </c>
      <c r="O133" s="5">
        <v>0.057517</v>
      </c>
    </row>
    <row r="134">
      <c r="A134" s="18" t="str">
        <f>IFERROR(__xludf.DUMMYFUNCTION("""COMPUTED_VALUE"""),"T.J. Cline")</f>
        <v>T.J. Cline</v>
      </c>
      <c r="B134" s="19" t="str">
        <f>IFERROR(__xludf.DUMMYFUNCTION("""COMPUTED_VALUE"""),"HAP")</f>
        <v>HAP</v>
      </c>
      <c r="C134" s="20">
        <f>IFERROR(__xludf.DUMMYFUNCTION("""COMPUTED_VALUE"""),333.0)</f>
        <v>333</v>
      </c>
      <c r="D134" s="21">
        <f>IFERROR(__xludf.DUMMYFUNCTION("""COMPUTED_VALUE"""),0.11969592275733071)</f>
        <v>0.1196959228</v>
      </c>
      <c r="E134" s="21">
        <f>IFERROR(__xludf.DUMMYFUNCTION("""COMPUTED_VALUE"""),-1.4659451888446982)</f>
        <v>-1.465945189</v>
      </c>
      <c r="F134" s="21">
        <f>IFERROR(__xludf.DUMMYFUNCTION("""COMPUTED_VALUE"""),-1.3462492660873675)</f>
        <v>-1.346249266</v>
      </c>
      <c r="G134" s="23">
        <f>IFERROR(__xludf.DUMMYFUNCTION("""COMPUTED_VALUE"""),0.13373359499908727)</f>
        <v>0.133733595</v>
      </c>
      <c r="H134" s="4"/>
      <c r="I134" s="5" t="s">
        <v>1818</v>
      </c>
      <c r="J134" s="5" t="s">
        <v>1621</v>
      </c>
      <c r="K134" s="5">
        <v>732.0</v>
      </c>
      <c r="L134" s="5">
        <v>-1.074102</v>
      </c>
      <c r="M134" s="5">
        <v>-0.135193</v>
      </c>
      <c r="N134" s="5">
        <v>-1.209295</v>
      </c>
      <c r="O134" s="5">
        <v>0.176656</v>
      </c>
    </row>
    <row r="135">
      <c r="A135" s="12" t="str">
        <f>IFERROR(__xludf.DUMMYFUNCTION("""COMPUTED_VALUE"""),"Igor Nesterenko")</f>
        <v>Igor Nesterenko</v>
      </c>
      <c r="B135" s="13" t="str">
        <f>IFERROR(__xludf.DUMMYFUNCTION("""COMPUTED_VALUE"""),"NAH")</f>
        <v>NAH</v>
      </c>
      <c r="C135" s="14">
        <f>IFERROR(__xludf.DUMMYFUNCTION("""COMPUTED_VALUE"""),665.0)</f>
        <v>665</v>
      </c>
      <c r="D135" s="15">
        <f>IFERROR(__xludf.DUMMYFUNCTION("""COMPUTED_VALUE"""),-0.9268987246967647)</f>
        <v>-0.9268987247</v>
      </c>
      <c r="E135" s="15">
        <f>IFERROR(__xludf.DUMMYFUNCTION("""COMPUTED_VALUE"""),-0.5275311190709745)</f>
        <v>-0.5275311191</v>
      </c>
      <c r="F135" s="15">
        <f>IFERROR(__xludf.DUMMYFUNCTION("""COMPUTED_VALUE"""),-1.4544298437677392)</f>
        <v>-1.454429844</v>
      </c>
      <c r="G135" s="17">
        <f>IFERROR(__xludf.DUMMYFUNCTION("""COMPUTED_VALUE"""),0.11072846180647031)</f>
        <v>0.1107284618</v>
      </c>
      <c r="H135" s="4"/>
      <c r="I135" s="5" t="s">
        <v>1820</v>
      </c>
      <c r="J135" s="5" t="s">
        <v>1546</v>
      </c>
      <c r="K135" s="5">
        <v>382.0</v>
      </c>
      <c r="L135" s="5">
        <v>-2.909569</v>
      </c>
      <c r="M135" s="5">
        <v>1.676253</v>
      </c>
      <c r="N135" s="5">
        <v>-1.233316</v>
      </c>
      <c r="O135" s="5">
        <v>0.089542</v>
      </c>
    </row>
    <row r="136">
      <c r="A136" s="18" t="str">
        <f>IFERROR(__xludf.DUMMYFUNCTION("""COMPUTED_VALUE"""),"Sean Labanowski")</f>
        <v>Sean Labanowski</v>
      </c>
      <c r="B136" s="19" t="str">
        <f>IFERROR(__xludf.DUMMYFUNCTION("""COMPUTED_VALUE"""),"GAL")</f>
        <v>GAL</v>
      </c>
      <c r="C136" s="20">
        <f>IFERROR(__xludf.DUMMYFUNCTION("""COMPUTED_VALUE"""),101.0)</f>
        <v>101</v>
      </c>
      <c r="D136" s="21">
        <f>IFERROR(__xludf.DUMMYFUNCTION("""COMPUTED_VALUE"""),-1.1728440970960419)</f>
        <v>-1.172844097</v>
      </c>
      <c r="E136" s="21">
        <f>IFERROR(__xludf.DUMMYFUNCTION("""COMPUTED_VALUE"""),-0.31550780375590826)</f>
        <v>-0.3155078038</v>
      </c>
      <c r="F136" s="21">
        <f>IFERROR(__xludf.DUMMYFUNCTION("""COMPUTED_VALUE"""),-1.4883519008519501)</f>
        <v>-1.488351901</v>
      </c>
      <c r="G136" s="23">
        <f>IFERROR(__xludf.DUMMYFUNCTION("""COMPUTED_VALUE"""),0.018117658257208697)</f>
        <v>0.01811765826</v>
      </c>
      <c r="H136" s="4"/>
      <c r="I136" s="5" t="s">
        <v>364</v>
      </c>
      <c r="J136" s="5" t="s">
        <v>64</v>
      </c>
      <c r="K136" s="5">
        <v>423.0</v>
      </c>
      <c r="L136" s="5">
        <v>-1.743573</v>
      </c>
      <c r="M136" s="5">
        <v>0.4469</v>
      </c>
      <c r="N136" s="5">
        <v>-1.296673</v>
      </c>
      <c r="O136" s="5">
        <v>0.090322</v>
      </c>
    </row>
    <row r="137">
      <c r="A137" s="12" t="str">
        <f>IFERROR(__xludf.DUMMYFUNCTION("""COMPUTED_VALUE"""),"Amir Reuven")</f>
        <v>Amir Reuven</v>
      </c>
      <c r="B137" s="13" t="str">
        <f>IFERROR(__xludf.DUMMYFUNCTION("""COMPUTED_VALUE"""),"GAL")</f>
        <v>GAL</v>
      </c>
      <c r="C137" s="14">
        <f>IFERROR(__xludf.DUMMYFUNCTION("""COMPUTED_VALUE"""),35.0)</f>
        <v>35</v>
      </c>
      <c r="D137" s="15">
        <f>IFERROR(__xludf.DUMMYFUNCTION("""COMPUTED_VALUE"""),-1.1218016374807884)</f>
        <v>-1.121801637</v>
      </c>
      <c r="E137" s="15">
        <f>IFERROR(__xludf.DUMMYFUNCTION("""COMPUTED_VALUE"""),-0.3692141484937672)</f>
        <v>-0.3692141485</v>
      </c>
      <c r="F137" s="15">
        <f>IFERROR(__xludf.DUMMYFUNCTION("""COMPUTED_VALUE"""),-1.4910157859745556)</f>
        <v>-1.491015786</v>
      </c>
      <c r="G137" s="17">
        <f>IFERROR(__xludf.DUMMYFUNCTION("""COMPUTED_VALUE"""),0.006245708086142385)</f>
        <v>0.006245708086</v>
      </c>
      <c r="H137" s="4"/>
      <c r="I137" s="5" t="s">
        <v>1823</v>
      </c>
      <c r="J137" s="5" t="s">
        <v>1606</v>
      </c>
      <c r="K137" s="5">
        <v>20.0</v>
      </c>
      <c r="L137" s="5">
        <v>-0.964884</v>
      </c>
      <c r="M137" s="5">
        <v>-0.332783</v>
      </c>
      <c r="N137" s="5">
        <v>-1.297667</v>
      </c>
      <c r="O137" s="5">
        <v>0.004451</v>
      </c>
    </row>
    <row r="138">
      <c r="A138" s="18" t="str">
        <f>IFERROR(__xludf.DUMMYFUNCTION("""COMPUTED_VALUE"""),"Jaron Johnson")</f>
        <v>Jaron Johnson</v>
      </c>
      <c r="B138" s="19" t="str">
        <f>IFERROR(__xludf.DUMMYFUNCTION("""COMPUTED_VALUE"""),"IRO")</f>
        <v>IRO</v>
      </c>
      <c r="C138" s="20">
        <f>IFERROR(__xludf.DUMMYFUNCTION("""COMPUTED_VALUE"""),357.0)</f>
        <v>357</v>
      </c>
      <c r="D138" s="21">
        <f>IFERROR(__xludf.DUMMYFUNCTION("""COMPUTED_VALUE"""),-0.734010100570684)</f>
        <v>-0.7340101006</v>
      </c>
      <c r="E138" s="21">
        <f>IFERROR(__xludf.DUMMYFUNCTION("""COMPUTED_VALUE"""),-0.7616788702850135)</f>
        <v>-0.7616788703</v>
      </c>
      <c r="F138" s="21">
        <f>IFERROR(__xludf.DUMMYFUNCTION("""COMPUTED_VALUE"""),-1.4956889708556975)</f>
        <v>-1.495688971</v>
      </c>
      <c r="G138" s="23">
        <f>IFERROR(__xludf.DUMMYFUNCTION("""COMPUTED_VALUE"""),0.05480108380581828)</f>
        <v>0.05480108381</v>
      </c>
      <c r="H138" s="4"/>
      <c r="I138" s="5" t="s">
        <v>402</v>
      </c>
      <c r="J138" s="5" t="s">
        <v>64</v>
      </c>
      <c r="K138" s="5">
        <v>243.0</v>
      </c>
      <c r="L138" s="5">
        <v>-1.791003</v>
      </c>
      <c r="M138" s="5">
        <v>0.452977</v>
      </c>
      <c r="N138" s="5">
        <v>-1.338026</v>
      </c>
      <c r="O138" s="5">
        <v>0.048837</v>
      </c>
    </row>
    <row r="139">
      <c r="A139" s="12" t="str">
        <f>IFERROR(__xludf.DUMMYFUNCTION("""COMPUTED_VALUE"""),"Terrence Watson")</f>
        <v>Terrence Watson</v>
      </c>
      <c r="B139" s="13" t="str">
        <f>IFERROR(__xludf.DUMMYFUNCTION("""COMPUTED_VALUE"""),"ASH")</f>
        <v>ASH</v>
      </c>
      <c r="C139" s="14">
        <f>IFERROR(__xludf.DUMMYFUNCTION("""COMPUTED_VALUE"""),92.0)</f>
        <v>92</v>
      </c>
      <c r="D139" s="15">
        <f>IFERROR(__xludf.DUMMYFUNCTION("""COMPUTED_VALUE"""),-1.2553649595239746)</f>
        <v>-1.25536496</v>
      </c>
      <c r="E139" s="15">
        <f>IFERROR(__xludf.DUMMYFUNCTION("""COMPUTED_VALUE"""),-0.25914249964806735)</f>
        <v>-0.2591424996</v>
      </c>
      <c r="F139" s="15">
        <f>IFERROR(__xludf.DUMMYFUNCTION("""COMPUTED_VALUE"""),-1.514507459172042)</f>
        <v>-1.514507459</v>
      </c>
      <c r="G139" s="17">
        <f>IFERROR(__xludf.DUMMYFUNCTION("""COMPUTED_VALUE"""),0.014015202423575844)</f>
        <v>0.01401520242</v>
      </c>
      <c r="H139" s="4"/>
      <c r="I139" s="5" t="s">
        <v>1826</v>
      </c>
      <c r="J139" s="5" t="s">
        <v>1643</v>
      </c>
      <c r="K139" s="5">
        <v>63.0</v>
      </c>
      <c r="L139" s="5">
        <v>-0.803106</v>
      </c>
      <c r="M139" s="5">
        <v>-0.543453</v>
      </c>
      <c r="N139" s="5">
        <v>-1.346559</v>
      </c>
      <c r="O139" s="5">
        <v>0.012483</v>
      </c>
    </row>
    <row r="140">
      <c r="A140" s="18" t="str">
        <f>IFERROR(__xludf.DUMMYFUNCTION("""COMPUTED_VALUE"""),"Jonathan Mor")</f>
        <v>Jonathan Mor</v>
      </c>
      <c r="B140" s="19" t="str">
        <f>IFERROR(__xludf.DUMMYFUNCTION("""COMPUTED_VALUE"""),"BHS")</f>
        <v>BHS</v>
      </c>
      <c r="C140" s="20">
        <f>IFERROR(__xludf.DUMMYFUNCTION("""COMPUTED_VALUE"""),77.0)</f>
        <v>77</v>
      </c>
      <c r="D140" s="21">
        <f>IFERROR(__xludf.DUMMYFUNCTION("""COMPUTED_VALUE"""),-0.8280108177936506)</f>
        <v>-0.8280108178</v>
      </c>
      <c r="E140" s="21">
        <f>IFERROR(__xludf.DUMMYFUNCTION("""COMPUTED_VALUE"""),-0.7148400312775341)</f>
        <v>-0.7148400313</v>
      </c>
      <c r="F140" s="21">
        <f>IFERROR(__xludf.DUMMYFUNCTION("""COMPUTED_VALUE"""),-1.5428508490711847)</f>
        <v>-1.542850849</v>
      </c>
      <c r="G140" s="23">
        <f>IFERROR(__xludf.DUMMYFUNCTION("""COMPUTED_VALUE"""),0.010782500143970012)</f>
        <v>0.01078250014</v>
      </c>
      <c r="H140" s="4"/>
      <c r="I140" s="5" t="s">
        <v>1828</v>
      </c>
      <c r="J140" s="5" t="s">
        <v>1554</v>
      </c>
      <c r="K140" s="5">
        <v>92.0</v>
      </c>
      <c r="L140" s="5">
        <v>-1.176343</v>
      </c>
      <c r="M140" s="5">
        <v>-0.257926</v>
      </c>
      <c r="N140" s="5">
        <v>-1.434269</v>
      </c>
      <c r="O140" s="5">
        <v>0.016384</v>
      </c>
    </row>
    <row r="141">
      <c r="A141" s="12" t="str">
        <f>IFERROR(__xludf.DUMMYFUNCTION("""COMPUTED_VALUE"""),"Halil Kanacevic")</f>
        <v>Halil Kanacevic</v>
      </c>
      <c r="B141" s="13" t="str">
        <f>IFERROR(__xludf.DUMMYFUNCTION("""COMPUTED_VALUE"""),"BHS")</f>
        <v>BHS</v>
      </c>
      <c r="C141" s="14">
        <f>IFERROR(__xludf.DUMMYFUNCTION("""COMPUTED_VALUE"""),107.0)</f>
        <v>107</v>
      </c>
      <c r="D141" s="15">
        <f>IFERROR(__xludf.DUMMYFUNCTION("""COMPUTED_VALUE"""),-1.5957179188505322)</f>
        <v>-1.595717919</v>
      </c>
      <c r="E141" s="15">
        <f>IFERROR(__xludf.DUMMYFUNCTION("""COMPUTED_VALUE"""),-0.06975990406375066)</f>
        <v>-0.06975990406</v>
      </c>
      <c r="F141" s="15">
        <f>IFERROR(__xludf.DUMMYFUNCTION("""COMPUTED_VALUE"""),-1.6654778229142828)</f>
        <v>-1.665477823</v>
      </c>
      <c r="G141" s="17">
        <f>IFERROR(__xludf.DUMMYFUNCTION("""COMPUTED_VALUE"""),0.01096426496301612)</f>
        <v>0.01096426496</v>
      </c>
      <c r="H141" s="4"/>
      <c r="I141" s="5" t="s">
        <v>1830</v>
      </c>
      <c r="J141" s="5" t="s">
        <v>1592</v>
      </c>
      <c r="K141" s="5">
        <v>32.0</v>
      </c>
      <c r="L141" s="5">
        <v>-1.111621</v>
      </c>
      <c r="M141" s="5">
        <v>-0.331754</v>
      </c>
      <c r="N141" s="5">
        <v>-1.443375</v>
      </c>
      <c r="O141" s="5">
        <v>0.005387</v>
      </c>
    </row>
    <row r="142">
      <c r="A142" s="18" t="str">
        <f>IFERROR(__xludf.DUMMYFUNCTION("""COMPUTED_VALUE"""),"Kalin Lucas")</f>
        <v>Kalin Lucas</v>
      </c>
      <c r="B142" s="19" t="str">
        <f>IFERROR(__xludf.DUMMYFUNCTION("""COMPUTED_VALUE"""),"HAPJ")</f>
        <v>HAPJ</v>
      </c>
      <c r="C142" s="20">
        <f>IFERROR(__xludf.DUMMYFUNCTION("""COMPUTED_VALUE"""),530.0)</f>
        <v>530</v>
      </c>
      <c r="D142" s="21">
        <f>IFERROR(__xludf.DUMMYFUNCTION("""COMPUTED_VALUE"""),0.06210308469434528)</f>
        <v>0.06210308469</v>
      </c>
      <c r="E142" s="21">
        <f>IFERROR(__xludf.DUMMYFUNCTION("""COMPUTED_VALUE"""),-1.7693410090164132)</f>
        <v>-1.769341009</v>
      </c>
      <c r="F142" s="21">
        <f>IFERROR(__xludf.DUMMYFUNCTION("""COMPUTED_VALUE"""),-1.707237924322068)</f>
        <v>-1.707237924</v>
      </c>
      <c r="G142" s="23">
        <f>IFERROR(__xludf.DUMMYFUNCTION("""COMPUTED_VALUE"""),0.04689267118943041)</f>
        <v>0.04689267119</v>
      </c>
      <c r="H142" s="4"/>
      <c r="I142" s="5" t="s">
        <v>1832</v>
      </c>
      <c r="J142" s="5" t="s">
        <v>1621</v>
      </c>
      <c r="K142" s="5">
        <v>657.0</v>
      </c>
      <c r="L142" s="5">
        <v>-0.966229</v>
      </c>
      <c r="M142" s="5">
        <v>-0.582502</v>
      </c>
      <c r="N142" s="5">
        <v>-1.548731</v>
      </c>
      <c r="O142" s="5">
        <v>0.09049</v>
      </c>
    </row>
    <row r="143">
      <c r="A143" s="12" t="str">
        <f>IFERROR(__xludf.DUMMYFUNCTION("""COMPUTED_VALUE"""),"Talib Zanna")</f>
        <v>Talib Zanna</v>
      </c>
      <c r="B143" s="13" t="str">
        <f>IFERROR(__xludf.DUMMYFUNCTION("""COMPUTED_VALUE"""),"IRO")</f>
        <v>IRO</v>
      </c>
      <c r="C143" s="14">
        <f>IFERROR(__xludf.DUMMYFUNCTION("""COMPUTED_VALUE"""),1081.0)</f>
        <v>1081</v>
      </c>
      <c r="D143" s="15">
        <f>IFERROR(__xludf.DUMMYFUNCTION("""COMPUTED_VALUE"""),-1.9801191304371433)</f>
        <v>-1.98011913</v>
      </c>
      <c r="E143" s="15">
        <f>IFERROR(__xludf.DUMMYFUNCTION("""COMPUTED_VALUE"""),0.23293740602787216)</f>
        <v>0.232937406</v>
      </c>
      <c r="F143" s="15">
        <f>IFERROR(__xludf.DUMMYFUNCTION("""COMPUTED_VALUE"""),-1.747181724409271)</f>
        <v>-1.747181724</v>
      </c>
      <c r="G143" s="17">
        <f>IFERROR(__xludf.DUMMYFUNCTION("""COMPUTED_VALUE"""),0.08318722250669962)</f>
        <v>0.08318722251</v>
      </c>
      <c r="H143" s="4"/>
      <c r="I143" s="5" t="s">
        <v>1834</v>
      </c>
      <c r="J143" s="5" t="s">
        <v>1543</v>
      </c>
      <c r="K143" s="5">
        <v>96.0</v>
      </c>
      <c r="L143" s="5">
        <v>-1.77055</v>
      </c>
      <c r="M143" s="5">
        <v>0.168164</v>
      </c>
      <c r="N143" s="5">
        <v>-1.602386</v>
      </c>
      <c r="O143" s="5">
        <v>0.023448</v>
      </c>
    </row>
    <row r="144">
      <c r="A144" s="18" t="str">
        <f>IFERROR(__xludf.DUMMYFUNCTION("""COMPUTED_VALUE"""),"Cleveland Melvin")</f>
        <v>Cleveland Melvin</v>
      </c>
      <c r="B144" s="19" t="str">
        <f>IFERROR(__xludf.DUMMYFUNCTION("""COMPUTED_VALUE"""),"GAL")</f>
        <v>GAL</v>
      </c>
      <c r="C144" s="20">
        <f>IFERROR(__xludf.DUMMYFUNCTION("""COMPUTED_VALUE"""),97.0)</f>
        <v>97</v>
      </c>
      <c r="D144" s="21">
        <f>IFERROR(__xludf.DUMMYFUNCTION("""COMPUTED_VALUE"""),-1.6051079203088066)</f>
        <v>-1.60510792</v>
      </c>
      <c r="E144" s="21">
        <f>IFERROR(__xludf.DUMMYFUNCTION("""COMPUTED_VALUE"""),-0.19780389447481772)</f>
        <v>-0.1978038945</v>
      </c>
      <c r="F144" s="21">
        <f>IFERROR(__xludf.DUMMYFUNCTION("""COMPUTED_VALUE"""),-1.8029118147836243)</f>
        <v>-1.802911815</v>
      </c>
      <c r="G144" s="23">
        <f>IFERROR(__xludf.DUMMYFUNCTION("""COMPUTED_VALUE"""),0.006702574494869639)</f>
        <v>0.006702574495</v>
      </c>
      <c r="H144" s="4"/>
      <c r="I144" s="5" t="s">
        <v>1836</v>
      </c>
      <c r="J144" s="5" t="s">
        <v>1554</v>
      </c>
      <c r="K144" s="5">
        <v>198.0</v>
      </c>
      <c r="L144" s="5">
        <v>-1.688287</v>
      </c>
      <c r="M144" s="5">
        <v>0.042389</v>
      </c>
      <c r="N144" s="5">
        <v>-1.645898</v>
      </c>
      <c r="O144" s="5">
        <v>0.022071</v>
      </c>
    </row>
    <row r="145">
      <c r="A145" s="12" t="str">
        <f>IFERROR(__xludf.DUMMYFUNCTION("""COMPUTED_VALUE"""),"Daniel Aidan")</f>
        <v>Daniel Aidan</v>
      </c>
      <c r="B145" s="13" t="str">
        <f>IFERROR(__xludf.DUMMYFUNCTION("""COMPUTED_VALUE"""),"HAP")</f>
        <v>HAP</v>
      </c>
      <c r="C145" s="14">
        <f>IFERROR(__xludf.DUMMYFUNCTION("""COMPUTED_VALUE"""),136.0)</f>
        <v>136</v>
      </c>
      <c r="D145" s="15">
        <f>IFERROR(__xludf.DUMMYFUNCTION("""COMPUTED_VALUE"""),-2.0210021769772313)</f>
        <v>-2.021002177</v>
      </c>
      <c r="E145" s="15">
        <f>IFERROR(__xludf.DUMMYFUNCTION("""COMPUTED_VALUE"""),0.08250661470516651)</f>
        <v>0.08250661471</v>
      </c>
      <c r="F145" s="15">
        <f>IFERROR(__xludf.DUMMYFUNCTION("""COMPUTED_VALUE"""),-1.9384955622720648)</f>
        <v>-1.938495562</v>
      </c>
      <c r="G145" s="17">
        <f>IFERROR(__xludf.DUMMYFUNCTION("""COMPUTED_VALUE"""),0.005138418319579661)</f>
        <v>0.00513841832</v>
      </c>
      <c r="H145" s="4"/>
      <c r="I145" s="5" t="s">
        <v>937</v>
      </c>
      <c r="J145" s="5" t="s">
        <v>1643</v>
      </c>
      <c r="K145" s="5">
        <v>107.0</v>
      </c>
      <c r="L145" s="5">
        <v>-1.571864</v>
      </c>
      <c r="M145" s="5">
        <v>-0.081942</v>
      </c>
      <c r="N145" s="5">
        <v>-1.653806</v>
      </c>
      <c r="O145" s="5">
        <v>0.011323</v>
      </c>
    </row>
    <row r="146">
      <c r="A146" s="18" t="str">
        <f>IFERROR(__xludf.DUMMYFUNCTION("""COMPUTED_VALUE"""),"Alex Rosenberg")</f>
        <v>Alex Rosenberg</v>
      </c>
      <c r="B146" s="19" t="str">
        <f>IFERROR(__xludf.DUMMYFUNCTION("""COMPUTED_VALUE"""),"BHS")</f>
        <v>BHS</v>
      </c>
      <c r="C146" s="20">
        <f>IFERROR(__xludf.DUMMYFUNCTION("""COMPUTED_VALUE"""),98.0)</f>
        <v>98</v>
      </c>
      <c r="D146" s="21">
        <f>IFERROR(__xludf.DUMMYFUNCTION("""COMPUTED_VALUE"""),-1.3975629886875045)</f>
        <v>-1.397562989</v>
      </c>
      <c r="E146" s="21">
        <f>IFERROR(__xludf.DUMMYFUNCTION("""COMPUTED_VALUE"""),-0.5419459255646788)</f>
        <v>-0.5419459256</v>
      </c>
      <c r="F146" s="21">
        <f>IFERROR(__xludf.DUMMYFUNCTION("""COMPUTED_VALUE"""),-1.9395089142521833)</f>
        <v>-1.939508914</v>
      </c>
      <c r="G146" s="23">
        <f>IFERROR(__xludf.DUMMYFUNCTION("""COMPUTED_VALUE"""),0.0018158847664792803)</f>
        <v>0.001815884766</v>
      </c>
      <c r="H146" s="4"/>
      <c r="I146" s="5" t="s">
        <v>1839</v>
      </c>
      <c r="J146" s="5" t="s">
        <v>1580</v>
      </c>
      <c r="K146" s="5">
        <v>911.0</v>
      </c>
      <c r="L146" s="5">
        <v>-2.031175</v>
      </c>
      <c r="M146" s="5">
        <v>0.360736</v>
      </c>
      <c r="N146" s="5">
        <v>-1.670438</v>
      </c>
      <c r="O146" s="5">
        <v>0.091348</v>
      </c>
    </row>
    <row r="147">
      <c r="A147" s="12" t="str">
        <f>IFERROR(__xludf.DUMMYFUNCTION("""COMPUTED_VALUE"""),"Eyal Shulman")</f>
        <v>Eyal Shulman</v>
      </c>
      <c r="B147" s="13" t="str">
        <f>IFERROR(__xludf.DUMMYFUNCTION("""COMPUTED_VALUE"""),"MRL")</f>
        <v>MRL</v>
      </c>
      <c r="C147" s="14">
        <f>IFERROR(__xludf.DUMMYFUNCTION("""COMPUTED_VALUE"""),115.0)</f>
        <v>115</v>
      </c>
      <c r="D147" s="15">
        <f>IFERROR(__xludf.DUMMYFUNCTION("""COMPUTED_VALUE"""),-1.0634838467211327)</f>
        <v>-1.063483847</v>
      </c>
      <c r="E147" s="15">
        <f>IFERROR(__xludf.DUMMYFUNCTION("""COMPUTED_VALUE"""),-0.9258817418273717)</f>
        <v>-0.9258817418</v>
      </c>
      <c r="F147" s="15">
        <f>IFERROR(__xludf.DUMMYFUNCTION("""COMPUTED_VALUE"""),-1.9893655885485044)</f>
        <v>-1.989365589</v>
      </c>
      <c r="G147" s="17">
        <f>IFERROR(__xludf.DUMMYFUNCTION("""COMPUTED_VALUE"""),3.782980395795514E-4)</f>
        <v>0.0003782980396</v>
      </c>
      <c r="H147" s="4"/>
      <c r="I147" s="5" t="s">
        <v>1159</v>
      </c>
      <c r="J147" s="5" t="s">
        <v>1592</v>
      </c>
      <c r="K147" s="5">
        <v>97.0</v>
      </c>
      <c r="L147" s="5">
        <v>-1.768798</v>
      </c>
      <c r="M147" s="5">
        <v>-0.044607</v>
      </c>
      <c r="N147" s="5">
        <v>-1.813405</v>
      </c>
      <c r="O147" s="5">
        <v>0.005474</v>
      </c>
    </row>
    <row r="148">
      <c r="A148" s="18" t="str">
        <f>IFERROR(__xludf.DUMMYFUNCTION("""COMPUTED_VALUE"""),"Niv Baloul")</f>
        <v>Niv Baloul</v>
      </c>
      <c r="B148" s="19" t="str">
        <f>IFERROR(__xludf.DUMMYFUNCTION("""COMPUTED_VALUE"""),"MRL")</f>
        <v>MRL</v>
      </c>
      <c r="C148" s="20">
        <f>IFERROR(__xludf.DUMMYFUNCTION("""COMPUTED_VALUE"""),35.0)</f>
        <v>35</v>
      </c>
      <c r="D148" s="21">
        <f>IFERROR(__xludf.DUMMYFUNCTION("""COMPUTED_VALUE"""),-0.9230067041660701)</f>
        <v>-0.9230067042</v>
      </c>
      <c r="E148" s="21">
        <f>IFERROR(__xludf.DUMMYFUNCTION("""COMPUTED_VALUE"""),-1.1102506008228314)</f>
        <v>-1.110250601</v>
      </c>
      <c r="F148" s="21">
        <f>IFERROR(__xludf.DUMMYFUNCTION("""COMPUTED_VALUE"""),-2.0332573049889016)</f>
        <v>-2.033257305</v>
      </c>
      <c r="G148" s="23">
        <f>IFERROR(__xludf.DUMMYFUNCTION("""COMPUTED_VALUE"""),-3.6006249659906354E-4)</f>
        <v>-0.0003600624966</v>
      </c>
      <c r="H148" s="4"/>
      <c r="I148" s="5" t="s">
        <v>1843</v>
      </c>
      <c r="J148" s="5" t="s">
        <v>1572</v>
      </c>
      <c r="K148" s="5">
        <v>469.0</v>
      </c>
      <c r="L148" s="5">
        <v>-0.516602</v>
      </c>
      <c r="M148" s="5">
        <v>-1.377109</v>
      </c>
      <c r="N148" s="5">
        <v>-1.89371</v>
      </c>
      <c r="O148" s="5">
        <v>0.015099</v>
      </c>
    </row>
    <row r="149">
      <c r="A149" s="12" t="str">
        <f>IFERROR(__xludf.DUMMYFUNCTION("""COMPUTED_VALUE"""),"Tal Karpels")</f>
        <v>Tal Karpels</v>
      </c>
      <c r="B149" s="13" t="str">
        <f>IFERROR(__xludf.DUMMYFUNCTION("""COMPUTED_VALUE"""),"GAL")</f>
        <v>GAL</v>
      </c>
      <c r="C149" s="14">
        <f>IFERROR(__xludf.DUMMYFUNCTION("""COMPUTED_VALUE"""),576.0)</f>
        <v>576</v>
      </c>
      <c r="D149" s="15">
        <f>IFERROR(__xludf.DUMMYFUNCTION("""COMPUTED_VALUE"""),-0.810792497673217)</f>
        <v>-0.8107924977</v>
      </c>
      <c r="E149" s="15">
        <f>IFERROR(__xludf.DUMMYFUNCTION("""COMPUTED_VALUE"""),-1.2599110380706664)</f>
        <v>-1.259911038</v>
      </c>
      <c r="F149" s="15">
        <f>IFERROR(__xludf.DUMMYFUNCTION("""COMPUTED_VALUE"""),-2.0707035357438834)</f>
        <v>-2.070703536</v>
      </c>
      <c r="G149" s="17">
        <f>IFERROR(__xludf.DUMMYFUNCTION("""COMPUTED_VALUE"""),-0.014278182896257546)</f>
        <v>-0.0142781829</v>
      </c>
      <c r="H149" s="4"/>
      <c r="I149" s="5" t="s">
        <v>1844</v>
      </c>
      <c r="J149" s="5" t="s">
        <v>1580</v>
      </c>
      <c r="K149" s="5">
        <v>766.0</v>
      </c>
      <c r="L149" s="5">
        <v>-3.688403</v>
      </c>
      <c r="M149" s="5">
        <v>1.772419</v>
      </c>
      <c r="N149" s="5">
        <v>-1.915983</v>
      </c>
      <c r="O149" s="5">
        <v>0.019581</v>
      </c>
    </row>
    <row r="150">
      <c r="A150" s="18" t="str">
        <f>IFERROR(__xludf.DUMMYFUNCTION("""COMPUTED_VALUE"""),"Amit Ebo")</f>
        <v>Amit Ebo</v>
      </c>
      <c r="B150" s="19" t="str">
        <f>IFERROR(__xludf.DUMMYFUNCTION("""COMPUTED_VALUE"""),"EIL")</f>
        <v>EIL</v>
      </c>
      <c r="C150" s="20">
        <f>IFERROR(__xludf.DUMMYFUNCTION("""COMPUTED_VALUE"""),54.0)</f>
        <v>54</v>
      </c>
      <c r="D150" s="21">
        <f>IFERROR(__xludf.DUMMYFUNCTION("""COMPUTED_VALUE"""),-1.177034685797229)</f>
        <v>-1.177034686</v>
      </c>
      <c r="E150" s="21">
        <f>IFERROR(__xludf.DUMMYFUNCTION("""COMPUTED_VALUE"""),-0.9369371986108843)</f>
        <v>-0.9369371986</v>
      </c>
      <c r="F150" s="21">
        <f>IFERROR(__xludf.DUMMYFUNCTION("""COMPUTED_VALUE"""),-2.1139718844081132)</f>
        <v>-2.113971884</v>
      </c>
      <c r="G150" s="23">
        <f>IFERROR(__xludf.DUMMYFUNCTION("""COMPUTED_VALUE"""),-0.0018836780346486795)</f>
        <v>-0.001883678035</v>
      </c>
      <c r="H150" s="4"/>
      <c r="I150" s="5" t="s">
        <v>1845</v>
      </c>
      <c r="J150" s="5" t="s">
        <v>1643</v>
      </c>
      <c r="K150" s="5">
        <v>98.0</v>
      </c>
      <c r="L150" s="5">
        <v>-1.375228</v>
      </c>
      <c r="M150" s="5">
        <v>-0.553167</v>
      </c>
      <c r="N150" s="5">
        <v>-1.928395</v>
      </c>
      <c r="O150" s="5">
        <v>0.002145</v>
      </c>
    </row>
    <row r="151">
      <c r="A151" s="12" t="str">
        <f>IFERROR(__xludf.DUMMYFUNCTION("""COMPUTED_VALUE"""),"Adam Honig")</f>
        <v>Adam Honig</v>
      </c>
      <c r="B151" s="13" t="str">
        <f>IFERROR(__xludf.DUMMYFUNCTION("""COMPUTED_VALUE"""),"ASH")</f>
        <v>ASH</v>
      </c>
      <c r="C151" s="14">
        <f>IFERROR(__xludf.DUMMYFUNCTION("""COMPUTED_VALUE"""),213.0)</f>
        <v>213</v>
      </c>
      <c r="D151" s="15">
        <f>IFERROR(__xludf.DUMMYFUNCTION("""COMPUTED_VALUE"""),-2.181076628333879)</f>
        <v>-2.181076628</v>
      </c>
      <c r="E151" s="15">
        <f>IFERROR(__xludf.DUMMYFUNCTION("""COMPUTED_VALUE"""),0.056133072698500985)</f>
        <v>0.0561330727</v>
      </c>
      <c r="F151" s="15">
        <f>IFERROR(__xludf.DUMMYFUNCTION("""COMPUTED_VALUE"""),-2.124943555635378)</f>
        <v>-2.124943556</v>
      </c>
      <c r="G151" s="17">
        <f>IFERROR(__xludf.DUMMYFUNCTION("""COMPUTED_VALUE"""),-0.008350691695464698)</f>
        <v>-0.008350691695</v>
      </c>
      <c r="H151" s="4"/>
      <c r="I151" s="5" t="s">
        <v>1848</v>
      </c>
      <c r="J151" s="5" t="s">
        <v>1567</v>
      </c>
      <c r="K151" s="5">
        <v>112.0</v>
      </c>
      <c r="L151" s="5">
        <v>-1.066762</v>
      </c>
      <c r="M151" s="5">
        <v>-0.909909</v>
      </c>
      <c r="N151" s="5">
        <v>-1.976671</v>
      </c>
      <c r="O151" s="5">
        <v>8.08E-4</v>
      </c>
    </row>
    <row r="152">
      <c r="A152" s="18" t="str">
        <f>IFERROR(__xludf.DUMMYFUNCTION("""COMPUTED_VALUE"""),"Frederic Bourdillon")</f>
        <v>Frederic Bourdillon</v>
      </c>
      <c r="B152" s="19" t="str">
        <f>IFERROR(__xludf.DUMMYFUNCTION("""COMPUTED_VALUE"""),"EIL")</f>
        <v>EIL</v>
      </c>
      <c r="C152" s="20">
        <f>IFERROR(__xludf.DUMMYFUNCTION("""COMPUTED_VALUE"""),296.5)</f>
        <v>296.5</v>
      </c>
      <c r="D152" s="21">
        <f>IFERROR(__xludf.DUMMYFUNCTION("""COMPUTED_VALUE"""),-1.410547758090655)</f>
        <v>-1.410547758</v>
      </c>
      <c r="E152" s="21">
        <f>IFERROR(__xludf.DUMMYFUNCTION("""COMPUTED_VALUE"""),-0.7820829924421453)</f>
        <v>-0.7820829924</v>
      </c>
      <c r="F152" s="21">
        <f>IFERROR(__xludf.DUMMYFUNCTION("""COMPUTED_VALUE"""),-2.1926307505328)</f>
        <v>-2.192630751</v>
      </c>
      <c r="G152" s="23">
        <f>IFERROR(__xludf.DUMMYFUNCTION("""COMPUTED_VALUE"""),-0.017480968862232094)</f>
        <v>-0.01748096886</v>
      </c>
      <c r="H152" s="4"/>
      <c r="I152" s="5" t="s">
        <v>1850</v>
      </c>
      <c r="J152" s="5" t="s">
        <v>1643</v>
      </c>
      <c r="K152" s="5">
        <v>487.0</v>
      </c>
      <c r="L152" s="5">
        <v>0.178982</v>
      </c>
      <c r="M152" s="5">
        <v>-2.197625</v>
      </c>
      <c r="N152" s="5">
        <v>-2.018643</v>
      </c>
      <c r="O152" s="5">
        <v>-0.002775</v>
      </c>
    </row>
    <row r="153">
      <c r="A153" s="12" t="str">
        <f>IFERROR(__xludf.DUMMYFUNCTION("""COMPUTED_VALUE"""),"Aviram Zelkovits")</f>
        <v>Aviram Zelkovits</v>
      </c>
      <c r="B153" s="13" t="str">
        <f>IFERROR(__xludf.DUMMYFUNCTION("""COMPUTED_VALUE"""),"BHS")</f>
        <v>BHS</v>
      </c>
      <c r="C153" s="14">
        <f>IFERROR(__xludf.DUMMYFUNCTION("""COMPUTED_VALUE"""),489.0)</f>
        <v>489</v>
      </c>
      <c r="D153" s="15">
        <f>IFERROR(__xludf.DUMMYFUNCTION("""COMPUTED_VALUE"""),-0.03046228338934609)</f>
        <v>-0.03046228339</v>
      </c>
      <c r="E153" s="15">
        <f>IFERROR(__xludf.DUMMYFUNCTION("""COMPUTED_VALUE"""),-2.226699356261619)</f>
        <v>-2.226699356</v>
      </c>
      <c r="F153" s="15">
        <f>IFERROR(__xludf.DUMMYFUNCTION("""COMPUTED_VALUE"""),-2.257161639650965)</f>
        <v>-2.25716164</v>
      </c>
      <c r="G153" s="17">
        <f>IFERROR(__xludf.DUMMYFUNCTION("""COMPUTED_VALUE"""),-0.03851996423563396)</f>
        <v>-0.03851996424</v>
      </c>
      <c r="H153" s="4"/>
      <c r="I153" s="5" t="s">
        <v>1852</v>
      </c>
      <c r="J153" s="5" t="s">
        <v>1567</v>
      </c>
      <c r="K153" s="5">
        <v>35.0</v>
      </c>
      <c r="L153" s="5">
        <v>-0.909874</v>
      </c>
      <c r="M153" s="5">
        <v>-1.128556</v>
      </c>
      <c r="N153" s="5">
        <v>-2.038429</v>
      </c>
      <c r="O153" s="5">
        <v>-4.16E-4</v>
      </c>
    </row>
    <row r="154">
      <c r="A154" s="18" t="str">
        <f>IFERROR(__xludf.DUMMYFUNCTION("""COMPUTED_VALUE"""),"Tamir Blatt")</f>
        <v>Tamir Blatt</v>
      </c>
      <c r="B154" s="19" t="str">
        <f>IFERROR(__xludf.DUMMYFUNCTION("""COMPUTED_VALUE"""),"HAP")</f>
        <v>HAP</v>
      </c>
      <c r="C154" s="20">
        <f>IFERROR(__xludf.DUMMYFUNCTION("""COMPUTED_VALUE"""),890.0)</f>
        <v>890</v>
      </c>
      <c r="D154" s="21">
        <f>IFERROR(__xludf.DUMMYFUNCTION("""COMPUTED_VALUE"""),0.33401129759590775)</f>
        <v>0.3340112976</v>
      </c>
      <c r="E154" s="21">
        <f>IFERROR(__xludf.DUMMYFUNCTION("""COMPUTED_VALUE"""),-2.659061685039205)</f>
        <v>-2.659061685</v>
      </c>
      <c r="F154" s="21">
        <f>IFERROR(__xludf.DUMMYFUNCTION("""COMPUTED_VALUE"""),-2.325050387443297)</f>
        <v>-2.325050387</v>
      </c>
      <c r="G154" s="23">
        <f>IFERROR(__xludf.DUMMYFUNCTION("""COMPUTED_VALUE"""),-0.1777152885844873)</f>
        <v>-0.1777152886</v>
      </c>
      <c r="H154" s="4"/>
      <c r="I154" s="5" t="s">
        <v>1854</v>
      </c>
      <c r="J154" s="5" t="s">
        <v>1554</v>
      </c>
      <c r="K154" s="5">
        <v>166.0</v>
      </c>
      <c r="L154" s="5">
        <v>-1.944437</v>
      </c>
      <c r="M154" s="5">
        <v>-0.153625</v>
      </c>
      <c r="N154" s="5">
        <v>-2.098063</v>
      </c>
      <c r="O154" s="5">
        <v>-0.005124</v>
      </c>
    </row>
    <row r="155">
      <c r="A155" s="12" t="str">
        <f>IFERROR(__xludf.DUMMYFUNCTION("""COMPUTED_VALUE"""),"Jacorey Williams")</f>
        <v>Jacorey Williams</v>
      </c>
      <c r="B155" s="13" t="str">
        <f>IFERROR(__xludf.DUMMYFUNCTION("""COMPUTED_VALUE"""),"GAL")</f>
        <v>GAL</v>
      </c>
      <c r="C155" s="14">
        <f>IFERROR(__xludf.DUMMYFUNCTION("""COMPUTED_VALUE"""),273.0)</f>
        <v>273</v>
      </c>
      <c r="D155" s="15">
        <f>IFERROR(__xludf.DUMMYFUNCTION("""COMPUTED_VALUE"""),-2.0673051995589935)</f>
        <v>-2.0673052</v>
      </c>
      <c r="E155" s="15">
        <f>IFERROR(__xludf.DUMMYFUNCTION("""COMPUTED_VALUE"""),-0.28755043787325807)</f>
        <v>-0.2875504379</v>
      </c>
      <c r="F155" s="15">
        <f>IFERROR(__xludf.DUMMYFUNCTION("""COMPUTED_VALUE"""),-2.3548556374322516)</f>
        <v>-2.354855637</v>
      </c>
      <c r="G155" s="17">
        <f>IFERROR(__xludf.DUMMYFUNCTION("""COMPUTED_VALUE"""),-0.033964379192517796)</f>
        <v>-0.03396437919</v>
      </c>
      <c r="H155" s="4"/>
      <c r="I155" s="5" t="s">
        <v>1856</v>
      </c>
      <c r="J155" s="5" t="s">
        <v>1546</v>
      </c>
      <c r="K155" s="5">
        <v>54.0</v>
      </c>
      <c r="L155" s="5">
        <v>-1.212631</v>
      </c>
      <c r="M155" s="5">
        <v>-0.913272</v>
      </c>
      <c r="N155" s="5">
        <v>-2.125903</v>
      </c>
      <c r="O155" s="5">
        <v>-0.002079</v>
      </c>
    </row>
    <row r="156">
      <c r="A156" s="18" t="str">
        <f>IFERROR(__xludf.DUMMYFUNCTION("""COMPUTED_VALUE"""),"Ben Altit")</f>
        <v>Ben Altit</v>
      </c>
      <c r="B156" s="19" t="str">
        <f>IFERROR(__xludf.DUMMYFUNCTION("""COMPUTED_VALUE"""),"GAL")</f>
        <v>GAL</v>
      </c>
      <c r="C156" s="20">
        <f>IFERROR(__xludf.DUMMYFUNCTION("""COMPUTED_VALUE"""),637.0)</f>
        <v>637</v>
      </c>
      <c r="D156" s="21">
        <f>IFERROR(__xludf.DUMMYFUNCTION("""COMPUTED_VALUE"""),-2.6416505573597373)</f>
        <v>-2.641650557</v>
      </c>
      <c r="E156" s="21">
        <f>IFERROR(__xludf.DUMMYFUNCTION("""COMPUTED_VALUE"""),0.2159534702189383)</f>
        <v>0.2159534702</v>
      </c>
      <c r="F156" s="21">
        <f>IFERROR(__xludf.DUMMYFUNCTION("""COMPUTED_VALUE"""),-2.425697087140799)</f>
        <v>-2.425697087</v>
      </c>
      <c r="G156" s="23">
        <f>IFERROR(__xludf.DUMMYFUNCTION("""COMPUTED_VALUE"""),-0.09507130068813362)</f>
        <v>-0.09507130069</v>
      </c>
      <c r="H156" s="4"/>
      <c r="I156" s="5" t="s">
        <v>1858</v>
      </c>
      <c r="J156" s="5" t="s">
        <v>1546</v>
      </c>
      <c r="K156" s="5">
        <v>582.0</v>
      </c>
      <c r="L156" s="5">
        <v>-3.259982</v>
      </c>
      <c r="M156" s="5">
        <v>0.760344</v>
      </c>
      <c r="N156" s="5">
        <v>-2.499638</v>
      </c>
      <c r="O156" s="5">
        <v>-0.088905</v>
      </c>
    </row>
    <row r="157">
      <c r="A157" s="12" t="str">
        <f>IFERROR(__xludf.DUMMYFUNCTION("""COMPUTED_VALUE"""),"Isaac Rosefelt")</f>
        <v>Isaac Rosefelt</v>
      </c>
      <c r="B157" s="13" t="str">
        <f>IFERROR(__xludf.DUMMYFUNCTION("""COMPUTED_VALUE"""),"EIL")</f>
        <v>EIL</v>
      </c>
      <c r="C157" s="14">
        <f>IFERROR(__xludf.DUMMYFUNCTION("""COMPUTED_VALUE"""),702.0)</f>
        <v>702</v>
      </c>
      <c r="D157" s="15">
        <f>IFERROR(__xludf.DUMMYFUNCTION("""COMPUTED_VALUE"""),-2.798771988021913)</f>
        <v>-2.798771988</v>
      </c>
      <c r="E157" s="15">
        <f>IFERROR(__xludf.DUMMYFUNCTION("""COMPUTED_VALUE"""),0.36805856029899564)</f>
        <v>0.3680585603</v>
      </c>
      <c r="F157" s="15">
        <f>IFERROR(__xludf.DUMMYFUNCTION("""COMPUTED_VALUE"""),-2.4307134277229174)</f>
        <v>-2.430713428</v>
      </c>
      <c r="G157" s="17">
        <f>IFERROR(__xludf.DUMMYFUNCTION("""COMPUTED_VALUE"""),-0.0925423893284149)</f>
        <v>-0.09254238933</v>
      </c>
      <c r="H157" s="4"/>
      <c r="I157" s="5" t="s">
        <v>1860</v>
      </c>
      <c r="J157" s="5" t="s">
        <v>1592</v>
      </c>
      <c r="K157" s="5">
        <v>543.0</v>
      </c>
      <c r="L157" s="5">
        <v>-3.056125</v>
      </c>
      <c r="M157" s="5">
        <v>0.497471</v>
      </c>
      <c r="N157" s="5">
        <v>-2.558654</v>
      </c>
      <c r="O157" s="5">
        <v>-0.091739</v>
      </c>
    </row>
    <row r="158">
      <c r="A158" s="18" t="str">
        <f>IFERROR(__xludf.DUMMYFUNCTION("""COMPUTED_VALUE"""),"Gil Amitay")</f>
        <v>Gil Amitay</v>
      </c>
      <c r="B158" s="19" t="str">
        <f>IFERROR(__xludf.DUMMYFUNCTION("""COMPUTED_VALUE"""),"ASH")</f>
        <v>ASH</v>
      </c>
      <c r="C158" s="20">
        <f>IFERROR(__xludf.DUMMYFUNCTION("""COMPUTED_VALUE"""),181.0)</f>
        <v>181</v>
      </c>
      <c r="D158" s="21">
        <f>IFERROR(__xludf.DUMMYFUNCTION("""COMPUTED_VALUE"""),-2.3409503549719486)</f>
        <v>-2.340950355</v>
      </c>
      <c r="E158" s="21">
        <f>IFERROR(__xludf.DUMMYFUNCTION("""COMPUTED_VALUE"""),-0.2816579671111259)</f>
        <v>-0.2816579671</v>
      </c>
      <c r="F158" s="21">
        <f>IFERROR(__xludf.DUMMYFUNCTION("""COMPUTED_VALUE"""),-2.6226083220830745)</f>
        <v>-2.622608322</v>
      </c>
      <c r="G158" s="23">
        <f>IFERROR(__xludf.DUMMYFUNCTION("""COMPUTED_VALUE"""),-0.035360832567169424)</f>
        <v>-0.03536083257</v>
      </c>
      <c r="H158" s="4"/>
      <c r="I158" s="5" t="s">
        <v>1862</v>
      </c>
      <c r="J158" s="5" t="s">
        <v>1546</v>
      </c>
      <c r="K158" s="5">
        <v>222.0</v>
      </c>
      <c r="L158" s="5">
        <v>-1.973348</v>
      </c>
      <c r="M158" s="5">
        <v>-0.601056</v>
      </c>
      <c r="N158" s="5">
        <v>-2.574404</v>
      </c>
      <c r="O158" s="5">
        <v>-0.038987</v>
      </c>
    </row>
    <row r="159">
      <c r="A159" s="12" t="str">
        <f>IFERROR(__xludf.DUMMYFUNCTION("""COMPUTED_VALUE"""),"Taurean Green")</f>
        <v>Taurean Green</v>
      </c>
      <c r="B159" s="13" t="str">
        <f>IFERROR(__xludf.DUMMYFUNCTION("""COMPUTED_VALUE"""),"BHS")</f>
        <v>BHS</v>
      </c>
      <c r="C159" s="14">
        <f>IFERROR(__xludf.DUMMYFUNCTION("""COMPUTED_VALUE"""),756.0)</f>
        <v>756</v>
      </c>
      <c r="D159" s="15">
        <f>IFERROR(__xludf.DUMMYFUNCTION("""COMPUTED_VALUE"""),-0.7246998560188809)</f>
        <v>-0.724699856</v>
      </c>
      <c r="E159" s="15">
        <f>IFERROR(__xludf.DUMMYFUNCTION("""COMPUTED_VALUE"""),-2.1017722144755657)</f>
        <v>-2.101772214</v>
      </c>
      <c r="F159" s="15">
        <f>IFERROR(__xludf.DUMMYFUNCTION("""COMPUTED_VALUE"""),-2.8264720704944466)</f>
        <v>-2.82647207</v>
      </c>
      <c r="G159" s="17">
        <f>IFERROR(__xludf.DUMMYFUNCTION("""COMPUTED_VALUE"""),-0.19139068959057)</f>
        <v>-0.1913906896</v>
      </c>
      <c r="H159" s="4"/>
      <c r="I159" s="5" t="s">
        <v>1864</v>
      </c>
      <c r="J159" s="5" t="s">
        <v>1580</v>
      </c>
      <c r="K159" s="5">
        <v>571.0</v>
      </c>
      <c r="L159" s="5">
        <v>-4.449176</v>
      </c>
      <c r="M159" s="5">
        <v>1.851581</v>
      </c>
      <c r="N159" s="5">
        <v>-2.597595</v>
      </c>
      <c r="O159" s="5">
        <v>-0.103822</v>
      </c>
    </row>
    <row r="160">
      <c r="A160" s="18" t="str">
        <f>IFERROR(__xludf.DUMMYFUNCTION("""COMPUTED_VALUE"""),"Tal Michael Dunne")</f>
        <v>Tal Michael Dunne</v>
      </c>
      <c r="B160" s="19" t="str">
        <f>IFERROR(__xludf.DUMMYFUNCTION("""COMPUTED_VALUE"""),"IRO")</f>
        <v>IRO</v>
      </c>
      <c r="C160" s="20">
        <f>IFERROR(__xludf.DUMMYFUNCTION("""COMPUTED_VALUE"""),863.0)</f>
        <v>863</v>
      </c>
      <c r="D160" s="21">
        <f>IFERROR(__xludf.DUMMYFUNCTION("""COMPUTED_VALUE"""),-4.092998896220944)</f>
        <v>-4.092998896</v>
      </c>
      <c r="E160" s="21">
        <f>IFERROR(__xludf.DUMMYFUNCTION("""COMPUTED_VALUE"""),1.1387221674313115)</f>
        <v>1.138722167</v>
      </c>
      <c r="F160" s="21">
        <f>IFERROR(__xludf.DUMMYFUNCTION("""COMPUTED_VALUE"""),-2.9542767287896328)</f>
        <v>-2.954276729</v>
      </c>
      <c r="G160" s="23">
        <f>IFERROR(__xludf.DUMMYFUNCTION("""COMPUTED_VALUE"""),-0.250673020571303)</f>
        <v>-0.2506730206</v>
      </c>
      <c r="H160" s="4"/>
      <c r="I160" s="5" t="s">
        <v>1866</v>
      </c>
      <c r="J160" s="5" t="s">
        <v>1643</v>
      </c>
      <c r="K160" s="5">
        <v>737.0</v>
      </c>
      <c r="L160" s="5">
        <v>-0.441847</v>
      </c>
      <c r="M160" s="5">
        <v>-2.350211</v>
      </c>
      <c r="N160" s="5">
        <v>-2.792058</v>
      </c>
      <c r="O160" s="5">
        <v>-0.178432</v>
      </c>
    </row>
    <row r="161">
      <c r="A161" s="12" t="str">
        <f>IFERROR(__xludf.DUMMYFUNCTION("""COMPUTED_VALUE"""),"Elishay Kadir")</f>
        <v>Elishay Kadir</v>
      </c>
      <c r="B161" s="13" t="str">
        <f>IFERROR(__xludf.DUMMYFUNCTION("""COMPUTED_VALUE"""),"IRO")</f>
        <v>IRO</v>
      </c>
      <c r="C161" s="14">
        <f>IFERROR(__xludf.DUMMYFUNCTION("""COMPUTED_VALUE"""),670.0)</f>
        <v>670</v>
      </c>
      <c r="D161" s="15">
        <f>IFERROR(__xludf.DUMMYFUNCTION("""COMPUTED_VALUE"""),-4.287410136198887)</f>
        <v>-4.287410136</v>
      </c>
      <c r="E161" s="15">
        <f>IFERROR(__xludf.DUMMYFUNCTION("""COMPUTED_VALUE"""),1.308620389503024)</f>
        <v>1.30862039</v>
      </c>
      <c r="F161" s="15">
        <f>IFERROR(__xludf.DUMMYFUNCTION("""COMPUTED_VALUE"""),-2.9787897466958633)</f>
        <v>-2.978789747</v>
      </c>
      <c r="G161" s="17">
        <f>IFERROR(__xludf.DUMMYFUNCTION("""COMPUTED_VALUE"""),-0.19961201529318354)</f>
        <v>-0.1996120153</v>
      </c>
      <c r="H161" s="4"/>
      <c r="I161" s="5" t="s">
        <v>969</v>
      </c>
      <c r="J161" s="5" t="s">
        <v>1643</v>
      </c>
      <c r="K161" s="5">
        <v>150.0</v>
      </c>
      <c r="L161" s="5">
        <v>-1.823565</v>
      </c>
      <c r="M161" s="5">
        <v>-1.216392</v>
      </c>
      <c r="N161" s="5">
        <v>-3.039956</v>
      </c>
      <c r="O161" s="5">
        <v>-0.047682</v>
      </c>
    </row>
    <row r="162">
      <c r="A162" s="18" t="str">
        <f>IFERROR(__xludf.DUMMYFUNCTION("""COMPUTED_VALUE"""),"Xavier Thames")</f>
        <v>Xavier Thames</v>
      </c>
      <c r="B162" s="19" t="str">
        <f>IFERROR(__xludf.DUMMYFUNCTION("""COMPUTED_VALUE"""),"BHS")</f>
        <v>BHS</v>
      </c>
      <c r="C162" s="20">
        <f>IFERROR(__xludf.DUMMYFUNCTION("""COMPUTED_VALUE"""),150.0)</f>
        <v>150</v>
      </c>
      <c r="D162" s="21">
        <f>IFERROR(__xludf.DUMMYFUNCTION("""COMPUTED_VALUE"""),-1.8571753423839132)</f>
        <v>-1.857175342</v>
      </c>
      <c r="E162" s="21">
        <f>IFERROR(__xludf.DUMMYFUNCTION("""COMPUTED_VALUE"""),-1.1989321572227347)</f>
        <v>-1.198932157</v>
      </c>
      <c r="F162" s="21">
        <f>IFERROR(__xludf.DUMMYFUNCTION("""COMPUTED_VALUE"""),-3.056107499606648)</f>
        <v>-3.0561075</v>
      </c>
      <c r="G162" s="23">
        <f>IFERROR(__xludf.DUMMYFUNCTION("""COMPUTED_VALUE"""),-0.04852552197361691)</f>
        <v>-0.04852552197</v>
      </c>
      <c r="H162" s="4"/>
      <c r="I162" s="5" t="s">
        <v>1867</v>
      </c>
      <c r="J162" s="5" t="s">
        <v>1554</v>
      </c>
      <c r="K162" s="5">
        <v>589.0</v>
      </c>
      <c r="L162" s="5">
        <v>-6.605922</v>
      </c>
      <c r="M162" s="5">
        <v>3.545333</v>
      </c>
      <c r="N162" s="5">
        <v>-3.060589</v>
      </c>
      <c r="O162" s="5">
        <v>-0.196645</v>
      </c>
    </row>
    <row r="163">
      <c r="A163" s="12" t="str">
        <f>IFERROR(__xludf.DUMMYFUNCTION("""COMPUTED_VALUE"""),"Tom Maayan")</f>
        <v>Tom Maayan</v>
      </c>
      <c r="B163" s="13" t="str">
        <f>IFERROR(__xludf.DUMMYFUNCTION("""COMPUTED_VALUE"""),"BHS")</f>
        <v>BHS</v>
      </c>
      <c r="C163" s="14">
        <f>IFERROR(__xludf.DUMMYFUNCTION("""COMPUTED_VALUE"""),577.0)</f>
        <v>577</v>
      </c>
      <c r="D163" s="15">
        <f>IFERROR(__xludf.DUMMYFUNCTION("""COMPUTED_VALUE"""),-2.7263925239337503)</f>
        <v>-2.726392524</v>
      </c>
      <c r="E163" s="15">
        <f>IFERROR(__xludf.DUMMYFUNCTION("""COMPUTED_VALUE"""),-0.34085647018342957)</f>
        <v>-0.3408564702</v>
      </c>
      <c r="F163" s="15">
        <f>IFERROR(__xludf.DUMMYFUNCTION("""COMPUTED_VALUE"""),-3.06724899411718)</f>
        <v>-3.067248994</v>
      </c>
      <c r="G163" s="17">
        <f>IFERROR(__xludf.DUMMYFUNCTION("""COMPUTED_VALUE"""),-0.188630709067583)</f>
        <v>-0.1886307091</v>
      </c>
      <c r="H163" s="4"/>
      <c r="I163" s="5" t="s">
        <v>1868</v>
      </c>
      <c r="J163" s="5" t="s">
        <v>1543</v>
      </c>
      <c r="K163" s="5">
        <v>204.0</v>
      </c>
      <c r="L163" s="5">
        <v>-3.588116</v>
      </c>
      <c r="M163" s="5">
        <v>0.522866</v>
      </c>
      <c r="N163" s="5">
        <v>-3.06525</v>
      </c>
      <c r="O163" s="5">
        <v>-0.13349</v>
      </c>
    </row>
    <row r="164">
      <c r="A164" s="18" t="str">
        <f>IFERROR(__xludf.DUMMYFUNCTION("""COMPUTED_VALUE"""),"Avi Ben-Chimol")</f>
        <v>Avi Ben-Chimol</v>
      </c>
      <c r="B164" s="19" t="str">
        <f>IFERROR(__xludf.DUMMYFUNCTION("""COMPUTED_VALUE"""),"MRL")</f>
        <v>MRL</v>
      </c>
      <c r="C164" s="20">
        <f>IFERROR(__xludf.DUMMYFUNCTION("""COMPUTED_VALUE"""),1031.0)</f>
        <v>1031</v>
      </c>
      <c r="D164" s="21">
        <f>IFERROR(__xludf.DUMMYFUNCTION("""COMPUTED_VALUE"""),-2.1417923597623965)</f>
        <v>-2.14179236</v>
      </c>
      <c r="E164" s="21">
        <f>IFERROR(__xludf.DUMMYFUNCTION("""COMPUTED_VALUE"""),-0.9605206320811037)</f>
        <v>-0.9605206321</v>
      </c>
      <c r="F164" s="21">
        <f>IFERROR(__xludf.DUMMYFUNCTION("""COMPUTED_VALUE"""),-3.1023129918435)</f>
        <v>-3.102312992</v>
      </c>
      <c r="G164" s="23">
        <f>IFERROR(__xludf.DUMMYFUNCTION("""COMPUTED_VALUE"""),-0.35154941716026517)</f>
        <v>-0.3515494172</v>
      </c>
      <c r="H164" s="4"/>
      <c r="I164" s="5" t="s">
        <v>1869</v>
      </c>
      <c r="J164" s="5" t="s">
        <v>1567</v>
      </c>
      <c r="K164" s="24">
        <v>1000.0</v>
      </c>
      <c r="L164" s="5">
        <v>-1.999972</v>
      </c>
      <c r="M164" s="5">
        <v>-1.075828</v>
      </c>
      <c r="N164" s="5">
        <v>-3.0758</v>
      </c>
      <c r="O164" s="5">
        <v>-0.332771</v>
      </c>
    </row>
    <row r="165">
      <c r="A165" s="12" t="str">
        <f>IFERROR(__xludf.DUMMYFUNCTION("""COMPUTED_VALUE"""),"Cat Barber")</f>
        <v>Cat Barber</v>
      </c>
      <c r="B165" s="13" t="str">
        <f>IFERROR(__xludf.DUMMYFUNCTION("""COMPUTED_VALUE"""),"NAH")</f>
        <v>NAH</v>
      </c>
      <c r="C165" s="14">
        <f>IFERROR(__xludf.DUMMYFUNCTION("""COMPUTED_VALUE"""),305.0)</f>
        <v>305</v>
      </c>
      <c r="D165" s="15">
        <f>IFERROR(__xludf.DUMMYFUNCTION("""COMPUTED_VALUE"""),0.37778537206736623)</f>
        <v>0.3777853721</v>
      </c>
      <c r="E165" s="15">
        <f>IFERROR(__xludf.DUMMYFUNCTION("""COMPUTED_VALUE"""),-3.5078316843579773)</f>
        <v>-3.507831684</v>
      </c>
      <c r="F165" s="15">
        <f>IFERROR(__xludf.DUMMYFUNCTION("""COMPUTED_VALUE"""),-3.1300463122906113)</f>
        <v>-3.130046312</v>
      </c>
      <c r="G165" s="17">
        <f>IFERROR(__xludf.DUMMYFUNCTION("""COMPUTED_VALUE"""),-0.10519209336218571)</f>
        <v>-0.1051920934</v>
      </c>
      <c r="H165" s="4"/>
      <c r="I165" s="5" t="s">
        <v>1871</v>
      </c>
      <c r="J165" s="5" t="s">
        <v>1643</v>
      </c>
      <c r="K165" s="5">
        <v>570.0</v>
      </c>
      <c r="L165" s="5">
        <v>-2.754484</v>
      </c>
      <c r="M165" s="5">
        <v>-0.356253</v>
      </c>
      <c r="N165" s="5">
        <v>-3.110738</v>
      </c>
      <c r="O165" s="5">
        <v>-0.193523</v>
      </c>
    </row>
    <row r="166">
      <c r="A166" s="18" t="str">
        <f>IFERROR(__xludf.DUMMYFUNCTION("""COMPUTED_VALUE"""),"Jeff Allen")</f>
        <v>Jeff Allen</v>
      </c>
      <c r="B166" s="19" t="str">
        <f>IFERROR(__xludf.DUMMYFUNCTION("""COMPUTED_VALUE"""),"HAP")</f>
        <v>HAP</v>
      </c>
      <c r="C166" s="20">
        <f>IFERROR(__xludf.DUMMYFUNCTION("""COMPUTED_VALUE"""),204.0)</f>
        <v>204</v>
      </c>
      <c r="D166" s="21">
        <f>IFERROR(__xludf.DUMMYFUNCTION("""COMPUTED_VALUE"""),-3.5608501871148306)</f>
        <v>-3.560850187</v>
      </c>
      <c r="E166" s="21">
        <f>IFERROR(__xludf.DUMMYFUNCTION("""COMPUTED_VALUE"""),0.4263851213775891)</f>
        <v>0.4263851214</v>
      </c>
      <c r="F166" s="21">
        <f>IFERROR(__xludf.DUMMYFUNCTION("""COMPUTED_VALUE"""),-3.1344650657372415)</f>
        <v>-3.134465066</v>
      </c>
      <c r="G166" s="23">
        <f>IFERROR(__xludf.DUMMYFUNCTION("""COMPUTED_VALUE"""),-0.14216915783768802)</f>
        <v>-0.1421691578</v>
      </c>
      <c r="H166" s="4"/>
      <c r="I166" s="5" t="s">
        <v>1777</v>
      </c>
      <c r="J166" s="5" t="s">
        <v>1546</v>
      </c>
      <c r="K166" s="5">
        <v>86.0</v>
      </c>
      <c r="L166" s="5">
        <v>-3.388223</v>
      </c>
      <c r="M166" s="5">
        <v>0.191081</v>
      </c>
      <c r="N166" s="5">
        <v>-3.197142</v>
      </c>
      <c r="O166" s="5">
        <v>-0.031477</v>
      </c>
    </row>
    <row r="167">
      <c r="A167" s="12" t="str">
        <f>IFERROR(__xludf.DUMMYFUNCTION("""COMPUTED_VALUE"""),"Damion James")</f>
        <v>Damion James</v>
      </c>
      <c r="B167" s="13" t="str">
        <f>IFERROR(__xludf.DUMMYFUNCTION("""COMPUTED_VALUE"""),"EIL")</f>
        <v>EIL</v>
      </c>
      <c r="C167" s="14">
        <f>IFERROR(__xludf.DUMMYFUNCTION("""COMPUTED_VALUE"""),86.0)</f>
        <v>86</v>
      </c>
      <c r="D167" s="15">
        <f>IFERROR(__xludf.DUMMYFUNCTION("""COMPUTED_VALUE"""),-3.3339432524891803)</f>
        <v>-3.333943252</v>
      </c>
      <c r="E167" s="15">
        <f>IFERROR(__xludf.DUMMYFUNCTION("""COMPUTED_VALUE"""),0.15313193571388917)</f>
        <v>0.1531319357</v>
      </c>
      <c r="F167" s="15">
        <f>IFERROR(__xludf.DUMMYFUNCTION("""COMPUTED_VALUE"""),-3.180811316775291)</f>
        <v>-3.180811317</v>
      </c>
      <c r="G167" s="17">
        <f>IFERROR(__xludf.DUMMYFUNCTION("""COMPUTED_VALUE"""),-0.031080939842083214)</f>
        <v>-0.03108093984</v>
      </c>
      <c r="H167" s="4"/>
      <c r="I167" s="5" t="s">
        <v>1872</v>
      </c>
      <c r="J167" s="5" t="s">
        <v>1621</v>
      </c>
      <c r="K167" s="5">
        <v>272.0</v>
      </c>
      <c r="L167" s="5">
        <v>0.01144</v>
      </c>
      <c r="M167" s="5">
        <v>-3.216547</v>
      </c>
      <c r="N167" s="5">
        <v>-3.205108</v>
      </c>
      <c r="O167" s="5">
        <v>-0.100045</v>
      </c>
    </row>
    <row r="168">
      <c r="A168" s="18" t="str">
        <f>IFERROR(__xludf.DUMMYFUNCTION("""COMPUTED_VALUE"""),"Ram Elias-Pour")</f>
        <v>Ram Elias-Pour</v>
      </c>
      <c r="B168" s="19" t="str">
        <f>IFERROR(__xludf.DUMMYFUNCTION("""COMPUTED_VALUE"""),"HAPJ")</f>
        <v>HAPJ</v>
      </c>
      <c r="C168" s="20">
        <f>IFERROR(__xludf.DUMMYFUNCTION("""COMPUTED_VALUE"""),136.0)</f>
        <v>136</v>
      </c>
      <c r="D168" s="21">
        <f>IFERROR(__xludf.DUMMYFUNCTION("""COMPUTED_VALUE"""),-3.3650053548856156)</f>
        <v>-3.365005355</v>
      </c>
      <c r="E168" s="21">
        <f>IFERROR(__xludf.DUMMYFUNCTION("""COMPUTED_VALUE"""),0.17069844624174024)</f>
        <v>0.1706984462</v>
      </c>
      <c r="F168" s="21">
        <f>IFERROR(__xludf.DUMMYFUNCTION("""COMPUTED_VALUE"""),-3.1943069086438753)</f>
        <v>-3.194306909</v>
      </c>
      <c r="G168" s="23">
        <f>IFERROR(__xludf.DUMMYFUNCTION("""COMPUTED_VALUE"""),-0.04908729925744121)</f>
        <v>-0.04908729926</v>
      </c>
      <c r="H168" s="4"/>
      <c r="I168" s="5" t="s">
        <v>1875</v>
      </c>
      <c r="J168" s="5" t="s">
        <v>1621</v>
      </c>
      <c r="K168" s="5">
        <v>534.0</v>
      </c>
      <c r="L168" s="5">
        <v>-1.148327</v>
      </c>
      <c r="M168" s="5">
        <v>-2.155106</v>
      </c>
      <c r="N168" s="5">
        <v>-3.303433</v>
      </c>
      <c r="O168" s="5">
        <v>-0.212438</v>
      </c>
    </row>
    <row r="169">
      <c r="A169" s="12" t="str">
        <f>IFERROR(__xludf.DUMMYFUNCTION("""COMPUTED_VALUE"""),"Stu Douglass")</f>
        <v>Stu Douglass</v>
      </c>
      <c r="B169" s="13" t="str">
        <f>IFERROR(__xludf.DUMMYFUNCTION("""COMPUTED_VALUE"""),"NAH")</f>
        <v>NAH</v>
      </c>
      <c r="C169" s="14">
        <f>IFERROR(__xludf.DUMMYFUNCTION("""COMPUTED_VALUE"""),549.0)</f>
        <v>549</v>
      </c>
      <c r="D169" s="15">
        <f>IFERROR(__xludf.DUMMYFUNCTION("""COMPUTED_VALUE"""),-1.1598354399546071)</f>
        <v>-1.15983544</v>
      </c>
      <c r="E169" s="15">
        <f>IFERROR(__xludf.DUMMYFUNCTION("""COMPUTED_VALUE"""),-2.162376670062015)</f>
        <v>-2.16237667</v>
      </c>
      <c r="F169" s="15">
        <f>IFERROR(__xludf.DUMMYFUNCTION("""COMPUTED_VALUE"""),-3.322212110016622)</f>
        <v>-3.32221211</v>
      </c>
      <c r="G169" s="17">
        <f>IFERROR(__xludf.DUMMYFUNCTION("""COMPUTED_VALUE"""),-0.22154425422723972)</f>
        <v>-0.2215442542</v>
      </c>
      <c r="H169" s="4"/>
      <c r="I169" s="5" t="s">
        <v>1876</v>
      </c>
      <c r="J169" s="5" t="s">
        <v>1543</v>
      </c>
      <c r="K169" s="5">
        <v>675.0</v>
      </c>
      <c r="L169" s="5">
        <v>-0.767142</v>
      </c>
      <c r="M169" s="5">
        <v>-2.552462</v>
      </c>
      <c r="N169" s="5">
        <v>-3.319605</v>
      </c>
      <c r="O169" s="5">
        <v>-0.54716</v>
      </c>
    </row>
    <row r="170">
      <c r="A170" s="18" t="str">
        <f>IFERROR(__xludf.DUMMYFUNCTION("""COMPUTED_VALUE"""),"Norris Cole")</f>
        <v>Norris Cole</v>
      </c>
      <c r="B170" s="19" t="str">
        <f>IFERROR(__xludf.DUMMYFUNCTION("""COMPUTED_VALUE"""),"MAC")</f>
        <v>MAC</v>
      </c>
      <c r="C170" s="20">
        <f>IFERROR(__xludf.DUMMYFUNCTION("""COMPUTED_VALUE"""),733.0)</f>
        <v>733</v>
      </c>
      <c r="D170" s="21">
        <f>IFERROR(__xludf.DUMMYFUNCTION("""COMPUTED_VALUE"""),-2.714326147354675)</f>
        <v>-2.714326147</v>
      </c>
      <c r="E170" s="21">
        <f>IFERROR(__xludf.DUMMYFUNCTION("""COMPUTED_VALUE"""),-0.7496330206925532)</f>
        <v>-0.7496330207</v>
      </c>
      <c r="F170" s="21">
        <f>IFERROR(__xludf.DUMMYFUNCTION("""COMPUTED_VALUE"""),-3.463959168047228)</f>
        <v>-3.463959168</v>
      </c>
      <c r="G170" s="23">
        <f>IFERROR(__xludf.DUMMYFUNCTION("""COMPUTED_VALUE"""),-0.3261973038925722)</f>
        <v>-0.3261973039</v>
      </c>
      <c r="H170" s="4"/>
      <c r="I170" s="5" t="s">
        <v>1879</v>
      </c>
      <c r="J170" s="5" t="s">
        <v>1572</v>
      </c>
      <c r="K170" s="5">
        <v>120.0</v>
      </c>
      <c r="L170" s="5">
        <v>-3.152192</v>
      </c>
      <c r="M170" s="5">
        <v>-0.244025</v>
      </c>
      <c r="N170" s="5">
        <v>-3.396217</v>
      </c>
      <c r="O170" s="5">
        <v>-0.050748</v>
      </c>
    </row>
    <row r="171">
      <c r="A171" s="12" t="str">
        <f>IFERROR(__xludf.DUMMYFUNCTION("""COMPUTED_VALUE"""),"Oded David Brandwein")</f>
        <v>Oded David Brandwein</v>
      </c>
      <c r="B171" s="13" t="str">
        <f>IFERROR(__xludf.DUMMYFUNCTION("""COMPUTED_VALUE"""),"HAI")</f>
        <v>HAI</v>
      </c>
      <c r="C171" s="14">
        <f>IFERROR(__xludf.DUMMYFUNCTION("""COMPUTED_VALUE"""),130.5)</f>
        <v>130.5</v>
      </c>
      <c r="D171" s="15">
        <f>IFERROR(__xludf.DUMMYFUNCTION("""COMPUTED_VALUE"""),-1.5319324962798344)</f>
        <v>-1.531932496</v>
      </c>
      <c r="E171" s="15">
        <f>IFERROR(__xludf.DUMMYFUNCTION("""COMPUTED_VALUE"""),-2.046694509221993)</f>
        <v>-2.046694509</v>
      </c>
      <c r="F171" s="15">
        <f>IFERROR(__xludf.DUMMYFUNCTION("""COMPUTED_VALUE"""),-3.5786270055018274)</f>
        <v>-3.578627006</v>
      </c>
      <c r="G171" s="17">
        <f>IFERROR(__xludf.DUMMYFUNCTION("""COMPUTED_VALUE"""),-0.06530150843739549)</f>
        <v>-0.06530150844</v>
      </c>
      <c r="H171" s="4"/>
      <c r="I171" s="5" t="s">
        <v>1880</v>
      </c>
      <c r="J171" s="5" t="s">
        <v>1606</v>
      </c>
      <c r="K171" s="5">
        <v>434.0</v>
      </c>
      <c r="L171" s="5">
        <v>-1.043535</v>
      </c>
      <c r="M171" s="5">
        <v>-2.368157</v>
      </c>
      <c r="N171" s="5">
        <v>-3.411692</v>
      </c>
      <c r="O171" s="5">
        <v>-0.194132</v>
      </c>
    </row>
    <row r="172">
      <c r="A172" s="18" t="str">
        <f>IFERROR(__xludf.DUMMYFUNCTION("""COMPUTED_VALUE"""),"Raviv Limonad")</f>
        <v>Raviv Limonad</v>
      </c>
      <c r="B172" s="19" t="str">
        <f>IFERROR(__xludf.DUMMYFUNCTION("""COMPUTED_VALUE"""),"HAP")</f>
        <v>HAP</v>
      </c>
      <c r="C172" s="20">
        <f>IFERROR(__xludf.DUMMYFUNCTION("""COMPUTED_VALUE"""),989.0)</f>
        <v>989</v>
      </c>
      <c r="D172" s="21">
        <f>IFERROR(__xludf.DUMMYFUNCTION("""COMPUTED_VALUE"""),-1.2884023261190256)</f>
        <v>-1.288402326</v>
      </c>
      <c r="E172" s="21">
        <f>IFERROR(__xludf.DUMMYFUNCTION("""COMPUTED_VALUE"""),-2.429736298962265)</f>
        <v>-2.429736299</v>
      </c>
      <c r="F172" s="21">
        <f>IFERROR(__xludf.DUMMYFUNCTION("""COMPUTED_VALUE"""),-3.7181386250812904)</f>
        <v>-3.718138625</v>
      </c>
      <c r="G172" s="23">
        <f>IFERROR(__xludf.DUMMYFUNCTION("""COMPUTED_VALUE"""),-1.0438511866680737)</f>
        <v>-1.043851187</v>
      </c>
      <c r="H172" s="4"/>
      <c r="I172" s="5" t="s">
        <v>1881</v>
      </c>
      <c r="J172" s="5" t="s">
        <v>1621</v>
      </c>
      <c r="K172" s="5">
        <v>307.0</v>
      </c>
      <c r="L172" s="5">
        <v>-1.768837</v>
      </c>
      <c r="M172" s="5">
        <v>-1.646345</v>
      </c>
      <c r="N172" s="5">
        <v>-3.415183</v>
      </c>
      <c r="O172" s="5">
        <v>-0.132603</v>
      </c>
    </row>
    <row r="173">
      <c r="A173" s="12" t="str">
        <f>IFERROR(__xludf.DUMMYFUNCTION("""COMPUTED_VALUE"""),"Alexey Tzubrevitch")</f>
        <v>Alexey Tzubrevitch</v>
      </c>
      <c r="B173" s="13" t="str">
        <f>IFERROR(__xludf.DUMMYFUNCTION("""COMPUTED_VALUE"""),"ASH")</f>
        <v>ASH</v>
      </c>
      <c r="C173" s="14">
        <f>IFERROR(__xludf.DUMMYFUNCTION("""COMPUTED_VALUE"""),676.0)</f>
        <v>676</v>
      </c>
      <c r="D173" s="15">
        <f>IFERROR(__xludf.DUMMYFUNCTION("""COMPUTED_VALUE"""),-6.6181449292275945)</f>
        <v>-6.618144929</v>
      </c>
      <c r="E173" s="15">
        <f>IFERROR(__xludf.DUMMYFUNCTION("""COMPUTED_VALUE"""),2.855460682191493)</f>
        <v>2.855460682</v>
      </c>
      <c r="F173" s="15">
        <f>IFERROR(__xludf.DUMMYFUNCTION("""COMPUTED_VALUE"""),-3.7626842470361015)</f>
        <v>-3.762684247</v>
      </c>
      <c r="G173" s="17">
        <f>IFERROR(__xludf.DUMMYFUNCTION("""COMPUTED_VALUE"""),-0.3738954712411121)</f>
        <v>-0.3738954712</v>
      </c>
      <c r="H173" s="4"/>
      <c r="I173" s="5" t="s">
        <v>1882</v>
      </c>
      <c r="J173" s="5" t="s">
        <v>1643</v>
      </c>
      <c r="K173" s="5">
        <v>327.0</v>
      </c>
      <c r="L173" s="5">
        <v>-2.955195</v>
      </c>
      <c r="M173" s="5">
        <v>-0.619498</v>
      </c>
      <c r="N173" s="5">
        <v>-3.574693</v>
      </c>
      <c r="O173" s="5">
        <v>-0.157395</v>
      </c>
    </row>
    <row r="174">
      <c r="A174" s="18" t="str">
        <f>IFERROR(__xludf.DUMMYFUNCTION("""COMPUTED_VALUE"""),"Trevor Gaskins")</f>
        <v>Trevor Gaskins</v>
      </c>
      <c r="B174" s="19" t="str">
        <f>IFERROR(__xludf.DUMMYFUNCTION("""COMPUTED_VALUE"""),"HAI")</f>
        <v>HAI</v>
      </c>
      <c r="C174" s="20">
        <f>IFERROR(__xludf.DUMMYFUNCTION("""COMPUTED_VALUE"""),456.0)</f>
        <v>456</v>
      </c>
      <c r="D174" s="21">
        <f>IFERROR(__xludf.DUMMYFUNCTION("""COMPUTED_VALUE"""),-1.41237267188295)</f>
        <v>-1.412372672</v>
      </c>
      <c r="E174" s="21">
        <f>IFERROR(__xludf.DUMMYFUNCTION("""COMPUTED_VALUE"""),-2.3618623763087507)</f>
        <v>-2.361862376</v>
      </c>
      <c r="F174" s="21">
        <f>IFERROR(__xludf.DUMMYFUNCTION("""COMPUTED_VALUE"""),-3.7742350481917004)</f>
        <v>-3.774235048</v>
      </c>
      <c r="G174" s="23">
        <f>IFERROR(__xludf.DUMMYFUNCTION("""COMPUTED_VALUE"""),-0.2564538188058915)</f>
        <v>-0.2564538188</v>
      </c>
      <c r="H174" s="4"/>
      <c r="I174" s="5" t="s">
        <v>1885</v>
      </c>
      <c r="J174" s="5" t="s">
        <v>1592</v>
      </c>
      <c r="K174" s="5">
        <v>453.0</v>
      </c>
      <c r="L174" s="5">
        <v>-2.515883</v>
      </c>
      <c r="M174" s="5">
        <v>-1.077002</v>
      </c>
      <c r="N174" s="5">
        <v>-3.592885</v>
      </c>
      <c r="O174" s="5">
        <v>-0.21822</v>
      </c>
    </row>
    <row r="175">
      <c r="A175" s="12" t="str">
        <f>IFERROR(__xludf.DUMMYFUNCTION("""COMPUTED_VALUE"""),"Idan Zalmanson")</f>
        <v>Idan Zalmanson</v>
      </c>
      <c r="B175" s="13" t="str">
        <f>IFERROR(__xludf.DUMMYFUNCTION("""COMPUTED_VALUE"""),"MRL")</f>
        <v>MRL</v>
      </c>
      <c r="C175" s="14">
        <f>IFERROR(__xludf.DUMMYFUNCTION("""COMPUTED_VALUE"""),619.0)</f>
        <v>619</v>
      </c>
      <c r="D175" s="15">
        <f>IFERROR(__xludf.DUMMYFUNCTION("""COMPUTED_VALUE"""),-2.855817766093738)</f>
        <v>-2.855817766</v>
      </c>
      <c r="E175" s="15">
        <f>IFERROR(__xludf.DUMMYFUNCTION("""COMPUTED_VALUE"""),-0.9348410774626537)</f>
        <v>-0.9348410775</v>
      </c>
      <c r="F175" s="15">
        <f>IFERROR(__xludf.DUMMYFUNCTION("""COMPUTED_VALUE"""),-3.7906588435563915)</f>
        <v>-3.790658844</v>
      </c>
      <c r="G175" s="17">
        <f>IFERROR(__xludf.DUMMYFUNCTION("""COMPUTED_VALUE"""),-0.34286747715009475)</f>
        <v>-0.3428674772</v>
      </c>
      <c r="H175" s="4"/>
      <c r="I175" s="5" t="s">
        <v>1888</v>
      </c>
      <c r="J175" s="5" t="s">
        <v>1606</v>
      </c>
      <c r="K175" s="5">
        <v>121.0</v>
      </c>
      <c r="L175" s="5">
        <v>-1.571308</v>
      </c>
      <c r="M175" s="5">
        <v>-2.060852</v>
      </c>
      <c r="N175" s="5">
        <v>-3.63216</v>
      </c>
      <c r="O175" s="5">
        <v>-0.062318</v>
      </c>
    </row>
    <row r="176">
      <c r="A176" s="18" t="str">
        <f>IFERROR(__xludf.DUMMYFUNCTION("""COMPUTED_VALUE"""),"Sam Singer")</f>
        <v>Sam Singer</v>
      </c>
      <c r="B176" s="19" t="str">
        <f>IFERROR(__xludf.DUMMYFUNCTION("""COMPUTED_VALUE"""),"BHS")</f>
        <v>BHS</v>
      </c>
      <c r="C176" s="20">
        <f>IFERROR(__xludf.DUMMYFUNCTION("""COMPUTED_VALUE"""),339.0)</f>
        <v>339</v>
      </c>
      <c r="D176" s="21">
        <f>IFERROR(__xludf.DUMMYFUNCTION("""COMPUTED_VALUE"""),-3.1466468023178216)</f>
        <v>-3.146646802</v>
      </c>
      <c r="E176" s="21">
        <f>IFERROR(__xludf.DUMMYFUNCTION("""COMPUTED_VALUE"""),-0.664142235973781)</f>
        <v>-0.664142236</v>
      </c>
      <c r="F176" s="21">
        <f>IFERROR(__xludf.DUMMYFUNCTION("""COMPUTED_VALUE"""),-3.8107890382916025)</f>
        <v>-3.810789038</v>
      </c>
      <c r="G176" s="23">
        <f>IFERROR(__xludf.DUMMYFUNCTION("""COMPUTED_VALUE"""),-0.188034866013019)</f>
        <v>-0.188034866</v>
      </c>
      <c r="H176" s="4"/>
      <c r="I176" s="5" t="s">
        <v>1890</v>
      </c>
      <c r="J176" s="5" t="s">
        <v>1543</v>
      </c>
      <c r="K176" s="5">
        <v>846.0</v>
      </c>
      <c r="L176" s="5">
        <v>-1.296221</v>
      </c>
      <c r="M176" s="5">
        <v>-2.473944</v>
      </c>
      <c r="N176" s="5">
        <v>-3.770165</v>
      </c>
      <c r="O176" s="5">
        <v>-0.919921</v>
      </c>
    </row>
    <row r="177">
      <c r="A177" s="12" t="str">
        <f>IFERROR(__xludf.DUMMYFUNCTION("""COMPUTED_VALUE"""),"Guni Israeli")</f>
        <v>Guni Israeli</v>
      </c>
      <c r="B177" s="13" t="str">
        <f>IFERROR(__xludf.DUMMYFUNCTION("""COMPUTED_VALUE"""),"HAI")</f>
        <v>HAI</v>
      </c>
      <c r="C177" s="14">
        <f>IFERROR(__xludf.DUMMYFUNCTION("""COMPUTED_VALUE"""),152.5)</f>
        <v>152.5</v>
      </c>
      <c r="D177" s="15">
        <f>IFERROR(__xludf.DUMMYFUNCTION("""COMPUTED_VALUE"""),-3.237562358053273)</f>
        <v>-3.237562358</v>
      </c>
      <c r="E177" s="15">
        <f>IFERROR(__xludf.DUMMYFUNCTION("""COMPUTED_VALUE"""),-0.5813436768169642)</f>
        <v>-0.5813436768</v>
      </c>
      <c r="F177" s="15">
        <f>IFERROR(__xludf.DUMMYFUNCTION("""COMPUTED_VALUE"""),-3.818906034870237)</f>
        <v>-3.818906035</v>
      </c>
      <c r="G177" s="17">
        <f>IFERROR(__xludf.DUMMYFUNCTION("""COMPUTED_VALUE"""),-0.08792518308517057)</f>
        <v>-0.08792518309</v>
      </c>
      <c r="H177" s="4"/>
      <c r="I177" s="5" t="s">
        <v>1892</v>
      </c>
      <c r="J177" s="5" t="s">
        <v>1546</v>
      </c>
      <c r="K177" s="5">
        <v>138.0</v>
      </c>
      <c r="L177" s="5">
        <v>-3.294886</v>
      </c>
      <c r="M177" s="5">
        <v>-0.513099</v>
      </c>
      <c r="N177" s="5">
        <v>-3.807986</v>
      </c>
      <c r="O177" s="5">
        <v>-0.076282</v>
      </c>
    </row>
    <row r="178">
      <c r="A178" s="18" t="str">
        <f>IFERROR(__xludf.DUMMYFUNCTION("""COMPUTED_VALUE"""),"Alando Tucker")</f>
        <v>Alando Tucker</v>
      </c>
      <c r="B178" s="19" t="str">
        <f>IFERROR(__xludf.DUMMYFUNCTION("""COMPUTED_VALUE"""),"EIL")</f>
        <v>EIL</v>
      </c>
      <c r="C178" s="20">
        <f>IFERROR(__xludf.DUMMYFUNCTION("""COMPUTED_VALUE"""),127.0)</f>
        <v>127</v>
      </c>
      <c r="D178" s="21">
        <f>IFERROR(__xludf.DUMMYFUNCTION("""COMPUTED_VALUE"""),-2.6966714496342283)</f>
        <v>-2.69667145</v>
      </c>
      <c r="E178" s="21">
        <f>IFERROR(__xludf.DUMMYFUNCTION("""COMPUTED_VALUE"""),-1.1420182149171194)</f>
        <v>-1.142018215</v>
      </c>
      <c r="F178" s="21">
        <f>IFERROR(__xludf.DUMMYFUNCTION("""COMPUTED_VALUE"""),-3.8386896645513477)</f>
        <v>-3.838689665</v>
      </c>
      <c r="G178" s="23">
        <f>IFERROR(__xludf.DUMMYFUNCTION("""COMPUTED_VALUE"""),-0.07147058561010085)</f>
        <v>-0.07147058561</v>
      </c>
      <c r="H178" s="4"/>
      <c r="I178" s="5" t="s">
        <v>1896</v>
      </c>
      <c r="J178" s="5" t="s">
        <v>1606</v>
      </c>
      <c r="K178" s="5">
        <v>153.0</v>
      </c>
      <c r="L178" s="5">
        <v>-3.168284</v>
      </c>
      <c r="M178" s="5">
        <v>-0.682432</v>
      </c>
      <c r="N178" s="5">
        <v>-3.850716</v>
      </c>
      <c r="O178" s="5">
        <v>-0.089429</v>
      </c>
    </row>
    <row r="179">
      <c r="A179" s="12" t="str">
        <f>IFERROR(__xludf.DUMMYFUNCTION("""COMPUTED_VALUE"""),"ZIv Ben-Zvi")</f>
        <v>ZIv Ben-Zvi</v>
      </c>
      <c r="B179" s="13" t="str">
        <f>IFERROR(__xludf.DUMMYFUNCTION("""COMPUTED_VALUE"""),"NAH")</f>
        <v>NAH</v>
      </c>
      <c r="C179" s="14">
        <f>IFERROR(__xludf.DUMMYFUNCTION("""COMPUTED_VALUE"""),319.0)</f>
        <v>319</v>
      </c>
      <c r="D179" s="15">
        <f>IFERROR(__xludf.DUMMYFUNCTION("""COMPUTED_VALUE"""),-2.2362980870164764)</f>
        <v>-2.236298087</v>
      </c>
      <c r="E179" s="15">
        <f>IFERROR(__xludf.DUMMYFUNCTION("""COMPUTED_VALUE"""),-1.6376691661697986)</f>
        <v>-1.637669166</v>
      </c>
      <c r="F179" s="15">
        <f>IFERROR(__xludf.DUMMYFUNCTION("""COMPUTED_VALUE"""),-3.873967253186275)</f>
        <v>-3.873967253</v>
      </c>
      <c r="G179" s="17">
        <f>IFERROR(__xludf.DUMMYFUNCTION("""COMPUTED_VALUE"""),-0.18244824771923585)</f>
        <v>-0.1824482477</v>
      </c>
      <c r="H179" s="4"/>
      <c r="I179" s="5" t="s">
        <v>1898</v>
      </c>
      <c r="J179" s="5" t="s">
        <v>1546</v>
      </c>
      <c r="K179" s="5">
        <v>127.0</v>
      </c>
      <c r="L179" s="5">
        <v>-2.781534</v>
      </c>
      <c r="M179" s="5">
        <v>-1.086009</v>
      </c>
      <c r="N179" s="5">
        <v>-3.867543</v>
      </c>
      <c r="O179" s="5">
        <v>-0.072514</v>
      </c>
    </row>
    <row r="180">
      <c r="A180" s="18" t="str">
        <f>IFERROR(__xludf.DUMMYFUNCTION("""COMPUTED_VALUE"""),"Spencer Weisz")</f>
        <v>Spencer Weisz</v>
      </c>
      <c r="B180" s="19" t="str">
        <f>IFERROR(__xludf.DUMMYFUNCTION("""COMPUTED_VALUE"""),"GAL")</f>
        <v>GAL</v>
      </c>
      <c r="C180" s="20">
        <f>IFERROR(__xludf.DUMMYFUNCTION("""COMPUTED_VALUE"""),514.0)</f>
        <v>514</v>
      </c>
      <c r="D180" s="21">
        <f>IFERROR(__xludf.DUMMYFUNCTION("""COMPUTED_VALUE"""),-2.5365845772283864)</f>
        <v>-2.536584577</v>
      </c>
      <c r="E180" s="21">
        <f>IFERROR(__xludf.DUMMYFUNCTION("""COMPUTED_VALUE"""),-1.386933208002934)</f>
        <v>-1.386933208</v>
      </c>
      <c r="F180" s="21">
        <f>IFERROR(__xludf.DUMMYFUNCTION("""COMPUTED_VALUE"""),-3.9235177852313203)</f>
        <v>-3.923517785</v>
      </c>
      <c r="G180" s="23">
        <f>IFERROR(__xludf.DUMMYFUNCTION("""COMPUTED_VALUE"""),-0.3466319976455858)</f>
        <v>-0.3466319976</v>
      </c>
      <c r="H180" s="4"/>
      <c r="I180" s="5" t="s">
        <v>1901</v>
      </c>
      <c r="J180" s="5" t="s">
        <v>1567</v>
      </c>
      <c r="K180" s="5">
        <v>257.0</v>
      </c>
      <c r="L180" s="5">
        <v>-3.75559</v>
      </c>
      <c r="M180" s="5">
        <v>-0.164268</v>
      </c>
      <c r="N180" s="5">
        <v>-3.919858</v>
      </c>
      <c r="O180" s="5">
        <v>-0.152622</v>
      </c>
    </row>
    <row r="181">
      <c r="A181" s="12" t="str">
        <f>IFERROR(__xludf.DUMMYFUNCTION("""COMPUTED_VALUE"""),"Yaniv Solomon")</f>
        <v>Yaniv Solomon</v>
      </c>
      <c r="B181" s="13" t="str">
        <f>IFERROR(__xludf.DUMMYFUNCTION("""COMPUTED_VALUE"""),"MRL")</f>
        <v>MRL</v>
      </c>
      <c r="C181" s="14">
        <f>IFERROR(__xludf.DUMMYFUNCTION("""COMPUTED_VALUE"""),268.0)</f>
        <v>268</v>
      </c>
      <c r="D181" s="15">
        <f>IFERROR(__xludf.DUMMYFUNCTION("""COMPUTED_VALUE"""),-4.136064802011691)</f>
        <v>-4.136064802</v>
      </c>
      <c r="E181" s="15">
        <f>IFERROR(__xludf.DUMMYFUNCTION("""COMPUTED_VALUE"""),0.13904264032331337)</f>
        <v>0.1390426403</v>
      </c>
      <c r="F181" s="15">
        <f>IFERROR(__xludf.DUMMYFUNCTION("""COMPUTED_VALUE"""),-3.9970221616883777)</f>
        <v>-3.997022162</v>
      </c>
      <c r="G181" s="17">
        <f>IFERROR(__xludf.DUMMYFUNCTION("""COMPUTED_VALUE"""),-0.16555430155013978)</f>
        <v>-0.1655543016</v>
      </c>
      <c r="H181" s="4"/>
      <c r="I181" s="5" t="s">
        <v>1903</v>
      </c>
      <c r="J181" s="5" t="s">
        <v>1567</v>
      </c>
      <c r="K181" s="5">
        <v>599.0</v>
      </c>
      <c r="L181" s="5">
        <v>-2.867621</v>
      </c>
      <c r="M181" s="5">
        <v>-1.101639</v>
      </c>
      <c r="N181" s="5">
        <v>-3.96926</v>
      </c>
      <c r="O181" s="5">
        <v>-0.364875</v>
      </c>
    </row>
    <row r="182">
      <c r="A182" s="18" t="str">
        <f>IFERROR(__xludf.DUMMYFUNCTION("""COMPUTED_VALUE"""),"Zach Graham")</f>
        <v>Zach Graham</v>
      </c>
      <c r="B182" s="19" t="str">
        <f>IFERROR(__xludf.DUMMYFUNCTION("""COMPUTED_VALUE"""),"HAI")</f>
        <v>HAI</v>
      </c>
      <c r="C182" s="20">
        <f>IFERROR(__xludf.DUMMYFUNCTION("""COMPUTED_VALUE"""),491.0)</f>
        <v>491</v>
      </c>
      <c r="D182" s="21">
        <f>IFERROR(__xludf.DUMMYFUNCTION("""COMPUTED_VALUE"""),-2.4051911003414874)</f>
        <v>-2.4051911</v>
      </c>
      <c r="E182" s="21">
        <f>IFERROR(__xludf.DUMMYFUNCTION("""COMPUTED_VALUE"""),-1.8135367595602432)</f>
        <v>-1.81353676</v>
      </c>
      <c r="F182" s="21">
        <f>IFERROR(__xludf.DUMMYFUNCTION("""COMPUTED_VALUE"""),-4.218727859901731)</f>
        <v>-4.21872786</v>
      </c>
      <c r="G182" s="23">
        <f>IFERROR(__xludf.DUMMYFUNCTION("""COMPUTED_VALUE"""),-0.3453175910406556)</f>
        <v>-0.345317591</v>
      </c>
      <c r="H182" s="4"/>
      <c r="I182" s="5" t="s">
        <v>1904</v>
      </c>
      <c r="J182" s="5" t="s">
        <v>1592</v>
      </c>
      <c r="K182" s="5">
        <v>452.0</v>
      </c>
      <c r="L182" s="5">
        <v>-3.183138</v>
      </c>
      <c r="M182" s="5">
        <v>-0.934147</v>
      </c>
      <c r="N182" s="5">
        <v>-4.117285</v>
      </c>
      <c r="O182" s="5">
        <v>-0.289421</v>
      </c>
    </row>
    <row r="183">
      <c r="A183" s="12" t="str">
        <f>IFERROR(__xludf.DUMMYFUNCTION("""COMPUTED_VALUE"""),"Will Graves")</f>
        <v>Will Graves</v>
      </c>
      <c r="B183" s="13" t="str">
        <f>IFERROR(__xludf.DUMMYFUNCTION("""COMPUTED_VALUE"""),"HAI")</f>
        <v>HAI</v>
      </c>
      <c r="C183" s="14">
        <f>IFERROR(__xludf.DUMMYFUNCTION("""COMPUTED_VALUE"""),103.0)</f>
        <v>103</v>
      </c>
      <c r="D183" s="15">
        <f>IFERROR(__xludf.DUMMYFUNCTION("""COMPUTED_VALUE"""),-3.7334897512590755)</f>
        <v>-3.733489751</v>
      </c>
      <c r="E183" s="15">
        <f>IFERROR(__xludf.DUMMYFUNCTION("""COMPUTED_VALUE"""),-0.60301146920995)</f>
        <v>-0.6030114692</v>
      </c>
      <c r="F183" s="15">
        <f>IFERROR(__xludf.DUMMYFUNCTION("""COMPUTED_VALUE"""),-4.336501220469025)</f>
        <v>-4.33650122</v>
      </c>
      <c r="G183" s="17">
        <f>IFERROR(__xludf.DUMMYFUNCTION("""COMPUTED_VALUE"""),-0.07628451873044534)</f>
        <v>-0.07628451873</v>
      </c>
      <c r="H183" s="4"/>
      <c r="I183" s="5" t="s">
        <v>485</v>
      </c>
      <c r="J183" s="5" t="s">
        <v>64</v>
      </c>
      <c r="K183" s="5">
        <v>565.0</v>
      </c>
      <c r="L183" s="5">
        <v>-2.858598</v>
      </c>
      <c r="M183" s="5">
        <v>-1.358767</v>
      </c>
      <c r="N183" s="5">
        <v>-4.217365</v>
      </c>
      <c r="O183" s="5">
        <v>-0.38035</v>
      </c>
    </row>
    <row r="184">
      <c r="A184" s="18" t="str">
        <f>IFERROR(__xludf.DUMMYFUNCTION("""COMPUTED_VALUE"""),"Daniel Koperberg")</f>
        <v>Daniel Koperberg</v>
      </c>
      <c r="B184" s="19" t="str">
        <f>IFERROR(__xludf.DUMMYFUNCTION("""COMPUTED_VALUE"""),"HAI")</f>
        <v>HAI</v>
      </c>
      <c r="C184" s="20">
        <f>IFERROR(__xludf.DUMMYFUNCTION("""COMPUTED_VALUE"""),208.0)</f>
        <v>208</v>
      </c>
      <c r="D184" s="21">
        <f>IFERROR(__xludf.DUMMYFUNCTION("""COMPUTED_VALUE"""),-4.085554124361274)</f>
        <v>-4.085554124</v>
      </c>
      <c r="E184" s="21">
        <f>IFERROR(__xludf.DUMMYFUNCTION("""COMPUTED_VALUE"""),-0.5278578434904713)</f>
        <v>-0.5278578435</v>
      </c>
      <c r="F184" s="21">
        <f>IFERROR(__xludf.DUMMYFUNCTION("""COMPUTED_VALUE"""),-4.613411967851746)</f>
        <v>-4.613411968</v>
      </c>
      <c r="G184" s="23">
        <f>IFERROR(__xludf.DUMMYFUNCTION("""COMPUTED_VALUE"""),-0.17230758052598072)</f>
        <v>-0.1723075805</v>
      </c>
      <c r="H184" s="4"/>
      <c r="I184" s="5" t="s">
        <v>1907</v>
      </c>
      <c r="J184" s="5" t="s">
        <v>1606</v>
      </c>
      <c r="K184" s="5">
        <v>491.0</v>
      </c>
      <c r="L184" s="5">
        <v>-2.379634</v>
      </c>
      <c r="M184" s="5">
        <v>-1.950571</v>
      </c>
      <c r="N184" s="5">
        <v>-4.330205</v>
      </c>
      <c r="O184" s="5">
        <v>-0.362528</v>
      </c>
    </row>
    <row r="185">
      <c r="A185" s="12" t="str">
        <f>IFERROR(__xludf.DUMMYFUNCTION("""COMPUTED_VALUE"""),"Niv Berkowitz")</f>
        <v>Niv Berkowitz</v>
      </c>
      <c r="B185" s="13" t="str">
        <f>IFERROR(__xludf.DUMMYFUNCTION("""COMPUTED_VALUE"""),"EIL")</f>
        <v>EIL</v>
      </c>
      <c r="C185" s="14">
        <f>IFERROR(__xludf.DUMMYFUNCTION("""COMPUTED_VALUE"""),482.0)</f>
        <v>482</v>
      </c>
      <c r="D185" s="15">
        <f>IFERROR(__xludf.DUMMYFUNCTION("""COMPUTED_VALUE"""),-4.138869613711035)</f>
        <v>-4.138869614</v>
      </c>
      <c r="E185" s="15">
        <f>IFERROR(__xludf.DUMMYFUNCTION("""COMPUTED_VALUE"""),-0.5795899068804733)</f>
        <v>-0.5795899069</v>
      </c>
      <c r="F185" s="15">
        <f>IFERROR(__xludf.DUMMYFUNCTION("""COMPUTED_VALUE"""),-4.718459520591508)</f>
        <v>-4.718459521</v>
      </c>
      <c r="G185" s="17">
        <f>IFERROR(__xludf.DUMMYFUNCTION("""COMPUTED_VALUE"""),-0.4010376008540376)</f>
        <v>-0.4010376009</v>
      </c>
      <c r="H185" s="4"/>
      <c r="I185" s="5" t="s">
        <v>1908</v>
      </c>
      <c r="J185" s="5" t="s">
        <v>1606</v>
      </c>
      <c r="K185" s="5">
        <v>103.0</v>
      </c>
      <c r="L185" s="5">
        <v>-3.729742</v>
      </c>
      <c r="M185" s="5">
        <v>-0.649772</v>
      </c>
      <c r="N185" s="5">
        <v>-4.379515</v>
      </c>
      <c r="O185" s="5">
        <v>-0.077659</v>
      </c>
    </row>
    <row r="186">
      <c r="A186" s="18" t="str">
        <f>IFERROR(__xludf.DUMMYFUNCTION("""COMPUTED_VALUE"""),"Dagan Yavzuri")</f>
        <v>Dagan Yavzuri</v>
      </c>
      <c r="B186" s="19" t="str">
        <f>IFERROR(__xludf.DUMMYFUNCTION("""COMPUTED_VALUE"""),"HAI")</f>
        <v>HAI</v>
      </c>
      <c r="C186" s="20">
        <f>IFERROR(__xludf.DUMMYFUNCTION("""COMPUTED_VALUE"""),452.0)</f>
        <v>452</v>
      </c>
      <c r="D186" s="21">
        <f>IFERROR(__xludf.DUMMYFUNCTION("""COMPUTED_VALUE"""),-2.609598860135489)</f>
        <v>-2.60959886</v>
      </c>
      <c r="E186" s="21">
        <f>IFERROR(__xludf.DUMMYFUNCTION("""COMPUTED_VALUE"""),-2.1667391699854868)</f>
        <v>-2.16673917</v>
      </c>
      <c r="F186" s="21">
        <f>IFERROR(__xludf.DUMMYFUNCTION("""COMPUTED_VALUE"""),-4.776338030120976)</f>
        <v>-4.77633803</v>
      </c>
      <c r="G186" s="23">
        <f>IFERROR(__xludf.DUMMYFUNCTION("""COMPUTED_VALUE"""),-0.39778092252298086)</f>
        <v>-0.3977809225</v>
      </c>
      <c r="H186" s="4"/>
      <c r="I186" s="5" t="s">
        <v>1913</v>
      </c>
      <c r="J186" s="5" t="s">
        <v>1546</v>
      </c>
      <c r="K186" s="5">
        <v>422.0</v>
      </c>
      <c r="L186" s="5">
        <v>-4.279781</v>
      </c>
      <c r="M186" s="5">
        <v>-0.244339</v>
      </c>
      <c r="N186" s="5">
        <v>-4.52412</v>
      </c>
      <c r="O186" s="5">
        <v>-0.325665</v>
      </c>
    </row>
    <row r="187">
      <c r="A187" s="12" t="str">
        <f>IFERROR(__xludf.DUMMYFUNCTION("""COMPUTED_VALUE"""),"Afik Nissim")</f>
        <v>Afik Nissim</v>
      </c>
      <c r="B187" s="13" t="str">
        <f>IFERROR(__xludf.DUMMYFUNCTION("""COMPUTED_VALUE"""),"EIL")</f>
        <v>EIL</v>
      </c>
      <c r="C187" s="14">
        <f>IFERROR(__xludf.DUMMYFUNCTION("""COMPUTED_VALUE"""),457.0)</f>
        <v>457</v>
      </c>
      <c r="D187" s="15">
        <f>IFERROR(__xludf.DUMMYFUNCTION("""COMPUTED_VALUE"""),-0.9841048980047125)</f>
        <v>-0.984104898</v>
      </c>
      <c r="E187" s="15">
        <f>IFERROR(__xludf.DUMMYFUNCTION("""COMPUTED_VALUE"""),-3.9315750085885783)</f>
        <v>-3.931575009</v>
      </c>
      <c r="F187" s="15">
        <f>IFERROR(__xludf.DUMMYFUNCTION("""COMPUTED_VALUE"""),-4.915679906593291)</f>
        <v>-4.915679907</v>
      </c>
      <c r="G187" s="17">
        <f>IFERROR(__xludf.DUMMYFUNCTION("""COMPUTED_VALUE"""),-0.4078225433598894)</f>
        <v>-0.4078225434</v>
      </c>
      <c r="H187" s="4"/>
      <c r="I187" s="5" t="s">
        <v>1916</v>
      </c>
      <c r="J187" s="5" t="s">
        <v>1606</v>
      </c>
      <c r="K187" s="5">
        <v>200.0</v>
      </c>
      <c r="L187" s="5">
        <v>-4.226294</v>
      </c>
      <c r="M187" s="5">
        <v>-0.446666</v>
      </c>
      <c r="N187" s="5">
        <v>-4.67296</v>
      </c>
      <c r="O187" s="5">
        <v>-0.16939</v>
      </c>
    </row>
    <row r="188">
      <c r="A188" s="18" t="str">
        <f>IFERROR(__xludf.DUMMYFUNCTION("""COMPUTED_VALUE"""),"Ezequiel Skverer")</f>
        <v>Ezequiel Skverer</v>
      </c>
      <c r="B188" s="19" t="str">
        <f>IFERROR(__xludf.DUMMYFUNCTION("""COMPUTED_VALUE"""),"GAL")</f>
        <v>GAL</v>
      </c>
      <c r="C188" s="20">
        <f>IFERROR(__xludf.DUMMYFUNCTION("""COMPUTED_VALUE"""),400.0)</f>
        <v>400</v>
      </c>
      <c r="D188" s="21">
        <f>IFERROR(__xludf.DUMMYFUNCTION("""COMPUTED_VALUE"""),-1.3391923303440443)</f>
        <v>-1.33919233</v>
      </c>
      <c r="E188" s="21">
        <f>IFERROR(__xludf.DUMMYFUNCTION("""COMPUTED_VALUE"""),-3.6953705654475604)</f>
        <v>-3.695370565</v>
      </c>
      <c r="F188" s="21">
        <f>IFERROR(__xludf.DUMMYFUNCTION("""COMPUTED_VALUE"""),-5.034562895791605)</f>
        <v>-5.034562896</v>
      </c>
      <c r="G188" s="23">
        <f>IFERROR(__xludf.DUMMYFUNCTION("""COMPUTED_VALUE"""),-0.4255645655212135)</f>
        <v>-0.4255645655</v>
      </c>
      <c r="H188" s="4"/>
      <c r="I188" s="5" t="s">
        <v>1917</v>
      </c>
      <c r="J188" s="5" t="s">
        <v>1580</v>
      </c>
      <c r="K188" s="5">
        <v>219.0</v>
      </c>
      <c r="L188" s="5">
        <v>-3.750399</v>
      </c>
      <c r="M188" s="5">
        <v>-1.00395</v>
      </c>
      <c r="N188" s="5">
        <v>-4.754349</v>
      </c>
      <c r="O188" s="5">
        <v>-0.18353</v>
      </c>
    </row>
    <row r="189">
      <c r="A189" s="12" t="str">
        <f>IFERROR(__xludf.DUMMYFUNCTION("""COMPUTED_VALUE"""),"Amit Bier-Katz")</f>
        <v>Amit Bier-Katz</v>
      </c>
      <c r="B189" s="13" t="str">
        <f>IFERROR(__xludf.DUMMYFUNCTION("""COMPUTED_VALUE"""),"EIL")</f>
        <v>EIL</v>
      </c>
      <c r="C189" s="14">
        <f>IFERROR(__xludf.DUMMYFUNCTION("""COMPUTED_VALUE"""),178.0)</f>
        <v>178</v>
      </c>
      <c r="D189" s="15">
        <f>IFERROR(__xludf.DUMMYFUNCTION("""COMPUTED_VALUE"""),-4.050259079122049)</f>
        <v>-4.050259079</v>
      </c>
      <c r="E189" s="15">
        <f>IFERROR(__xludf.DUMMYFUNCTION("""COMPUTED_VALUE"""),-1.0644221961703808)</f>
        <v>-1.064422196</v>
      </c>
      <c r="F189" s="15">
        <f>IFERROR(__xludf.DUMMYFUNCTION("""COMPUTED_VALUE"""),-5.11468127529243)</f>
        <v>-5.114681275</v>
      </c>
      <c r="G189" s="17">
        <f>IFERROR(__xludf.DUMMYFUNCTION("""COMPUTED_VALUE"""),-0.16968708889349057)</f>
        <v>-0.1696870889</v>
      </c>
      <c r="H189" s="4"/>
      <c r="I189" s="5" t="s">
        <v>1919</v>
      </c>
      <c r="J189" s="5" t="s">
        <v>1606</v>
      </c>
      <c r="K189" s="5">
        <v>430.0</v>
      </c>
      <c r="L189" s="5">
        <v>-2.687237</v>
      </c>
      <c r="M189" s="5">
        <v>-2.142782</v>
      </c>
      <c r="N189" s="5">
        <v>-4.830019</v>
      </c>
      <c r="O189" s="5">
        <v>-0.385589</v>
      </c>
    </row>
    <row r="190">
      <c r="A190" s="18" t="str">
        <f>IFERROR(__xludf.DUMMYFUNCTION("""COMPUTED_VALUE"""),"Tim Kempton")</f>
        <v>Tim Kempton</v>
      </c>
      <c r="B190" s="19" t="str">
        <f>IFERROR(__xludf.DUMMYFUNCTION("""COMPUTED_VALUE"""),"BHS")</f>
        <v>BHS</v>
      </c>
      <c r="C190" s="20">
        <f>IFERROR(__xludf.DUMMYFUNCTION("""COMPUTED_VALUE"""),354.0)</f>
        <v>354</v>
      </c>
      <c r="D190" s="21">
        <f>IFERROR(__xludf.DUMMYFUNCTION("""COMPUTED_VALUE"""),-3.895118540326046)</f>
        <v>-3.89511854</v>
      </c>
      <c r="E190" s="21">
        <f>IFERROR(__xludf.DUMMYFUNCTION("""COMPUTED_VALUE"""),-1.3301159223787211)</f>
        <v>-1.330115922</v>
      </c>
      <c r="F190" s="21">
        <f>IFERROR(__xludf.DUMMYFUNCTION("""COMPUTED_VALUE"""),-5.225234462704767)</f>
        <v>-5.225234463</v>
      </c>
      <c r="G190" s="23">
        <f>IFERROR(__xludf.DUMMYFUNCTION("""COMPUTED_VALUE"""),-0.3497320098589187)</f>
        <v>-0.3497320099</v>
      </c>
      <c r="H190" s="4"/>
      <c r="I190" s="5" t="s">
        <v>1921</v>
      </c>
      <c r="J190" s="5" t="s">
        <v>1592</v>
      </c>
      <c r="K190" s="5">
        <v>400.0</v>
      </c>
      <c r="L190" s="5">
        <v>-1.843284</v>
      </c>
      <c r="M190" s="5">
        <v>-3.221865</v>
      </c>
      <c r="N190" s="5">
        <v>-5.065149</v>
      </c>
      <c r="O190" s="5">
        <v>-0.370786</v>
      </c>
    </row>
    <row r="191">
      <c r="A191" s="12" t="str">
        <f>IFERROR(__xludf.DUMMYFUNCTION("""COMPUTED_VALUE"""),"Raviv Pitshon")</f>
        <v>Raviv Pitshon</v>
      </c>
      <c r="B191" s="13" t="str">
        <f>IFERROR(__xludf.DUMMYFUNCTION("""COMPUTED_VALUE"""),"IRO")</f>
        <v>IRO</v>
      </c>
      <c r="C191" s="14">
        <f>IFERROR(__xludf.DUMMYFUNCTION("""COMPUTED_VALUE"""),237.0)</f>
        <v>237</v>
      </c>
      <c r="D191" s="15">
        <f>IFERROR(__xludf.DUMMYFUNCTION("""COMPUTED_VALUE"""),-4.062899923613437)</f>
        <v>-4.062899924</v>
      </c>
      <c r="E191" s="15">
        <f>IFERROR(__xludf.DUMMYFUNCTION("""COMPUTED_VALUE"""),-1.179355536519326)</f>
        <v>-1.179355537</v>
      </c>
      <c r="F191" s="15">
        <f>IFERROR(__xludf.DUMMYFUNCTION("""COMPUTED_VALUE"""),-5.242255460132763)</f>
        <v>-5.24225546</v>
      </c>
      <c r="G191" s="17">
        <f>IFERROR(__xludf.DUMMYFUNCTION("""COMPUTED_VALUE"""),-0.23389344018519903)</f>
        <v>-0.2338934402</v>
      </c>
      <c r="H191" s="4"/>
      <c r="I191" s="5" t="s">
        <v>1924</v>
      </c>
      <c r="J191" s="5" t="s">
        <v>1546</v>
      </c>
      <c r="K191" s="5">
        <v>408.0</v>
      </c>
      <c r="L191" s="5">
        <v>-1.51601</v>
      </c>
      <c r="M191" s="5">
        <v>-3.766246</v>
      </c>
      <c r="N191" s="5">
        <v>-5.282256</v>
      </c>
      <c r="O191" s="5">
        <v>-0.409432</v>
      </c>
    </row>
    <row r="192">
      <c r="A192" s="18" t="str">
        <f>IFERROR(__xludf.DUMMYFUNCTION("""COMPUTED_VALUE"""),"Roi Huber")</f>
        <v>Roi Huber</v>
      </c>
      <c r="B192" s="19" t="str">
        <f>IFERROR(__xludf.DUMMYFUNCTION("""COMPUTED_VALUE"""),"HAI")</f>
        <v>HAI</v>
      </c>
      <c r="C192" s="20">
        <f>IFERROR(__xludf.DUMMYFUNCTION("""COMPUTED_VALUE"""),339.0)</f>
        <v>339</v>
      </c>
      <c r="D192" s="21">
        <f>IFERROR(__xludf.DUMMYFUNCTION("""COMPUTED_VALUE"""),-5.047653855260744)</f>
        <v>-5.047653855</v>
      </c>
      <c r="E192" s="21">
        <f>IFERROR(__xludf.DUMMYFUNCTION("""COMPUTED_VALUE"""),-1.228628142624121)</f>
        <v>-1.228628143</v>
      </c>
      <c r="F192" s="21">
        <f>IFERROR(__xludf.DUMMYFUNCTION("""COMPUTED_VALUE"""),-6.276281997884865)</f>
        <v>-6.276281998</v>
      </c>
      <c r="G192" s="23">
        <f>IFERROR(__xludf.DUMMYFUNCTION("""COMPUTED_VALUE"""),-0.4595144880501828)</f>
        <v>-0.4595144881</v>
      </c>
      <c r="H192" s="4"/>
      <c r="I192" s="5" t="s">
        <v>583</v>
      </c>
      <c r="J192" s="5" t="s">
        <v>1643</v>
      </c>
      <c r="K192" s="5">
        <v>330.0</v>
      </c>
      <c r="L192" s="5">
        <v>-4.086297</v>
      </c>
      <c r="M192" s="5">
        <v>-1.282986</v>
      </c>
      <c r="N192" s="5">
        <v>-5.369283</v>
      </c>
      <c r="O192" s="5">
        <v>-0.339859</v>
      </c>
    </row>
    <row r="193">
      <c r="A193" s="12" t="str">
        <f>IFERROR(__xludf.DUMMYFUNCTION("""COMPUTED_VALUE"""),"Naor Sharon")</f>
        <v>Naor Sharon</v>
      </c>
      <c r="B193" s="13" t="str">
        <f>IFERROR(__xludf.DUMMYFUNCTION("""COMPUTED_VALUE"""),"IRO")</f>
        <v>IRO</v>
      </c>
      <c r="C193" s="14">
        <f>IFERROR(__xludf.DUMMYFUNCTION("""COMPUTED_VALUE"""),348.0)</f>
        <v>348</v>
      </c>
      <c r="D193" s="15">
        <f>IFERROR(__xludf.DUMMYFUNCTION("""COMPUTED_VALUE"""),-6.059961054335169)</f>
        <v>-6.059961054</v>
      </c>
      <c r="E193" s="15">
        <f>IFERROR(__xludf.DUMMYFUNCTION("""COMPUTED_VALUE"""),-2.6754008300365157)</f>
        <v>-2.67540083</v>
      </c>
      <c r="F193" s="15">
        <f>IFERROR(__xludf.DUMMYFUNCTION("""COMPUTED_VALUE"""),-8.735361884371684)</f>
        <v>-8.735361884</v>
      </c>
      <c r="G193" s="17">
        <f>IFERROR(__xludf.DUMMYFUNCTION("""COMPUTED_VALUE"""),-0.7134485246664096)</f>
        <v>-0.7134485247</v>
      </c>
      <c r="H193" s="4"/>
      <c r="I193" s="5" t="s">
        <v>1928</v>
      </c>
      <c r="J193" s="5" t="s">
        <v>1606</v>
      </c>
      <c r="K193" s="5">
        <v>318.0</v>
      </c>
      <c r="L193" s="5">
        <v>-4.5999</v>
      </c>
      <c r="M193" s="5">
        <v>-1.725181</v>
      </c>
      <c r="N193" s="5">
        <v>-6.325081</v>
      </c>
      <c r="O193" s="5">
        <v>-0.435801</v>
      </c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3" t="str">
        <f>IFERROR(__xludf.DUMMYFUNCTION("""COMPUTED_VALUE"""),"")</f>
        <v/>
      </c>
      <c r="H194" s="4"/>
      <c r="I194" s="5" t="s">
        <v>1929</v>
      </c>
      <c r="J194" s="5" t="s">
        <v>1580</v>
      </c>
      <c r="K194" s="5">
        <v>348.0</v>
      </c>
      <c r="L194" s="5">
        <v>-5.974267</v>
      </c>
      <c r="M194" s="5">
        <v>-2.343943</v>
      </c>
      <c r="N194" s="5">
        <v>-8.31821</v>
      </c>
      <c r="O194" s="5">
        <v>-0.668988</v>
      </c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7" t="str">
        <f>IFERROR(__xludf.DUMMYFUNCTION("""COMPUTED_VALUE"""),"")</f>
        <v/>
      </c>
      <c r="H195" s="4"/>
      <c r="I195" s="5"/>
      <c r="J195" s="5"/>
      <c r="K195" s="5"/>
      <c r="L195" s="5"/>
      <c r="M195" s="5"/>
      <c r="N195" s="5"/>
      <c r="O195" s="5"/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3" t="str">
        <f>IFERROR(__xludf.DUMMYFUNCTION("""COMPUTED_VALUE"""),"")</f>
        <v/>
      </c>
      <c r="H196" s="4"/>
      <c r="I196" s="5"/>
      <c r="J196" s="5"/>
      <c r="K196" s="5"/>
      <c r="L196" s="5"/>
      <c r="M196" s="5"/>
      <c r="N196" s="5"/>
      <c r="O196" s="5"/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/>
      <c r="J197" s="5"/>
      <c r="K197" s="5"/>
      <c r="L197" s="5"/>
      <c r="M197" s="5"/>
      <c r="N197" s="5"/>
      <c r="O197" s="5"/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/>
      <c r="J198" s="5"/>
      <c r="K198" s="24"/>
      <c r="L198" s="5"/>
      <c r="M198" s="5"/>
      <c r="N198" s="5"/>
      <c r="O198" s="5"/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/>
      <c r="J199" s="5"/>
      <c r="K199" s="5"/>
      <c r="L199" s="5"/>
      <c r="M199" s="5"/>
      <c r="N199" s="5"/>
      <c r="O199" s="5"/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/>
      <c r="J200" s="5"/>
      <c r="K200" s="5"/>
      <c r="L200" s="5"/>
      <c r="M200" s="5"/>
      <c r="N200" s="5"/>
      <c r="O200" s="5"/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/>
      <c r="J201" s="5"/>
      <c r="K201" s="5"/>
      <c r="L201" s="5"/>
      <c r="M201" s="5"/>
      <c r="N201" s="5"/>
      <c r="O201" s="5"/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/>
      <c r="J202" s="5"/>
      <c r="K202" s="5"/>
      <c r="L202" s="5"/>
      <c r="M202" s="5"/>
      <c r="N202" s="5"/>
      <c r="O202" s="5"/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/>
      <c r="J203" s="5"/>
      <c r="K203" s="5"/>
      <c r="L203" s="5"/>
      <c r="M203" s="5"/>
      <c r="N203" s="5"/>
      <c r="O203" s="5"/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/>
      <c r="J204" s="5"/>
      <c r="K204" s="5"/>
      <c r="L204" s="5"/>
      <c r="M204" s="5"/>
      <c r="N204" s="5"/>
      <c r="O204" s="5"/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/>
      <c r="J205" s="5"/>
      <c r="K205" s="5"/>
      <c r="L205" s="5"/>
      <c r="M205" s="5"/>
      <c r="N205" s="5"/>
      <c r="O205" s="5"/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/>
      <c r="J206" s="5"/>
      <c r="K206" s="5"/>
      <c r="L206" s="5"/>
      <c r="M206" s="5"/>
      <c r="N206" s="5"/>
      <c r="O206" s="5"/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/>
      <c r="J207" s="5"/>
      <c r="K207" s="5"/>
      <c r="L207" s="5"/>
      <c r="M207" s="5"/>
      <c r="N207" s="5"/>
      <c r="O207" s="5"/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/>
      <c r="J208" s="5"/>
      <c r="K208" s="5"/>
      <c r="L208" s="5"/>
      <c r="M208" s="5"/>
      <c r="N208" s="5"/>
      <c r="O208" s="5"/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/>
      <c r="J209" s="5"/>
      <c r="K209" s="5"/>
      <c r="L209" s="5"/>
      <c r="M209" s="5"/>
      <c r="N209" s="5"/>
      <c r="O209" s="5"/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/>
      <c r="J210" s="5"/>
      <c r="K210" s="5"/>
      <c r="L210" s="5"/>
      <c r="M210" s="5"/>
      <c r="N210" s="5"/>
      <c r="O210" s="5"/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/>
      <c r="J211" s="5"/>
      <c r="K211" s="5"/>
      <c r="L211" s="5"/>
      <c r="M211" s="5"/>
      <c r="N211" s="5"/>
      <c r="O211" s="5"/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/>
      <c r="J212" s="5"/>
      <c r="K212" s="5"/>
      <c r="L212" s="5"/>
      <c r="M212" s="5"/>
      <c r="N212" s="5"/>
      <c r="O212" s="5"/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/>
      <c r="J213" s="5"/>
      <c r="K213" s="5"/>
      <c r="L213" s="5"/>
      <c r="M213" s="5"/>
      <c r="N213" s="5"/>
      <c r="O213" s="5"/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/>
      <c r="J214" s="5"/>
      <c r="K214" s="5"/>
      <c r="L214" s="5"/>
      <c r="M214" s="5"/>
      <c r="N214" s="5"/>
      <c r="O214" s="5"/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/>
      <c r="J215" s="5"/>
      <c r="K215" s="5"/>
      <c r="L215" s="5"/>
      <c r="M215" s="5"/>
      <c r="N215" s="5"/>
      <c r="O215" s="5"/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/>
      <c r="J216" s="5"/>
      <c r="K216" s="5"/>
      <c r="L216" s="5"/>
      <c r="M216" s="5"/>
      <c r="N216" s="5"/>
      <c r="O216" s="5"/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/>
      <c r="J217" s="5"/>
      <c r="K217" s="5"/>
      <c r="L217" s="5"/>
      <c r="M217" s="5"/>
      <c r="N217" s="5"/>
      <c r="O217" s="5"/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/>
      <c r="J218" s="5"/>
      <c r="K218" s="5"/>
      <c r="L218" s="5"/>
      <c r="M218" s="5"/>
      <c r="N218" s="5"/>
      <c r="O218" s="5"/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/>
      <c r="J219" s="5"/>
      <c r="K219" s="5"/>
      <c r="L219" s="5"/>
      <c r="M219" s="5"/>
      <c r="N219" s="5"/>
      <c r="O219" s="5"/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/>
      <c r="J220" s="5"/>
      <c r="K220" s="5"/>
      <c r="L220" s="5"/>
      <c r="M220" s="5"/>
      <c r="N220" s="5"/>
      <c r="O220" s="5"/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/>
      <c r="J221" s="5"/>
      <c r="K221" s="5"/>
      <c r="L221" s="5"/>
      <c r="M221" s="5"/>
      <c r="N221" s="5"/>
      <c r="O221" s="5"/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/>
      <c r="J222" s="5"/>
      <c r="K222" s="5"/>
      <c r="L222" s="5"/>
      <c r="M222" s="5"/>
      <c r="N222" s="5"/>
      <c r="O222" s="5"/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/>
      <c r="J223" s="5"/>
      <c r="K223" s="5"/>
      <c r="L223" s="5"/>
      <c r="M223" s="5"/>
      <c r="N223" s="5"/>
      <c r="O223" s="5"/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/>
      <c r="J224" s="5"/>
      <c r="K224" s="5"/>
      <c r="L224" s="5"/>
      <c r="M224" s="5"/>
      <c r="N224" s="5"/>
      <c r="O224" s="5"/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/>
      <c r="J225" s="5"/>
      <c r="K225" s="5"/>
      <c r="L225" s="5"/>
      <c r="M225" s="5"/>
      <c r="N225" s="5"/>
      <c r="O225" s="5"/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/>
      <c r="J226" s="5"/>
      <c r="K226" s="5"/>
      <c r="L226" s="5"/>
      <c r="M226" s="5"/>
      <c r="N226" s="5"/>
      <c r="O226" s="5"/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/>
      <c r="J227" s="5"/>
      <c r="K227" s="5"/>
      <c r="L227" s="5"/>
      <c r="M227" s="5"/>
      <c r="N227" s="5"/>
      <c r="O227" s="5"/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/>
      <c r="J228" s="5"/>
      <c r="K228" s="5"/>
      <c r="L228" s="5"/>
      <c r="M228" s="5"/>
      <c r="N228" s="5"/>
      <c r="O228" s="5"/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/>
      <c r="J229" s="5"/>
      <c r="K229" s="24"/>
      <c r="L229" s="5"/>
      <c r="M229" s="5"/>
      <c r="N229" s="5"/>
      <c r="O229" s="5"/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/>
      <c r="J230" s="5"/>
      <c r="K230" s="5"/>
      <c r="L230" s="5"/>
      <c r="M230" s="5"/>
      <c r="N230" s="5"/>
      <c r="O230" s="5"/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/>
      <c r="J231" s="5"/>
      <c r="K231" s="5"/>
      <c r="L231" s="5"/>
      <c r="M231" s="5"/>
      <c r="N231" s="5"/>
      <c r="O231" s="5"/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/>
      <c r="J232" s="5"/>
      <c r="K232" s="5"/>
      <c r="L232" s="5"/>
      <c r="M232" s="5"/>
      <c r="N232" s="5"/>
      <c r="O232" s="5"/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/>
      <c r="J233" s="5"/>
      <c r="K233" s="24"/>
      <c r="L233" s="5"/>
      <c r="M233" s="5"/>
      <c r="N233" s="5"/>
      <c r="O233" s="5"/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5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24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5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5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74EA7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1652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IFERROR(__xludf.DUMMYFUNCTION("IMPORTRANGE(""https://docs.google.com/spreadsheets/d/1tbGyj3jwexwdzVklqfdHQcQXVWP7HW47SBTfsbX-fFY/edit#gid=1120027332"",""Leaders!A3:G502"")"),"Reyshawn Terry")</f>
        <v>Reyshawn Terry</v>
      </c>
      <c r="B3" s="13" t="str">
        <f>IFERROR(__xludf.DUMMYFUNCTION("""COMPUTED_VALUE"""),"PIR")</f>
        <v>PIR</v>
      </c>
      <c r="C3" s="14">
        <f>IFERROR(__xludf.DUMMYFUNCTION("""COMPUTED_VALUE"""),1441.5)</f>
        <v>1441.5</v>
      </c>
      <c r="D3" s="15">
        <f>IFERROR(__xludf.DUMMYFUNCTION("""COMPUTED_VALUE"""),5.107252770208324)</f>
        <v>5.10725277</v>
      </c>
      <c r="E3" s="15">
        <f>IFERROR(__xludf.DUMMYFUNCTION("""COMPUTED_VALUE"""),0.5525677502491346)</f>
        <v>0.5525677502</v>
      </c>
      <c r="F3" s="15">
        <f>IFERROR(__xludf.DUMMYFUNCTION("""COMPUTED_VALUE"""),5.659820520457458)</f>
        <v>5.65982052</v>
      </c>
      <c r="G3" s="17">
        <f>IFERROR(__xludf.DUMMYFUNCTION("""COMPUTED_VALUE"""),3.54348930738825)</f>
        <v>3.543489307</v>
      </c>
      <c r="H3" s="4"/>
      <c r="I3" s="5" t="s">
        <v>1658</v>
      </c>
      <c r="J3" s="5" t="s">
        <v>1659</v>
      </c>
      <c r="K3" s="24">
        <v>268.0</v>
      </c>
      <c r="L3" s="5">
        <v>4.901815</v>
      </c>
      <c r="M3" s="5">
        <v>-0.598743</v>
      </c>
      <c r="N3" s="5">
        <v>4.303072</v>
      </c>
      <c r="O3" s="5">
        <v>0.515232</v>
      </c>
    </row>
    <row r="4">
      <c r="A4" s="18" t="str">
        <f>IFERROR(__xludf.DUMMYFUNCTION("""COMPUTED_VALUE"""),"Raphiael Putney")</f>
        <v>Raphiael Putney</v>
      </c>
      <c r="B4" s="19" t="str">
        <f>IFERROR(__xludf.DUMMYFUNCTION("""COMPUTED_VALUE"""),"ATL")</f>
        <v>ATL</v>
      </c>
      <c r="C4" s="20">
        <f>IFERROR(__xludf.DUMMYFUNCTION("""COMPUTED_VALUE"""),271.3)</f>
        <v>271.3</v>
      </c>
      <c r="D4" s="21">
        <f>IFERROR(__xludf.DUMMYFUNCTION("""COMPUTED_VALUE"""),2.141247191301323)</f>
        <v>2.141247191</v>
      </c>
      <c r="E4" s="21">
        <f>IFERROR(__xludf.DUMMYFUNCTION("""COMPUTED_VALUE"""),3.1471300850491364)</f>
        <v>3.147130085</v>
      </c>
      <c r="F4" s="21">
        <f>IFERROR(__xludf.DUMMYFUNCTION("""COMPUTED_VALUE"""),5.2883772763504595)</f>
        <v>5.288377276</v>
      </c>
      <c r="G4" s="23">
        <f>IFERROR(__xludf.DUMMYFUNCTION("""COMPUTED_VALUE"""),0.6593531353700818)</f>
        <v>0.6593531354</v>
      </c>
      <c r="H4" s="4"/>
      <c r="I4" s="5" t="s">
        <v>1661</v>
      </c>
      <c r="J4" s="5" t="s">
        <v>1662</v>
      </c>
      <c r="K4" s="24">
        <v>271.0</v>
      </c>
      <c r="L4" s="5">
        <v>3.094384</v>
      </c>
      <c r="M4" s="5">
        <v>1.177758</v>
      </c>
      <c r="N4" s="5">
        <v>4.272143</v>
      </c>
      <c r="O4" s="5">
        <v>0.511615</v>
      </c>
    </row>
    <row r="5">
      <c r="A5" s="12" t="str">
        <f>IFERROR(__xludf.DUMMYFUNCTION("""COMPUTED_VALUE"""),"Benjamin Colon")</f>
        <v>Benjamin Colon</v>
      </c>
      <c r="B5" s="13" t="str">
        <f>IFERROR(__xludf.DUMMYFUNCTION("""COMPUTED_VALUE"""),"VAQ")</f>
        <v>VAQ</v>
      </c>
      <c r="C5" s="14">
        <f>IFERROR(__xludf.DUMMYFUNCTION("""COMPUTED_VALUE"""),523.3)</f>
        <v>523.3</v>
      </c>
      <c r="D5" s="15">
        <f>IFERROR(__xludf.DUMMYFUNCTION("""COMPUTED_VALUE"""),0.7033517409056524)</f>
        <v>0.7033517409</v>
      </c>
      <c r="E5" s="15">
        <f>IFERROR(__xludf.DUMMYFUNCTION("""COMPUTED_VALUE"""),4.5546576440559825)</f>
        <v>4.554657644</v>
      </c>
      <c r="F5" s="15">
        <f>IFERROR(__xludf.DUMMYFUNCTION("""COMPUTED_VALUE"""),5.258009384961635)</f>
        <v>5.258009385</v>
      </c>
      <c r="G5" s="17">
        <f>IFERROR(__xludf.DUMMYFUNCTION("""COMPUTED_VALUE"""),1.2076375667466641)</f>
        <v>1.207637567</v>
      </c>
      <c r="H5" s="4"/>
      <c r="I5" s="5" t="s">
        <v>1664</v>
      </c>
      <c r="J5" s="5" t="s">
        <v>1665</v>
      </c>
      <c r="K5" s="5">
        <v>273.0</v>
      </c>
      <c r="L5" s="5">
        <v>4.511368</v>
      </c>
      <c r="M5" s="5">
        <v>-0.307299</v>
      </c>
      <c r="N5" s="5">
        <v>4.204068</v>
      </c>
      <c r="O5" s="5">
        <v>0.509366</v>
      </c>
    </row>
    <row r="6">
      <c r="A6" s="18" t="str">
        <f>IFERROR(__xludf.DUMMYFUNCTION("""COMPUTED_VALUE"""),"Adrian Uter")</f>
        <v>Adrian Uter</v>
      </c>
      <c r="B6" s="19" t="str">
        <f>IFERROR(__xludf.DUMMYFUNCTION("""COMPUTED_VALUE"""),"LEO")</f>
        <v>LEO</v>
      </c>
      <c r="C6" s="20">
        <f>IFERROR(__xludf.DUMMYFUNCTION("""COMPUTED_VALUE"""),845.7)</f>
        <v>845.7</v>
      </c>
      <c r="D6" s="21">
        <f>IFERROR(__xludf.DUMMYFUNCTION("""COMPUTED_VALUE"""),0.861517533915445)</f>
        <v>0.8615175339</v>
      </c>
      <c r="E6" s="21">
        <f>IFERROR(__xludf.DUMMYFUNCTION("""COMPUTED_VALUE"""),4.19735049608278)</f>
        <v>4.197350496</v>
      </c>
      <c r="F6" s="21">
        <f>IFERROR(__xludf.DUMMYFUNCTION("""COMPUTED_VALUE"""),5.058868029998226)</f>
        <v>5.05886803</v>
      </c>
      <c r="G6" s="23">
        <f>IFERROR(__xludf.DUMMYFUNCTION("""COMPUTED_VALUE"""),1.9044860427362824)</f>
        <v>1.904486043</v>
      </c>
      <c r="H6" s="4"/>
      <c r="I6" s="5" t="s">
        <v>1414</v>
      </c>
      <c r="J6" s="5" t="s">
        <v>1667</v>
      </c>
      <c r="K6" s="5">
        <v>220.0</v>
      </c>
      <c r="L6" s="5">
        <v>0.2281</v>
      </c>
      <c r="M6" s="5">
        <v>3.427382</v>
      </c>
      <c r="N6" s="5">
        <v>3.655483</v>
      </c>
      <c r="O6" s="5">
        <v>0.382743</v>
      </c>
    </row>
    <row r="7">
      <c r="A7" s="12" t="str">
        <f>IFERROR(__xludf.DUMMYFUNCTION("""COMPUTED_VALUE"""),"Gary Browne")</f>
        <v>Gary Browne</v>
      </c>
      <c r="B7" s="13" t="str">
        <f>IFERROR(__xludf.DUMMYFUNCTION("""COMPUTED_VALUE"""),"ATL")</f>
        <v>ATL</v>
      </c>
      <c r="C7" s="14">
        <f>IFERROR(__xludf.DUMMYFUNCTION("""COMPUTED_VALUE"""),627.9)</f>
        <v>627.9</v>
      </c>
      <c r="D7" s="15">
        <f>IFERROR(__xludf.DUMMYFUNCTION("""COMPUTED_VALUE"""),4.3452372989546095)</f>
        <v>4.345237299</v>
      </c>
      <c r="E7" s="15">
        <f>IFERROR(__xludf.DUMMYFUNCTION("""COMPUTED_VALUE"""),0.684611736495329)</f>
        <v>0.6846117365</v>
      </c>
      <c r="F7" s="15">
        <f>IFERROR(__xludf.DUMMYFUNCTION("""COMPUTED_VALUE"""),5.0298490354499386)</f>
        <v>5.029849035</v>
      </c>
      <c r="G7" s="17">
        <f>IFERROR(__xludf.DUMMYFUNCTION("""COMPUTED_VALUE"""),1.4718851318211639)</f>
        <v>1.471885132</v>
      </c>
      <c r="H7" s="4"/>
      <c r="I7" s="5" t="s">
        <v>1669</v>
      </c>
      <c r="J7" s="5" t="s">
        <v>1670</v>
      </c>
      <c r="K7" s="24">
        <v>284.0</v>
      </c>
      <c r="L7" s="5">
        <v>4.695344</v>
      </c>
      <c r="M7" s="5">
        <v>-1.157233</v>
      </c>
      <c r="N7" s="5">
        <v>3.538111</v>
      </c>
      <c r="O7" s="5">
        <v>0.508323</v>
      </c>
    </row>
    <row r="8">
      <c r="A8" s="18" t="str">
        <f>IFERROR(__xludf.DUMMYFUNCTION("""COMPUTED_VALUE"""),"Davon Jefferson")</f>
        <v>Davon Jefferson</v>
      </c>
      <c r="B8" s="19" t="str">
        <f>IFERROR(__xludf.DUMMYFUNCTION("""COMPUTED_VALUE"""),"CAP")</f>
        <v>CAP</v>
      </c>
      <c r="C8" s="20">
        <f>IFERROR(__xludf.DUMMYFUNCTION("""COMPUTED_VALUE"""),1317.8)</f>
        <v>1317.8</v>
      </c>
      <c r="D8" s="21">
        <f>IFERROR(__xludf.DUMMYFUNCTION("""COMPUTED_VALUE"""),1.5806501086762488)</f>
        <v>1.580650109</v>
      </c>
      <c r="E8" s="21">
        <f>IFERROR(__xludf.DUMMYFUNCTION("""COMPUTED_VALUE"""),3.299670012076372)</f>
        <v>3.299670012</v>
      </c>
      <c r="F8" s="21">
        <f>IFERROR(__xludf.DUMMYFUNCTION("""COMPUTED_VALUE"""),4.880320120752621)</f>
        <v>4.880320121</v>
      </c>
      <c r="G8" s="23">
        <f>IFERROR(__xludf.DUMMYFUNCTION("""COMPUTED_VALUE"""),2.7834909573880653)</f>
        <v>2.783490957</v>
      </c>
      <c r="H8" s="4"/>
      <c r="I8" s="5" t="s">
        <v>1671</v>
      </c>
      <c r="J8" s="5" t="s">
        <v>1670</v>
      </c>
      <c r="K8" s="5">
        <v>220.0</v>
      </c>
      <c r="L8" s="5">
        <v>3.155177</v>
      </c>
      <c r="M8" s="5">
        <v>0.378684</v>
      </c>
      <c r="N8" s="5">
        <v>3.533861</v>
      </c>
      <c r="O8" s="5">
        <v>0.393192</v>
      </c>
    </row>
    <row r="9">
      <c r="A9" s="12" t="str">
        <f>IFERROR(__xludf.DUMMYFUNCTION("""COMPUTED_VALUE"""),"Donta Smith")</f>
        <v>Donta Smith</v>
      </c>
      <c r="B9" s="13" t="str">
        <f>IFERROR(__xludf.DUMMYFUNCTION("""COMPUTED_VALUE"""),"AGU")</f>
        <v>AGU</v>
      </c>
      <c r="C9" s="14">
        <f>IFERROR(__xludf.DUMMYFUNCTION("""COMPUTED_VALUE"""),779.5)</f>
        <v>779.5</v>
      </c>
      <c r="D9" s="15">
        <f>IFERROR(__xludf.DUMMYFUNCTION("""COMPUTED_VALUE"""),2.3562695833221183)</f>
        <v>2.356269583</v>
      </c>
      <c r="E9" s="15">
        <f>IFERROR(__xludf.DUMMYFUNCTION("""COMPUTED_VALUE"""),2.1927954950735447)</f>
        <v>2.192795495</v>
      </c>
      <c r="F9" s="15">
        <f>IFERROR(__xludf.DUMMYFUNCTION("""COMPUTED_VALUE"""),4.549065078395663)</f>
        <v>4.549065078</v>
      </c>
      <c r="G9" s="17">
        <f>IFERROR(__xludf.DUMMYFUNCTION("""COMPUTED_VALUE"""),1.5707757134718443)</f>
        <v>1.570775713</v>
      </c>
      <c r="H9" s="4"/>
      <c r="I9" s="5" t="s">
        <v>1673</v>
      </c>
      <c r="J9" s="5" t="s">
        <v>1674</v>
      </c>
      <c r="K9" s="5">
        <v>272.0</v>
      </c>
      <c r="L9" s="5">
        <v>4.173169</v>
      </c>
      <c r="M9" s="5">
        <v>-0.855538</v>
      </c>
      <c r="N9" s="5">
        <v>3.317631</v>
      </c>
      <c r="O9" s="5">
        <v>0.440961</v>
      </c>
    </row>
    <row r="10">
      <c r="A10" s="18" t="str">
        <f>IFERROR(__xludf.DUMMYFUNCTION("""COMPUTED_VALUE"""),"Ricky Ledo")</f>
        <v>Ricky Ledo</v>
      </c>
      <c r="B10" s="19" t="str">
        <f>IFERROR(__xludf.DUMMYFUNCTION("""COMPUTED_VALUE"""),"VAQ")</f>
        <v>VAQ</v>
      </c>
      <c r="C10" s="20">
        <f>IFERROR(__xludf.DUMMYFUNCTION("""COMPUTED_VALUE"""),635.2)</f>
        <v>635.2</v>
      </c>
      <c r="D10" s="21">
        <f>IFERROR(__xludf.DUMMYFUNCTION("""COMPUTED_VALUE"""),2.7801830001499077)</f>
        <v>2.780183</v>
      </c>
      <c r="E10" s="21">
        <f>IFERROR(__xludf.DUMMYFUNCTION("""COMPUTED_VALUE"""),1.6127642775883118)</f>
        <v>1.612764278</v>
      </c>
      <c r="F10" s="21">
        <f>IFERROR(__xludf.DUMMYFUNCTION("""COMPUTED_VALUE"""),4.3929472777382195)</f>
        <v>4.392947278</v>
      </c>
      <c r="G10" s="23">
        <f>IFERROR(__xludf.DUMMYFUNCTION("""COMPUTED_VALUE"""),1.291159712638985)</f>
        <v>1.291159713</v>
      </c>
      <c r="H10" s="4"/>
      <c r="I10" s="5" t="s">
        <v>1676</v>
      </c>
      <c r="J10" s="5" t="s">
        <v>1674</v>
      </c>
      <c r="K10" s="24">
        <v>177.0</v>
      </c>
      <c r="L10" s="5">
        <v>2.102224</v>
      </c>
      <c r="M10" s="5">
        <v>1.162637</v>
      </c>
      <c r="N10" s="5">
        <v>3.264861</v>
      </c>
      <c r="O10" s="5">
        <v>0.282883</v>
      </c>
    </row>
    <row r="11">
      <c r="A11" s="12" t="str">
        <f>IFERROR(__xludf.DUMMYFUNCTION("""COMPUTED_VALUE"""),"Walter Hodge")</f>
        <v>Walter Hodge</v>
      </c>
      <c r="B11" s="13" t="str">
        <f>IFERROR(__xludf.DUMMYFUNCTION("""COMPUTED_VALUE"""),"CAP")</f>
        <v>CAP</v>
      </c>
      <c r="C11" s="14">
        <f>IFERROR(__xludf.DUMMYFUNCTION("""COMPUTED_VALUE"""),1286.7)</f>
        <v>1286.7</v>
      </c>
      <c r="D11" s="15">
        <f>IFERROR(__xludf.DUMMYFUNCTION("""COMPUTED_VALUE"""),3.903768784918574)</f>
        <v>3.903768785</v>
      </c>
      <c r="E11" s="15">
        <f>IFERROR(__xludf.DUMMYFUNCTION("""COMPUTED_VALUE"""),-0.31969749963033545)</f>
        <v>-0.3196974996</v>
      </c>
      <c r="F11" s="15">
        <f>IFERROR(__xludf.DUMMYFUNCTION("""COMPUTED_VALUE"""),3.5840712852882386)</f>
        <v>3.584071285</v>
      </c>
      <c r="G11" s="17">
        <f>IFERROR(__xludf.DUMMYFUNCTION("""COMPUTED_VALUE"""),2.2057684531740227)</f>
        <v>2.205768453</v>
      </c>
      <c r="H11" s="4"/>
      <c r="I11" s="5" t="s">
        <v>1678</v>
      </c>
      <c r="J11" s="5" t="s">
        <v>1679</v>
      </c>
      <c r="K11" s="5">
        <v>239.0</v>
      </c>
      <c r="L11" s="5">
        <v>0.525245</v>
      </c>
      <c r="M11" s="5">
        <v>2.709619</v>
      </c>
      <c r="N11" s="5">
        <v>3.234864</v>
      </c>
      <c r="O11" s="5">
        <v>0.376535</v>
      </c>
    </row>
    <row r="12">
      <c r="A12" s="18" t="str">
        <f>IFERROR(__xludf.DUMMYFUNCTION("""COMPUTED_VALUE"""),"Ricky Sanchez")</f>
        <v>Ricky Sanchez</v>
      </c>
      <c r="B12" s="19" t="str">
        <f>IFERROR(__xludf.DUMMYFUNCTION("""COMPUTED_VALUE"""),"FAJ")</f>
        <v>FAJ</v>
      </c>
      <c r="C12" s="20">
        <f>IFERROR(__xludf.DUMMYFUNCTION("""COMPUTED_VALUE"""),872.7)</f>
        <v>872.7</v>
      </c>
      <c r="D12" s="21">
        <f>IFERROR(__xludf.DUMMYFUNCTION("""COMPUTED_VALUE"""),1.4378108388164372)</f>
        <v>1.437810839</v>
      </c>
      <c r="E12" s="21">
        <f>IFERROR(__xludf.DUMMYFUNCTION("""COMPUTED_VALUE"""),2.104457762619747)</f>
        <v>2.104457763</v>
      </c>
      <c r="F12" s="21">
        <f>IFERROR(__xludf.DUMMYFUNCTION("""COMPUTED_VALUE"""),3.5422686014361844)</f>
        <v>3.542268601</v>
      </c>
      <c r="G12" s="23">
        <f>IFERROR(__xludf.DUMMYFUNCTION("""COMPUTED_VALUE"""),1.6587762060783333)</f>
        <v>1.658776206</v>
      </c>
      <c r="H12" s="4"/>
      <c r="I12" s="5" t="s">
        <v>1681</v>
      </c>
      <c r="J12" s="5" t="s">
        <v>1679</v>
      </c>
      <c r="K12" s="24">
        <v>216.0</v>
      </c>
      <c r="L12" s="5">
        <v>4.388517</v>
      </c>
      <c r="M12" s="5">
        <v>-1.303148</v>
      </c>
      <c r="N12" s="5">
        <v>3.085368</v>
      </c>
      <c r="O12" s="5">
        <v>0.330719</v>
      </c>
    </row>
    <row r="13">
      <c r="A13" s="12" t="str">
        <f>IFERROR(__xludf.DUMMYFUNCTION("""COMPUTED_VALUE"""),"Javier Mojica")</f>
        <v>Javier Mojica</v>
      </c>
      <c r="B13" s="13" t="str">
        <f>IFERROR(__xludf.DUMMYFUNCTION("""COMPUTED_VALUE"""),"VAQ")</f>
        <v>VAQ</v>
      </c>
      <c r="C13" s="14">
        <f>IFERROR(__xludf.DUMMYFUNCTION("""COMPUTED_VALUE"""),1694.5)</f>
        <v>1694.5</v>
      </c>
      <c r="D13" s="15">
        <f>IFERROR(__xludf.DUMMYFUNCTION("""COMPUTED_VALUE"""),2.142181062018123)</f>
        <v>2.142181062</v>
      </c>
      <c r="E13" s="15">
        <f>IFERROR(__xludf.DUMMYFUNCTION("""COMPUTED_VALUE"""),1.1752274814452566)</f>
        <v>1.175227481</v>
      </c>
      <c r="F13" s="15">
        <f>IFERROR(__xludf.DUMMYFUNCTION("""COMPUTED_VALUE"""),3.3174085434633795)</f>
        <v>3.317408543</v>
      </c>
      <c r="G13" s="17">
        <f>IFERROR(__xludf.DUMMYFUNCTION("""COMPUTED_VALUE"""),2.864903225982795)</f>
        <v>2.864903226</v>
      </c>
      <c r="H13" s="4"/>
      <c r="I13" s="5" t="s">
        <v>1683</v>
      </c>
      <c r="J13" s="5" t="s">
        <v>1670</v>
      </c>
      <c r="K13" s="24">
        <v>248.0</v>
      </c>
      <c r="L13" s="5">
        <v>4.62762</v>
      </c>
      <c r="M13" s="5">
        <v>-1.572046</v>
      </c>
      <c r="N13" s="5">
        <v>3.055574</v>
      </c>
      <c r="O13" s="5">
        <v>0.404437</v>
      </c>
    </row>
    <row r="14">
      <c r="A14" s="18" t="str">
        <f>IFERROR(__xludf.DUMMYFUNCTION("""COMPUTED_VALUE"""),"Brian Diaz")</f>
        <v>Brian Diaz</v>
      </c>
      <c r="B14" s="19" t="str">
        <f>IFERROR(__xludf.DUMMYFUNCTION("""COMPUTED_VALUE"""),"PIR")</f>
        <v>PIR</v>
      </c>
      <c r="C14" s="20">
        <f>IFERROR(__xludf.DUMMYFUNCTION("""COMPUTED_VALUE"""),1110.8)</f>
        <v>1110.8</v>
      </c>
      <c r="D14" s="21">
        <f>IFERROR(__xludf.DUMMYFUNCTION("""COMPUTED_VALUE"""),-0.19724164027040259)</f>
        <v>-0.1972416403</v>
      </c>
      <c r="E14" s="21">
        <f>IFERROR(__xludf.DUMMYFUNCTION("""COMPUTED_VALUE"""),3.463649682119775)</f>
        <v>3.463649682</v>
      </c>
      <c r="F14" s="21">
        <f>IFERROR(__xludf.DUMMYFUNCTION("""COMPUTED_VALUE"""),3.2664080418493726)</f>
        <v>3.266408042</v>
      </c>
      <c r="G14" s="23">
        <f>IFERROR(__xludf.DUMMYFUNCTION("""COMPUTED_VALUE"""),1.8773630355246753)</f>
        <v>1.877363036</v>
      </c>
      <c r="H14" s="4"/>
      <c r="I14" s="5" t="s">
        <v>1686</v>
      </c>
      <c r="J14" s="5" t="s">
        <v>1665</v>
      </c>
      <c r="K14" s="5">
        <v>230.0</v>
      </c>
      <c r="L14" s="5">
        <v>1.141673</v>
      </c>
      <c r="M14" s="5">
        <v>1.851777</v>
      </c>
      <c r="N14" s="5">
        <v>2.99345</v>
      </c>
      <c r="O14" s="5">
        <v>0.344773</v>
      </c>
    </row>
    <row r="15">
      <c r="A15" s="12" t="str">
        <f>IFERROR(__xludf.DUMMYFUNCTION("""COMPUTED_VALUE"""),"Jonathan Rodriguez")</f>
        <v>Jonathan Rodriguez</v>
      </c>
      <c r="B15" s="13" t="str">
        <f>IFERROR(__xludf.DUMMYFUNCTION("""COMPUTED_VALUE"""),"AGU")</f>
        <v>AGU</v>
      </c>
      <c r="C15" s="14">
        <f>IFERROR(__xludf.DUMMYFUNCTION("""COMPUTED_VALUE"""),1060.8)</f>
        <v>1060.8</v>
      </c>
      <c r="D15" s="15">
        <f>IFERROR(__xludf.DUMMYFUNCTION("""COMPUTED_VALUE"""),3.2593708863154895)</f>
        <v>3.259370886</v>
      </c>
      <c r="E15" s="15">
        <f>IFERROR(__xludf.DUMMYFUNCTION("""COMPUTED_VALUE"""),-0.23445483109409748)</f>
        <v>-0.2344548311</v>
      </c>
      <c r="F15" s="15">
        <f>IFERROR(__xludf.DUMMYFUNCTION("""COMPUTED_VALUE"""),3.024916055221392)</f>
        <v>3.024916055</v>
      </c>
      <c r="G15" s="17">
        <f>IFERROR(__xludf.DUMMYFUNCTION("""COMPUTED_VALUE"""),1.6401405810725282)</f>
        <v>1.640140581</v>
      </c>
      <c r="H15" s="4"/>
      <c r="I15" s="5" t="s">
        <v>1689</v>
      </c>
      <c r="J15" s="5" t="s">
        <v>1670</v>
      </c>
      <c r="K15" s="5">
        <v>114.0</v>
      </c>
      <c r="L15" s="5">
        <v>1.332002</v>
      </c>
      <c r="M15" s="5">
        <v>1.107562</v>
      </c>
      <c r="N15" s="5">
        <v>2.439564</v>
      </c>
      <c r="O15" s="5">
        <v>0.164029</v>
      </c>
    </row>
    <row r="16">
      <c r="A16" s="18" t="str">
        <f>IFERROR(__xludf.DUMMYFUNCTION("""COMPUTED_VALUE"""),"Alex Renfroe")</f>
        <v>Alex Renfroe</v>
      </c>
      <c r="B16" s="19" t="str">
        <f>IFERROR(__xludf.DUMMYFUNCTION("""COMPUTED_VALUE"""),"LEO")</f>
        <v>LEO</v>
      </c>
      <c r="C16" s="20">
        <f>IFERROR(__xludf.DUMMYFUNCTION("""COMPUTED_VALUE"""),857.9)</f>
        <v>857.9</v>
      </c>
      <c r="D16" s="21">
        <f>IFERROR(__xludf.DUMMYFUNCTION("""COMPUTED_VALUE"""),2.286350992653105)</f>
        <v>2.286350993</v>
      </c>
      <c r="E16" s="21">
        <f>IFERROR(__xludf.DUMMYFUNCTION("""COMPUTED_VALUE"""),0.6020770114977432)</f>
        <v>0.6020770115</v>
      </c>
      <c r="F16" s="21">
        <f>IFERROR(__xludf.DUMMYFUNCTION("""COMPUTED_VALUE"""),2.8884280041508483)</f>
        <v>2.888428004</v>
      </c>
      <c r="G16" s="23">
        <f>IFERROR(__xludf.DUMMYFUNCTION("""COMPUTED_VALUE"""),1.3379266123480398)</f>
        <v>1.337926612</v>
      </c>
      <c r="H16" s="4"/>
      <c r="I16" s="5" t="s">
        <v>1691</v>
      </c>
      <c r="J16" s="5" t="s">
        <v>1667</v>
      </c>
      <c r="K16" s="24">
        <v>225.0</v>
      </c>
      <c r="L16" s="5">
        <v>0.280258</v>
      </c>
      <c r="M16" s="5">
        <v>2.009844</v>
      </c>
      <c r="N16" s="5">
        <v>2.290102</v>
      </c>
      <c r="O16" s="5">
        <v>0.296793</v>
      </c>
    </row>
    <row r="17">
      <c r="A17" s="12" t="str">
        <f>IFERROR(__xludf.DUMMYFUNCTION("""COMPUTED_VALUE"""),"Deji Akindele")</f>
        <v>Deji Akindele</v>
      </c>
      <c r="B17" s="13" t="str">
        <f>IFERROR(__xludf.DUMMYFUNCTION("""COMPUTED_VALUE"""),"CAP")</f>
        <v>CAP</v>
      </c>
      <c r="C17" s="14">
        <f>IFERROR(__xludf.DUMMYFUNCTION("""COMPUTED_VALUE"""),508.7)</f>
        <v>508.7</v>
      </c>
      <c r="D17" s="15">
        <f>IFERROR(__xludf.DUMMYFUNCTION("""COMPUTED_VALUE"""),-0.32729245312029054)</f>
        <v>-0.3272924531</v>
      </c>
      <c r="E17" s="15">
        <f>IFERROR(__xludf.DUMMYFUNCTION("""COMPUTED_VALUE"""),2.924798245907944)</f>
        <v>2.924798246</v>
      </c>
      <c r="F17" s="15">
        <f>IFERROR(__xludf.DUMMYFUNCTION("""COMPUTED_VALUE"""),2.5975057927876533)</f>
        <v>2.597505793</v>
      </c>
      <c r="G17" s="17">
        <f>IFERROR(__xludf.DUMMYFUNCTION("""COMPUTED_VALUE"""),0.717985525776394)</f>
        <v>0.7179855258</v>
      </c>
      <c r="H17" s="4"/>
      <c r="I17" s="5" t="s">
        <v>1693</v>
      </c>
      <c r="J17" s="5" t="s">
        <v>1694</v>
      </c>
      <c r="K17" s="5">
        <v>155.0</v>
      </c>
      <c r="L17" s="5">
        <v>0.838279</v>
      </c>
      <c r="M17" s="5">
        <v>1.35986</v>
      </c>
      <c r="N17" s="5">
        <v>2.19814</v>
      </c>
      <c r="O17" s="5">
        <v>0.192297</v>
      </c>
    </row>
    <row r="18">
      <c r="A18" s="18" t="str">
        <f>IFERROR(__xludf.DUMMYFUNCTION("""COMPUTED_VALUE"""),"Justin Keenan")</f>
        <v>Justin Keenan</v>
      </c>
      <c r="B18" s="19" t="str">
        <f>IFERROR(__xludf.DUMMYFUNCTION("""COMPUTED_VALUE"""),"AGU")</f>
        <v>AGU</v>
      </c>
      <c r="C18" s="20">
        <f>IFERROR(__xludf.DUMMYFUNCTION("""COMPUTED_VALUE"""),321.8)</f>
        <v>321.8</v>
      </c>
      <c r="D18" s="21">
        <f>IFERROR(__xludf.DUMMYFUNCTION("""COMPUTED_VALUE"""),3.904342183078176)</f>
        <v>3.904342183</v>
      </c>
      <c r="E18" s="21">
        <f>IFERROR(__xludf.DUMMYFUNCTION("""COMPUTED_VALUE"""),-1.5762519363624907)</f>
        <v>-1.576251936</v>
      </c>
      <c r="F18" s="21">
        <f>IFERROR(__xludf.DUMMYFUNCTION("""COMPUTED_VALUE"""),2.328090246715685)</f>
        <v>2.328090247</v>
      </c>
      <c r="G18" s="23">
        <f>IFERROR(__xludf.DUMMYFUNCTION("""COMPUTED_VALUE"""),0.428549605678966)</f>
        <v>0.4285496057</v>
      </c>
      <c r="H18" s="4"/>
      <c r="I18" s="5" t="s">
        <v>1696</v>
      </c>
      <c r="J18" s="5" t="s">
        <v>1694</v>
      </c>
      <c r="K18" s="24">
        <v>175.0</v>
      </c>
      <c r="L18" s="5">
        <v>-0.460584</v>
      </c>
      <c r="M18" s="5">
        <v>2.501369</v>
      </c>
      <c r="N18" s="5">
        <v>2.040785</v>
      </c>
      <c r="O18" s="5">
        <v>0.209529</v>
      </c>
    </row>
    <row r="19">
      <c r="A19" s="12" t="str">
        <f>IFERROR(__xludf.DUMMYFUNCTION("""COMPUTED_VALUE"""),"Carlos Lopez-Sosa")</f>
        <v>Carlos Lopez-Sosa</v>
      </c>
      <c r="B19" s="13" t="str">
        <f>IFERROR(__xludf.DUMMYFUNCTION("""COMPUTED_VALUE"""),"ATL")</f>
        <v>ATL</v>
      </c>
      <c r="C19" s="14">
        <f>IFERROR(__xludf.DUMMYFUNCTION("""COMPUTED_VALUE"""),828.5)</f>
        <v>828.5</v>
      </c>
      <c r="D19" s="15">
        <f>IFERROR(__xludf.DUMMYFUNCTION("""COMPUTED_VALUE"""),1.269452858838699)</f>
        <v>1.269452859</v>
      </c>
      <c r="E19" s="15">
        <f>IFERROR(__xludf.DUMMYFUNCTION("""COMPUTED_VALUE"""),1.0384425054111541)</f>
        <v>1.038442505</v>
      </c>
      <c r="F19" s="15">
        <f>IFERROR(__xludf.DUMMYFUNCTION("""COMPUTED_VALUE"""),2.307895364249853)</f>
        <v>2.307895364</v>
      </c>
      <c r="G19" s="17">
        <f>IFERROR(__xludf.DUMMYFUNCTION("""COMPUTED_VALUE"""),1.1901318979470512)</f>
        <v>1.190131898</v>
      </c>
      <c r="H19" s="4"/>
      <c r="I19" s="5" t="s">
        <v>1699</v>
      </c>
      <c r="J19" s="5" t="s">
        <v>1679</v>
      </c>
      <c r="K19" s="5">
        <v>280.0</v>
      </c>
      <c r="L19" s="5">
        <v>0.107674</v>
      </c>
      <c r="M19" s="5">
        <v>1.906185</v>
      </c>
      <c r="N19" s="5">
        <v>2.013859</v>
      </c>
      <c r="O19" s="5">
        <v>0.338621</v>
      </c>
    </row>
    <row r="20">
      <c r="A20" s="18" t="str">
        <f>IFERROR(__xludf.DUMMYFUNCTION("""COMPUTED_VALUE"""),"Chinemelu Elonu")</f>
        <v>Chinemelu Elonu</v>
      </c>
      <c r="B20" s="19" t="str">
        <f>IFERROR(__xludf.DUMMYFUNCTION("""COMPUTED_VALUE"""),"CAP")</f>
        <v>CAP</v>
      </c>
      <c r="C20" s="20">
        <f>IFERROR(__xludf.DUMMYFUNCTION("""COMPUTED_VALUE"""),1027.9)</f>
        <v>1027.9</v>
      </c>
      <c r="D20" s="21">
        <f>IFERROR(__xludf.DUMMYFUNCTION("""COMPUTED_VALUE"""),-1.9039915853523561)</f>
        <v>-1.903991585</v>
      </c>
      <c r="E20" s="21">
        <f>IFERROR(__xludf.DUMMYFUNCTION("""COMPUTED_VALUE"""),4.039100750571602)</f>
        <v>4.039100751</v>
      </c>
      <c r="F20" s="21">
        <f>IFERROR(__xludf.DUMMYFUNCTION("""COMPUTED_VALUE"""),2.1351091652192453)</f>
        <v>2.135109165</v>
      </c>
      <c r="G20" s="23">
        <f>IFERROR(__xludf.DUMMYFUNCTION("""COMPUTED_VALUE"""),1.304876806158293)</f>
        <v>1.304876806</v>
      </c>
      <c r="H20" s="4"/>
      <c r="I20" s="5" t="s">
        <v>1701</v>
      </c>
      <c r="J20" s="5" t="s">
        <v>1662</v>
      </c>
      <c r="K20" s="5">
        <v>133.0</v>
      </c>
      <c r="L20" s="5">
        <v>-1.046463</v>
      </c>
      <c r="M20" s="5">
        <v>3.018816</v>
      </c>
      <c r="N20" s="5">
        <v>1.972353</v>
      </c>
      <c r="O20" s="5">
        <v>0.159083</v>
      </c>
    </row>
    <row r="21">
      <c r="A21" s="12" t="str">
        <f>IFERROR(__xludf.DUMMYFUNCTION("""COMPUTED_VALUE"""),"Jose Guitian")</f>
        <v>Jose Guitian</v>
      </c>
      <c r="B21" s="13" t="str">
        <f>IFERROR(__xludf.DUMMYFUNCTION("""COMPUTED_VALUE"""),"LEO")</f>
        <v>LEO</v>
      </c>
      <c r="C21" s="14">
        <f>IFERROR(__xludf.DUMMYFUNCTION("""COMPUTED_VALUE"""),406.25)</f>
        <v>406.25</v>
      </c>
      <c r="D21" s="15">
        <f>IFERROR(__xludf.DUMMYFUNCTION("""COMPUTED_VALUE"""),1.3942376047204572)</f>
        <v>1.394237605</v>
      </c>
      <c r="E21" s="15">
        <f>IFERROR(__xludf.DUMMYFUNCTION("""COMPUTED_VALUE"""),0.7190820742624062)</f>
        <v>0.7190820743</v>
      </c>
      <c r="F21" s="15">
        <f>IFERROR(__xludf.DUMMYFUNCTION("""COMPUTED_VALUE"""),2.1133196789828634)</f>
        <v>2.113319679</v>
      </c>
      <c r="G21" s="17">
        <f>IFERROR(__xludf.DUMMYFUNCTION("""COMPUTED_VALUE"""),0.5331043648602121)</f>
        <v>0.5331043649</v>
      </c>
      <c r="H21" s="4"/>
      <c r="I21" s="5" t="s">
        <v>1702</v>
      </c>
      <c r="J21" s="5" t="s">
        <v>1674</v>
      </c>
      <c r="K21" s="5">
        <v>211.0</v>
      </c>
      <c r="L21" s="5">
        <v>1.045845</v>
      </c>
      <c r="M21" s="5">
        <v>0.704903</v>
      </c>
      <c r="N21" s="5">
        <v>1.750748</v>
      </c>
      <c r="O21" s="5">
        <v>0.240807</v>
      </c>
    </row>
    <row r="22">
      <c r="A22" s="18" t="str">
        <f>IFERROR(__xludf.DUMMYFUNCTION("""COMPUTED_VALUE"""),"Ismael Romero")</f>
        <v>Ismael Romero</v>
      </c>
      <c r="B22" s="19" t="str">
        <f>IFERROR(__xludf.DUMMYFUNCTION("""COMPUTED_VALUE"""),"VAQ")</f>
        <v>VAQ</v>
      </c>
      <c r="C22" s="20">
        <f>IFERROR(__xludf.DUMMYFUNCTION("""COMPUTED_VALUE"""),1343.1)</f>
        <v>1343.1</v>
      </c>
      <c r="D22" s="21">
        <f>IFERROR(__xludf.DUMMYFUNCTION("""COMPUTED_VALUE"""),0.21454657699777718)</f>
        <v>0.214546577</v>
      </c>
      <c r="E22" s="21">
        <f>IFERROR(__xludf.DUMMYFUNCTION("""COMPUTED_VALUE"""),1.798080498628318)</f>
        <v>1.798080499</v>
      </c>
      <c r="F22" s="21">
        <f>IFERROR(__xludf.DUMMYFUNCTION("""COMPUTED_VALUE"""),2.0126270756260953)</f>
        <v>2.012627076</v>
      </c>
      <c r="G22" s="23">
        <f>IFERROR(__xludf.DUMMYFUNCTION("""COMPUTED_VALUE"""),1.7135844111864578)</f>
        <v>1.713584411</v>
      </c>
      <c r="H22" s="4"/>
      <c r="I22" s="5" t="s">
        <v>1704</v>
      </c>
      <c r="J22" s="5" t="s">
        <v>1659</v>
      </c>
      <c r="K22" s="5">
        <v>194.0</v>
      </c>
      <c r="L22" s="5">
        <v>0.312047</v>
      </c>
      <c r="M22" s="5">
        <v>1.404064</v>
      </c>
      <c r="N22" s="5">
        <v>1.716111</v>
      </c>
      <c r="O22" s="5">
        <v>0.219551</v>
      </c>
    </row>
    <row r="23">
      <c r="A23" s="12" t="str">
        <f>IFERROR(__xludf.DUMMYFUNCTION("""COMPUTED_VALUE"""),"Eric Dawson")</f>
        <v>Eric Dawson</v>
      </c>
      <c r="B23" s="13" t="str">
        <f>IFERROR(__xludf.DUMMYFUNCTION("""COMPUTED_VALUE"""),"VAQ")</f>
        <v>VAQ</v>
      </c>
      <c r="C23" s="14">
        <f>IFERROR(__xludf.DUMMYFUNCTION("""COMPUTED_VALUE"""),363.0)</f>
        <v>363</v>
      </c>
      <c r="D23" s="15">
        <f>IFERROR(__xludf.DUMMYFUNCTION("""COMPUTED_VALUE"""),-2.0662495861827184)</f>
        <v>-2.066249586</v>
      </c>
      <c r="E23" s="15">
        <f>IFERROR(__xludf.DUMMYFUNCTION("""COMPUTED_VALUE"""),4.009693987322402)</f>
        <v>4.009693987</v>
      </c>
      <c r="F23" s="15">
        <f>IFERROR(__xludf.DUMMYFUNCTION("""COMPUTED_VALUE"""),1.9434444011396836)</f>
        <v>1.943444401</v>
      </c>
      <c r="G23" s="17">
        <f>IFERROR(__xludf.DUMMYFUNCTION("""COMPUTED_VALUE"""),0.4551459696371117)</f>
        <v>0.4551459696</v>
      </c>
      <c r="H23" s="4"/>
      <c r="I23" s="5" t="s">
        <v>1706</v>
      </c>
      <c r="J23" s="5" t="s">
        <v>1662</v>
      </c>
      <c r="K23" s="24">
        <v>158.0</v>
      </c>
      <c r="L23" s="5">
        <v>2.440814</v>
      </c>
      <c r="M23" s="5">
        <v>-0.766456</v>
      </c>
      <c r="N23" s="5">
        <v>1.674357</v>
      </c>
      <c r="O23" s="5">
        <v>0.174788</v>
      </c>
    </row>
    <row r="24">
      <c r="A24" s="18" t="str">
        <f>IFERROR(__xludf.DUMMYFUNCTION("""COMPUTED_VALUE"""),"Tu Holloway")</f>
        <v>Tu Holloway</v>
      </c>
      <c r="B24" s="19" t="str">
        <f>IFERROR(__xludf.DUMMYFUNCTION("""COMPUTED_VALUE"""),"PIR")</f>
        <v>PIR</v>
      </c>
      <c r="C24" s="20">
        <f>IFERROR(__xludf.DUMMYFUNCTION("""COMPUTED_VALUE"""),652.6)</f>
        <v>652.6</v>
      </c>
      <c r="D24" s="21">
        <f>IFERROR(__xludf.DUMMYFUNCTION("""COMPUTED_VALUE"""),4.4922190209704125)</f>
        <v>4.492219021</v>
      </c>
      <c r="E24" s="21">
        <f>IFERROR(__xludf.DUMMYFUNCTION("""COMPUTED_VALUE"""),-2.64792070236107)</f>
        <v>-2.647920702</v>
      </c>
      <c r="F24" s="21">
        <f>IFERROR(__xludf.DUMMYFUNCTION("""COMPUTED_VALUE"""),1.8442983186093427)</f>
        <v>1.844298319</v>
      </c>
      <c r="G24" s="23">
        <f>IFERROR(__xludf.DUMMYFUNCTION("""COMPUTED_VALUE"""),0.8051226366375931)</f>
        <v>0.8051226366</v>
      </c>
      <c r="H24" s="4"/>
      <c r="I24" s="5" t="s">
        <v>1708</v>
      </c>
      <c r="J24" s="5" t="s">
        <v>1679</v>
      </c>
      <c r="K24" s="24">
        <v>213.0</v>
      </c>
      <c r="L24" s="5">
        <v>2.717243</v>
      </c>
      <c r="M24" s="5">
        <v>-1.079591</v>
      </c>
      <c r="N24" s="5">
        <v>1.637652</v>
      </c>
      <c r="O24" s="5">
        <v>0.232846</v>
      </c>
    </row>
    <row r="25">
      <c r="A25" s="12" t="str">
        <f>IFERROR(__xludf.DUMMYFUNCTION("""COMPUTED_VALUE"""),"Kyle Vinales")</f>
        <v>Kyle Vinales</v>
      </c>
      <c r="B25" s="13" t="str">
        <f>IFERROR(__xludf.DUMMYFUNCTION("""COMPUTED_VALUE"""),"CAC")</f>
        <v>CAC</v>
      </c>
      <c r="C25" s="14">
        <f>IFERROR(__xludf.DUMMYFUNCTION("""COMPUTED_VALUE"""),873.0)</f>
        <v>873</v>
      </c>
      <c r="D25" s="15">
        <f>IFERROR(__xludf.DUMMYFUNCTION("""COMPUTED_VALUE"""),3.7590517738060063)</f>
        <v>3.759051774</v>
      </c>
      <c r="E25" s="15">
        <f>IFERROR(__xludf.DUMMYFUNCTION("""COMPUTED_VALUE"""),-1.9594515864401367)</f>
        <v>-1.959451586</v>
      </c>
      <c r="F25" s="15">
        <f>IFERROR(__xludf.DUMMYFUNCTION("""COMPUTED_VALUE"""),1.7996001873658696)</f>
        <v>1.799600187</v>
      </c>
      <c r="G25" s="17">
        <f>IFERROR(__xludf.DUMMYFUNCTION("""COMPUTED_VALUE"""),1.0879247847841877)</f>
        <v>1.087924785</v>
      </c>
      <c r="H25" s="4"/>
      <c r="I25" s="5" t="s">
        <v>1710</v>
      </c>
      <c r="J25" s="5" t="s">
        <v>1670</v>
      </c>
      <c r="K25" s="5">
        <v>165.0</v>
      </c>
      <c r="L25" s="5">
        <v>3.400902</v>
      </c>
      <c r="M25" s="5">
        <v>-1.819237</v>
      </c>
      <c r="N25" s="5">
        <v>1.581665</v>
      </c>
      <c r="O25" s="5">
        <v>0.190285</v>
      </c>
    </row>
    <row r="26">
      <c r="A26" s="18" t="str">
        <f>IFERROR(__xludf.DUMMYFUNCTION("""COMPUTED_VALUE"""),"Chris Gaston")</f>
        <v>Chris Gaston</v>
      </c>
      <c r="B26" s="19" t="str">
        <f>IFERROR(__xludf.DUMMYFUNCTION("""COMPUTED_VALUE"""),"AGU")</f>
        <v>AGU</v>
      </c>
      <c r="C26" s="20">
        <f>IFERROR(__xludf.DUMMYFUNCTION("""COMPUTED_VALUE"""),887.4)</f>
        <v>887.4</v>
      </c>
      <c r="D26" s="21">
        <f>IFERROR(__xludf.DUMMYFUNCTION("""COMPUTED_VALUE"""),-0.21047573641249046)</f>
        <v>-0.2104757364</v>
      </c>
      <c r="E26" s="21">
        <f>IFERROR(__xludf.DUMMYFUNCTION("""COMPUTED_VALUE"""),1.9518931526516947)</f>
        <v>1.951893153</v>
      </c>
      <c r="F26" s="21">
        <f>IFERROR(__xludf.DUMMYFUNCTION("""COMPUTED_VALUE"""),1.7414174162392042)</f>
        <v>1.741417416</v>
      </c>
      <c r="G26" s="23">
        <f>IFERROR(__xludf.DUMMYFUNCTION("""COMPUTED_VALUE"""),1.0215846062960365)</f>
        <v>1.021584606</v>
      </c>
      <c r="H26" s="4"/>
      <c r="I26" s="5" t="s">
        <v>1711</v>
      </c>
      <c r="J26" s="5" t="s">
        <v>1665</v>
      </c>
      <c r="K26" s="24">
        <v>137.0</v>
      </c>
      <c r="L26" s="5">
        <v>0.727757</v>
      </c>
      <c r="M26" s="5">
        <v>0.616289</v>
      </c>
      <c r="N26" s="5">
        <v>1.344046</v>
      </c>
      <c r="O26" s="5">
        <v>0.13783</v>
      </c>
    </row>
    <row r="27">
      <c r="A27" s="12" t="str">
        <f>IFERROR(__xludf.DUMMYFUNCTION("""COMPUTED_VALUE"""),"Benito Santiago")</f>
        <v>Benito Santiago</v>
      </c>
      <c r="B27" s="13" t="str">
        <f>IFERROR(__xludf.DUMMYFUNCTION("""COMPUTED_VALUE"""),"VAQ")</f>
        <v>VAQ</v>
      </c>
      <c r="C27" s="14">
        <f>IFERROR(__xludf.DUMMYFUNCTION("""COMPUTED_VALUE"""),248.3)</f>
        <v>248.3</v>
      </c>
      <c r="D27" s="15">
        <f>IFERROR(__xludf.DUMMYFUNCTION("""COMPUTED_VALUE"""),0.7739529840618983)</f>
        <v>0.7739529841</v>
      </c>
      <c r="E27" s="15">
        <f>IFERROR(__xludf.DUMMYFUNCTION("""COMPUTED_VALUE"""),0.8463317433703091)</f>
        <v>0.8463317434</v>
      </c>
      <c r="F27" s="15">
        <f>IFERROR(__xludf.DUMMYFUNCTION("""COMPUTED_VALUE"""),1.6202847274322074)</f>
        <v>1.620284727</v>
      </c>
      <c r="G27" s="17">
        <f>IFERROR(__xludf.DUMMYFUNCTION("""COMPUTED_VALUE"""),0.28581683253828316)</f>
        <v>0.2858168325</v>
      </c>
      <c r="H27" s="4"/>
      <c r="I27" s="5" t="s">
        <v>1713</v>
      </c>
      <c r="J27" s="5" t="s">
        <v>1694</v>
      </c>
      <c r="K27" s="24">
        <v>202.0</v>
      </c>
      <c r="L27" s="5">
        <v>0.653206</v>
      </c>
      <c r="M27" s="5">
        <v>0.68663</v>
      </c>
      <c r="N27" s="5">
        <v>1.339836</v>
      </c>
      <c r="O27" s="5">
        <v>0.200412</v>
      </c>
    </row>
    <row r="28">
      <c r="A28" s="18" t="str">
        <f>IFERROR(__xludf.DUMMYFUNCTION("""COMPUTED_VALUE"""),"Raymond Cintron")</f>
        <v>Raymond Cintron</v>
      </c>
      <c r="B28" s="19" t="str">
        <f>IFERROR(__xludf.DUMMYFUNCTION("""COMPUTED_VALUE"""),"CAP")</f>
        <v>CAP</v>
      </c>
      <c r="C28" s="20">
        <f>IFERROR(__xludf.DUMMYFUNCTION("""COMPUTED_VALUE"""),806.9)</f>
        <v>806.9</v>
      </c>
      <c r="D28" s="21">
        <f>IFERROR(__xludf.DUMMYFUNCTION("""COMPUTED_VALUE"""),1.8883594003847195)</f>
        <v>1.8883594</v>
      </c>
      <c r="E28" s="21">
        <f>IFERROR(__xludf.DUMMYFUNCTION("""COMPUTED_VALUE"""),-0.27867404200342216)</f>
        <v>-0.278674042</v>
      </c>
      <c r="F28" s="21">
        <f>IFERROR(__xludf.DUMMYFUNCTION("""COMPUTED_VALUE"""),1.6096853583812973)</f>
        <v>1.609685358</v>
      </c>
      <c r="G28" s="23">
        <f>IFERROR(__xludf.DUMMYFUNCTION("""COMPUTED_VALUE"""),0.8941713071080853)</f>
        <v>0.8941713071</v>
      </c>
      <c r="H28" s="4"/>
      <c r="I28" s="5" t="s">
        <v>1714</v>
      </c>
      <c r="J28" s="5" t="s">
        <v>1674</v>
      </c>
      <c r="K28" s="5">
        <v>83.0</v>
      </c>
      <c r="L28" s="5">
        <v>0.69136</v>
      </c>
      <c r="M28" s="5">
        <v>0.629601</v>
      </c>
      <c r="N28" s="5">
        <v>1.320961</v>
      </c>
      <c r="O28" s="5">
        <v>0.083911</v>
      </c>
    </row>
    <row r="29">
      <c r="A29" s="12" t="str">
        <f>IFERROR(__xludf.DUMMYFUNCTION("""COMPUTED_VALUE"""),"Ramon Clemente")</f>
        <v>Ramon Clemente</v>
      </c>
      <c r="B29" s="13" t="str">
        <f>IFERROR(__xludf.DUMMYFUNCTION("""COMPUTED_VALUE"""),"VAQ")</f>
        <v>VAQ</v>
      </c>
      <c r="C29" s="14">
        <f>IFERROR(__xludf.DUMMYFUNCTION("""COMPUTED_VALUE"""),601.9)</f>
        <v>601.9</v>
      </c>
      <c r="D29" s="15">
        <f>IFERROR(__xludf.DUMMYFUNCTION("""COMPUTED_VALUE"""),-0.3579526335743684)</f>
        <v>-0.3579526336</v>
      </c>
      <c r="E29" s="15">
        <f>IFERROR(__xludf.DUMMYFUNCTION("""COMPUTED_VALUE"""),1.897427601323307)</f>
        <v>1.897427601</v>
      </c>
      <c r="F29" s="15">
        <f>IFERROR(__xludf.DUMMYFUNCTION("""COMPUTED_VALUE"""),1.5394749677489385)</f>
        <v>1.539474968</v>
      </c>
      <c r="G29" s="17">
        <f>IFERROR(__xludf.DUMMYFUNCTION("""COMPUTED_VALUE"""),0.6773787102296573)</f>
        <v>0.6773787102</v>
      </c>
      <c r="H29" s="4"/>
      <c r="I29" s="5" t="s">
        <v>1716</v>
      </c>
      <c r="J29" s="5" t="s">
        <v>1659</v>
      </c>
      <c r="K29" s="5">
        <v>180.0</v>
      </c>
      <c r="L29" s="5">
        <v>-1.512847</v>
      </c>
      <c r="M29" s="5">
        <v>2.762604</v>
      </c>
      <c r="N29" s="5">
        <v>1.249757</v>
      </c>
      <c r="O29" s="5">
        <v>0.178319</v>
      </c>
    </row>
    <row r="30">
      <c r="A30" s="18" t="str">
        <f>IFERROR(__xludf.DUMMYFUNCTION("""COMPUTED_VALUE"""),"Alejandro Carmona Sanchez")</f>
        <v>Alejandro Carmona Sanchez</v>
      </c>
      <c r="B30" s="19" t="str">
        <f>IFERROR(__xludf.DUMMYFUNCTION("""COMPUTED_VALUE"""),"PIR")</f>
        <v>PIR</v>
      </c>
      <c r="C30" s="20">
        <f>IFERROR(__xludf.DUMMYFUNCTION("""COMPUTED_VALUE"""),1142.0)</f>
        <v>1142</v>
      </c>
      <c r="D30" s="21">
        <f>IFERROR(__xludf.DUMMYFUNCTION("""COMPUTED_VALUE"""),0.4378701436550514)</f>
        <v>0.4378701437</v>
      </c>
      <c r="E30" s="21">
        <f>IFERROR(__xludf.DUMMYFUNCTION("""COMPUTED_VALUE"""),1.089529413806132)</f>
        <v>1.089529414</v>
      </c>
      <c r="F30" s="21">
        <f>IFERROR(__xludf.DUMMYFUNCTION("""COMPUTED_VALUE"""),1.5273995574611834)</f>
        <v>1.527399557</v>
      </c>
      <c r="G30" s="23">
        <f>IFERROR(__xludf.DUMMYFUNCTION("""COMPUTED_VALUE"""),1.2927622036781772)</f>
        <v>1.292762204</v>
      </c>
      <c r="H30" s="4"/>
      <c r="I30" s="5" t="s">
        <v>1717</v>
      </c>
      <c r="J30" s="5" t="s">
        <v>1662</v>
      </c>
      <c r="K30" s="5">
        <v>204.0</v>
      </c>
      <c r="L30" s="5">
        <v>-1.355112</v>
      </c>
      <c r="M30" s="5">
        <v>2.044084</v>
      </c>
      <c r="N30" s="5">
        <v>0.688972</v>
      </c>
      <c r="O30" s="5">
        <v>0.165292</v>
      </c>
    </row>
    <row r="31">
      <c r="A31" s="12" t="str">
        <f>IFERROR(__xludf.DUMMYFUNCTION("""COMPUTED_VALUE"""),"Mike Young")</f>
        <v>Mike Young</v>
      </c>
      <c r="B31" s="13" t="str">
        <f>IFERROR(__xludf.DUMMYFUNCTION("""COMPUTED_VALUE"""),"LEO")</f>
        <v>LEO</v>
      </c>
      <c r="C31" s="14">
        <f>IFERROR(__xludf.DUMMYFUNCTION("""COMPUTED_VALUE"""),695.4)</f>
        <v>695.4</v>
      </c>
      <c r="D31" s="15">
        <f>IFERROR(__xludf.DUMMYFUNCTION("""COMPUTED_VALUE"""),1.4782909070488472)</f>
        <v>1.478290907</v>
      </c>
      <c r="E31" s="15">
        <f>IFERROR(__xludf.DUMMYFUNCTION("""COMPUTED_VALUE"""),-0.2524196850045597)</f>
        <v>-0.252419685</v>
      </c>
      <c r="F31" s="15">
        <f>IFERROR(__xludf.DUMMYFUNCTION("""COMPUTED_VALUE"""),1.2258712220442876)</f>
        <v>1.225871222</v>
      </c>
      <c r="G31" s="17">
        <f>IFERROR(__xludf.DUMMYFUNCTION("""COMPUTED_VALUE"""),0.7156622567959124)</f>
        <v>0.7156622568</v>
      </c>
      <c r="H31" s="4"/>
      <c r="I31" s="5" t="s">
        <v>1719</v>
      </c>
      <c r="J31" s="5" t="s">
        <v>1667</v>
      </c>
      <c r="K31" s="24">
        <v>254.0</v>
      </c>
      <c r="L31" s="5">
        <v>0.944914</v>
      </c>
      <c r="M31" s="5">
        <v>-0.274794</v>
      </c>
      <c r="N31" s="5">
        <v>0.670121</v>
      </c>
      <c r="O31" s="5">
        <v>0.208416</v>
      </c>
    </row>
    <row r="32">
      <c r="A32" s="18" t="str">
        <f>IFERROR(__xludf.DUMMYFUNCTION("""COMPUTED_VALUE"""),"Kleon Penn")</f>
        <v>Kleon Penn</v>
      </c>
      <c r="B32" s="19" t="str">
        <f>IFERROR(__xludf.DUMMYFUNCTION("""COMPUTED_VALUE"""),"CAC")</f>
        <v>CAC</v>
      </c>
      <c r="C32" s="20">
        <f>IFERROR(__xludf.DUMMYFUNCTION("""COMPUTED_VALUE"""),646.9)</f>
        <v>646.9</v>
      </c>
      <c r="D32" s="21">
        <f>IFERROR(__xludf.DUMMYFUNCTION("""COMPUTED_VALUE"""),-1.0309040598845653)</f>
        <v>-1.03090406</v>
      </c>
      <c r="E32" s="21">
        <f>IFERROR(__xludf.DUMMYFUNCTION("""COMPUTED_VALUE"""),2.1124764290233964)</f>
        <v>2.112476429</v>
      </c>
      <c r="F32" s="21">
        <f>IFERROR(__xludf.DUMMYFUNCTION("""COMPUTED_VALUE"""),1.0815723691388313)</f>
        <v>1.081572369</v>
      </c>
      <c r="G32" s="23">
        <f>IFERROR(__xludf.DUMMYFUNCTION("""COMPUTED_VALUE"""),0.6538170612309356)</f>
        <v>0.6538170612</v>
      </c>
      <c r="H32" s="4"/>
      <c r="I32" s="5" t="s">
        <v>1721</v>
      </c>
      <c r="J32" s="5" t="s">
        <v>1679</v>
      </c>
      <c r="K32" s="24">
        <v>19.0</v>
      </c>
      <c r="L32" s="5">
        <v>0.431737</v>
      </c>
      <c r="M32" s="5">
        <v>0.196695</v>
      </c>
      <c r="N32" s="5">
        <v>0.628432</v>
      </c>
      <c r="O32" s="5">
        <v>0.01464</v>
      </c>
    </row>
    <row r="33">
      <c r="A33" s="12" t="str">
        <f>IFERROR(__xludf.DUMMYFUNCTION("""COMPUTED_VALUE"""),"Glen Rice")</f>
        <v>Glen Rice</v>
      </c>
      <c r="B33" s="13" t="str">
        <f>IFERROR(__xludf.DUMMYFUNCTION("""COMPUTED_VALUE"""),"CAC")</f>
        <v>CAC</v>
      </c>
      <c r="C33" s="14">
        <f>IFERROR(__xludf.DUMMYFUNCTION("""COMPUTED_VALUE"""),63.2)</f>
        <v>63.2</v>
      </c>
      <c r="D33" s="15">
        <f>IFERROR(__xludf.DUMMYFUNCTION("""COMPUTED_VALUE"""),0.8966024513462774)</f>
        <v>0.8966024513</v>
      </c>
      <c r="E33" s="15">
        <f>IFERROR(__xludf.DUMMYFUNCTION("""COMPUTED_VALUE"""),0.16321571269078294)</f>
        <v>0.1632157127</v>
      </c>
      <c r="F33" s="15">
        <f>IFERROR(__xludf.DUMMYFUNCTION("""COMPUTED_VALUE"""),1.0598181640370603)</f>
        <v>1.059818164</v>
      </c>
      <c r="G33" s="17">
        <f>IFERROR(__xludf.DUMMYFUNCTION("""COMPUTED_VALUE"""),0.06342484629333454)</f>
        <v>0.06342484629</v>
      </c>
      <c r="H33" s="4"/>
      <c r="I33" s="5" t="s">
        <v>1722</v>
      </c>
      <c r="J33" s="5" t="s">
        <v>1667</v>
      </c>
      <c r="K33" s="24">
        <v>50.0</v>
      </c>
      <c r="L33" s="5">
        <v>0.313536</v>
      </c>
      <c r="M33" s="5">
        <v>0.238516</v>
      </c>
      <c r="N33" s="5">
        <v>0.552051</v>
      </c>
      <c r="O33" s="5">
        <v>0.039339</v>
      </c>
    </row>
    <row r="34">
      <c r="A34" s="18" t="str">
        <f>IFERROR(__xludf.DUMMYFUNCTION("""COMPUTED_VALUE"""),"Alexis Colon")</f>
        <v>Alexis Colon</v>
      </c>
      <c r="B34" s="19" t="str">
        <f>IFERROR(__xludf.DUMMYFUNCTION("""COMPUTED_VALUE"""),"PIR")</f>
        <v>PIR</v>
      </c>
      <c r="C34" s="20">
        <f>IFERROR(__xludf.DUMMYFUNCTION("""COMPUTED_VALUE"""),342.0)</f>
        <v>342</v>
      </c>
      <c r="D34" s="21">
        <f>IFERROR(__xludf.DUMMYFUNCTION("""COMPUTED_VALUE"""),-2.536994583571416)</f>
        <v>-2.536994584</v>
      </c>
      <c r="E34" s="21">
        <f>IFERROR(__xludf.DUMMYFUNCTION("""COMPUTED_VALUE"""),3.5408286358018985)</f>
        <v>3.540828636</v>
      </c>
      <c r="F34" s="21">
        <f>IFERROR(__xludf.DUMMYFUNCTION("""COMPUTED_VALUE"""),1.0038340522304825)</f>
        <v>1.003834052</v>
      </c>
      <c r="G34" s="23">
        <f>IFERROR(__xludf.DUMMYFUNCTION("""COMPUTED_VALUE"""),0.32968556209528554)</f>
        <v>0.3296855621</v>
      </c>
      <c r="H34" s="4"/>
      <c r="I34" s="5" t="s">
        <v>1724</v>
      </c>
      <c r="J34" s="5" t="s">
        <v>1662</v>
      </c>
      <c r="K34" s="24">
        <v>120.0</v>
      </c>
      <c r="L34" s="5">
        <v>0.101564</v>
      </c>
      <c r="M34" s="5">
        <v>0.436959</v>
      </c>
      <c r="N34" s="5">
        <v>0.538522</v>
      </c>
      <c r="O34" s="5">
        <v>0.091732</v>
      </c>
    </row>
    <row r="35">
      <c r="A35" s="12" t="str">
        <f>IFERROR(__xludf.DUMMYFUNCTION("""COMPUTED_VALUE"""),"Sammy Mojica")</f>
        <v>Sammy Mojica</v>
      </c>
      <c r="B35" s="13" t="str">
        <f>IFERROR(__xludf.DUMMYFUNCTION("""COMPUTED_VALUE"""),"ATL")</f>
        <v>ATL</v>
      </c>
      <c r="C35" s="14">
        <f>IFERROR(__xludf.DUMMYFUNCTION("""COMPUTED_VALUE"""),304.8)</f>
        <v>304.8</v>
      </c>
      <c r="D35" s="15">
        <f>IFERROR(__xludf.DUMMYFUNCTION("""COMPUTED_VALUE"""),0.9471067329399472)</f>
        <v>0.9471067329</v>
      </c>
      <c r="E35" s="15">
        <f>IFERROR(__xludf.DUMMYFUNCTION("""COMPUTED_VALUE"""),0.046546906791915976)</f>
        <v>0.04654690679</v>
      </c>
      <c r="F35" s="15">
        <f>IFERROR(__xludf.DUMMYFUNCTION("""COMPUTED_VALUE"""),0.9936536397318632)</f>
        <v>0.9936536397</v>
      </c>
      <c r="G35" s="17">
        <f>IFERROR(__xludf.DUMMYFUNCTION("""COMPUTED_VALUE"""),0.3042663684433619)</f>
        <v>0.3042663684</v>
      </c>
      <c r="H35" s="4"/>
      <c r="I35" s="5" t="s">
        <v>1726</v>
      </c>
      <c r="J35" s="5" t="s">
        <v>1670</v>
      </c>
      <c r="K35" s="5">
        <v>52.0</v>
      </c>
      <c r="L35" s="5">
        <v>0.871215</v>
      </c>
      <c r="M35" s="5">
        <v>-0.449182</v>
      </c>
      <c r="N35" s="5">
        <v>0.422033</v>
      </c>
      <c r="O35" s="5">
        <v>0.040519</v>
      </c>
    </row>
    <row r="36">
      <c r="A36" s="18" t="str">
        <f>IFERROR(__xludf.DUMMYFUNCTION("""COMPUTED_VALUE"""),"Semaj Christon")</f>
        <v>Semaj Christon</v>
      </c>
      <c r="B36" s="19" t="str">
        <f>IFERROR(__xludf.DUMMYFUNCTION("""COMPUTED_VALUE"""),"AGU")</f>
        <v>AGU</v>
      </c>
      <c r="C36" s="20">
        <f>IFERROR(__xludf.DUMMYFUNCTION("""COMPUTED_VALUE"""),100.5)</f>
        <v>100.5</v>
      </c>
      <c r="D36" s="21">
        <f>IFERROR(__xludf.DUMMYFUNCTION("""COMPUTED_VALUE"""),0.9863700740843101)</f>
        <v>0.9863700741</v>
      </c>
      <c r="E36" s="21">
        <f>IFERROR(__xludf.DUMMYFUNCTION("""COMPUTED_VALUE"""),-0.24330974973716002)</f>
        <v>-0.2433097497</v>
      </c>
      <c r="F36" s="21">
        <f>IFERROR(__xludf.DUMMYFUNCTION("""COMPUTED_VALUE"""),0.7430603243471501)</f>
        <v>0.7430603243</v>
      </c>
      <c r="G36" s="23">
        <f>IFERROR(__xludf.DUMMYFUNCTION("""COMPUTED_VALUE"""),0.08482427815510092)</f>
        <v>0.08482427816</v>
      </c>
      <c r="H36" s="4"/>
      <c r="I36" s="5" t="s">
        <v>1727</v>
      </c>
      <c r="J36" s="5" t="s">
        <v>1679</v>
      </c>
      <c r="K36" s="5">
        <v>101.0</v>
      </c>
      <c r="L36" s="5">
        <v>0.963479</v>
      </c>
      <c r="M36" s="5">
        <v>-0.600437</v>
      </c>
      <c r="N36" s="5">
        <v>0.363042</v>
      </c>
      <c r="O36" s="5">
        <v>0.071858</v>
      </c>
    </row>
    <row r="37">
      <c r="A37" s="12" t="str">
        <f>IFERROR(__xludf.DUMMYFUNCTION("""COMPUTED_VALUE"""),"Anthony Johnson")</f>
        <v>Anthony Johnson</v>
      </c>
      <c r="B37" s="13" t="str">
        <f>IFERROR(__xludf.DUMMYFUNCTION("""COMPUTED_VALUE"""),"ATL")</f>
        <v>ATL</v>
      </c>
      <c r="C37" s="14">
        <f>IFERROR(__xludf.DUMMYFUNCTION("""COMPUTED_VALUE"""),292.7)</f>
        <v>292.7</v>
      </c>
      <c r="D37" s="15">
        <f>IFERROR(__xludf.DUMMYFUNCTION("""COMPUTED_VALUE"""),-0.699989942294248)</f>
        <v>-0.6999899423</v>
      </c>
      <c r="E37" s="15">
        <f>IFERROR(__xludf.DUMMYFUNCTION("""COMPUTED_VALUE"""),1.4370376345233415)</f>
        <v>1.437037635</v>
      </c>
      <c r="F37" s="15">
        <f>IFERROR(__xludf.DUMMYFUNCTION("""COMPUTED_VALUE"""),0.7370476922290934)</f>
        <v>0.7370476922</v>
      </c>
      <c r="G37" s="17">
        <f>IFERROR(__xludf.DUMMYFUNCTION("""COMPUTED_VALUE"""),0.26714221579465547)</f>
        <v>0.2671422158</v>
      </c>
      <c r="H37" s="4"/>
      <c r="I37" s="5" t="s">
        <v>1729</v>
      </c>
      <c r="J37" s="5" t="s">
        <v>1662</v>
      </c>
      <c r="K37" s="5">
        <v>35.0</v>
      </c>
      <c r="L37" s="5">
        <v>0.37834</v>
      </c>
      <c r="M37" s="5">
        <v>-0.060899</v>
      </c>
      <c r="N37" s="5">
        <v>0.317441</v>
      </c>
      <c r="O37" s="5">
        <v>0.024265</v>
      </c>
    </row>
    <row r="38">
      <c r="A38" s="18" t="str">
        <f>IFERROR(__xludf.DUMMYFUNCTION("""COMPUTED_VALUE"""),"Chris Walker")</f>
        <v>Chris Walker</v>
      </c>
      <c r="B38" s="19" t="str">
        <f>IFERROR(__xludf.DUMMYFUNCTION("""COMPUTED_VALUE"""),"LEO")</f>
        <v>LEO</v>
      </c>
      <c r="C38" s="20">
        <f>IFERROR(__xludf.DUMMYFUNCTION("""COMPUTED_VALUE"""),83.0)</f>
        <v>83</v>
      </c>
      <c r="D38" s="21">
        <f>IFERROR(__xludf.DUMMYFUNCTION("""COMPUTED_VALUE"""),0.3337573321591271)</f>
        <v>0.3337573322</v>
      </c>
      <c r="E38" s="21">
        <f>IFERROR(__xludf.DUMMYFUNCTION("""COMPUTED_VALUE"""),0.3946774198097535)</f>
        <v>0.3946774198</v>
      </c>
      <c r="F38" s="21">
        <f>IFERROR(__xludf.DUMMYFUNCTION("""COMPUTED_VALUE"""),0.7284347519688806)</f>
        <v>0.728434752</v>
      </c>
      <c r="G38" s="23">
        <f>IFERROR(__xludf.DUMMYFUNCTION("""COMPUTED_VALUE"""),0.07224670852552123)</f>
        <v>0.07224670853</v>
      </c>
      <c r="H38" s="4"/>
      <c r="I38" s="5" t="s">
        <v>1731</v>
      </c>
      <c r="J38" s="5" t="s">
        <v>1679</v>
      </c>
      <c r="K38" s="5">
        <v>233.0</v>
      </c>
      <c r="L38" s="5">
        <v>0.614231</v>
      </c>
      <c r="M38" s="5">
        <v>-0.338131</v>
      </c>
      <c r="N38" s="5">
        <v>0.2761</v>
      </c>
      <c r="O38" s="5">
        <v>0.159947</v>
      </c>
    </row>
    <row r="39">
      <c r="A39" s="12" t="str">
        <f>IFERROR(__xludf.DUMMYFUNCTION("""COMPUTED_VALUE"""),"Brandon Costner")</f>
        <v>Brandon Costner</v>
      </c>
      <c r="B39" s="13" t="str">
        <f>IFERROR(__xludf.DUMMYFUNCTION("""COMPUTED_VALUE"""),"CAC")</f>
        <v>CAC</v>
      </c>
      <c r="C39" s="14">
        <f>IFERROR(__xludf.DUMMYFUNCTION("""COMPUTED_VALUE"""),1148.9)</f>
        <v>1148.9</v>
      </c>
      <c r="D39" s="15">
        <f>IFERROR(__xludf.DUMMYFUNCTION("""COMPUTED_VALUE"""),1.4068790636555102)</f>
        <v>1.406879064</v>
      </c>
      <c r="E39" s="15">
        <f>IFERROR(__xludf.DUMMYFUNCTION("""COMPUTED_VALUE"""),-0.6865969186935732)</f>
        <v>-0.6865969187</v>
      </c>
      <c r="F39" s="15">
        <f>IFERROR(__xludf.DUMMYFUNCTION("""COMPUTED_VALUE"""),0.720282144961937)</f>
        <v>0.720282145</v>
      </c>
      <c r="G39" s="17">
        <f>IFERROR(__xludf.DUMMYFUNCTION("""COMPUTED_VALUE"""),1.0250449423040628)</f>
        <v>1.025044942</v>
      </c>
      <c r="H39" s="4"/>
      <c r="I39" s="5" t="s">
        <v>520</v>
      </c>
      <c r="J39" s="5" t="s">
        <v>1670</v>
      </c>
      <c r="K39" s="5">
        <v>153.0</v>
      </c>
      <c r="L39" s="5">
        <v>0.594736</v>
      </c>
      <c r="M39" s="5">
        <v>-0.356246</v>
      </c>
      <c r="N39" s="5">
        <v>0.23849</v>
      </c>
      <c r="O39" s="5">
        <v>0.110901</v>
      </c>
    </row>
    <row r="40">
      <c r="A40" s="18" t="str">
        <f>IFERROR(__xludf.DUMMYFUNCTION("""COMPUTED_VALUE"""),"Jeremis Smith")</f>
        <v>Jeremis Smith</v>
      </c>
      <c r="B40" s="19" t="str">
        <f>IFERROR(__xludf.DUMMYFUNCTION("""COMPUTED_VALUE"""),"CAP")</f>
        <v>CAP</v>
      </c>
      <c r="C40" s="20">
        <f>IFERROR(__xludf.DUMMYFUNCTION("""COMPUTED_VALUE"""),114.8)</f>
        <v>114.8</v>
      </c>
      <c r="D40" s="21">
        <f>IFERROR(__xludf.DUMMYFUNCTION("""COMPUTED_VALUE"""),-1.3365827506172425)</f>
        <v>-1.336582751</v>
      </c>
      <c r="E40" s="21">
        <f>IFERROR(__xludf.DUMMYFUNCTION("""COMPUTED_VALUE"""),2.040204835100711)</f>
        <v>2.040204835</v>
      </c>
      <c r="F40" s="21">
        <f>IFERROR(__xludf.DUMMYFUNCTION("""COMPUTED_VALUE"""),0.7036220844834685)</f>
        <v>0.7036220845</v>
      </c>
      <c r="G40" s="23">
        <f>IFERROR(__xludf.DUMMYFUNCTION("""COMPUTED_VALUE"""),0.09528390332467776)</f>
        <v>0.09528390332</v>
      </c>
      <c r="H40" s="4"/>
      <c r="I40" s="5" t="s">
        <v>1734</v>
      </c>
      <c r="J40" s="5" t="s">
        <v>1659</v>
      </c>
      <c r="K40" s="5">
        <v>99.0</v>
      </c>
      <c r="L40" s="5">
        <v>-0.327875</v>
      </c>
      <c r="M40" s="5">
        <v>0.531716</v>
      </c>
      <c r="N40" s="5">
        <v>0.203841</v>
      </c>
      <c r="O40" s="5">
        <v>0.066211</v>
      </c>
    </row>
    <row r="41">
      <c r="A41" s="12" t="str">
        <f>IFERROR(__xludf.DUMMYFUNCTION("""COMPUTED_VALUE"""),"Reginald Becton")</f>
        <v>Reginald Becton</v>
      </c>
      <c r="B41" s="13" t="str">
        <f>IFERROR(__xludf.DUMMYFUNCTION("""COMPUTED_VALUE"""),"FAJ")</f>
        <v>FAJ</v>
      </c>
      <c r="C41" s="14">
        <f>IFERROR(__xludf.DUMMYFUNCTION("""COMPUTED_VALUE"""),636.7)</f>
        <v>636.7</v>
      </c>
      <c r="D41" s="15">
        <f>IFERROR(__xludf.DUMMYFUNCTION("""COMPUTED_VALUE"""),0.1150132924156787)</f>
        <v>0.1150132924</v>
      </c>
      <c r="E41" s="15">
        <f>IFERROR(__xludf.DUMMYFUNCTION("""COMPUTED_VALUE"""),0.5711133902366629)</f>
        <v>0.5711133902</v>
      </c>
      <c r="F41" s="15">
        <f>IFERROR(__xludf.DUMMYFUNCTION("""COMPUTED_VALUE"""),0.6861266826523416)</f>
        <v>0.6861266827</v>
      </c>
      <c r="G41" s="17">
        <f>IFERROR(__xludf.DUMMYFUNCTION("""COMPUTED_VALUE"""),0.5865385919335929)</f>
        <v>0.5865385919</v>
      </c>
      <c r="H41" s="4"/>
      <c r="I41" s="5" t="s">
        <v>1736</v>
      </c>
      <c r="J41" s="5" t="s">
        <v>1662</v>
      </c>
      <c r="K41" s="5">
        <v>2.0</v>
      </c>
      <c r="L41" s="5">
        <v>0.241659</v>
      </c>
      <c r="M41" s="5">
        <v>-0.118579</v>
      </c>
      <c r="N41" s="5">
        <v>0.123081</v>
      </c>
      <c r="O41" s="5">
        <v>0.001278</v>
      </c>
    </row>
    <row r="42">
      <c r="A42" s="18" t="str">
        <f>IFERROR(__xludf.DUMMYFUNCTION("""COMPUTED_VALUE"""),"Carlos Rivera")</f>
        <v>Carlos Rivera</v>
      </c>
      <c r="B42" s="19" t="str">
        <f>IFERROR(__xludf.DUMMYFUNCTION("""COMPUTED_VALUE"""),"LEO")</f>
        <v>LEO</v>
      </c>
      <c r="C42" s="20">
        <f>IFERROR(__xludf.DUMMYFUNCTION("""COMPUTED_VALUE"""),1327.6)</f>
        <v>1327.6</v>
      </c>
      <c r="D42" s="21">
        <f>IFERROR(__xludf.DUMMYFUNCTION("""COMPUTED_VALUE"""),1.0499229104717618)</f>
        <v>1.04992291</v>
      </c>
      <c r="E42" s="21">
        <f>IFERROR(__xludf.DUMMYFUNCTION("""COMPUTED_VALUE"""),-0.38105297379656533)</f>
        <v>-0.3810529738</v>
      </c>
      <c r="F42" s="21">
        <f>IFERROR(__xludf.DUMMYFUNCTION("""COMPUTED_VALUE"""),0.6688699366751965)</f>
        <v>0.6688699367</v>
      </c>
      <c r="G42" s="23">
        <f>IFERROR(__xludf.DUMMYFUNCTION("""COMPUTED_VALUE"""),1.1303711233741363)</f>
        <v>1.130371123</v>
      </c>
      <c r="H42" s="4"/>
      <c r="I42" s="5" t="s">
        <v>1738</v>
      </c>
      <c r="J42" s="5" t="s">
        <v>1694</v>
      </c>
      <c r="K42" s="5">
        <v>2.0</v>
      </c>
      <c r="L42" s="5">
        <v>-0.007143</v>
      </c>
      <c r="M42" s="5">
        <v>0.114121</v>
      </c>
      <c r="N42" s="5">
        <v>0.106978</v>
      </c>
      <c r="O42" s="5">
        <v>0.001187</v>
      </c>
    </row>
    <row r="43">
      <c r="A43" s="12" t="str">
        <f>IFERROR(__xludf.DUMMYFUNCTION("""COMPUTED_VALUE"""),"Jose Enrique Lopez Ramos")</f>
        <v>Jose Enrique Lopez Ramos</v>
      </c>
      <c r="B43" s="13" t="str">
        <f>IFERROR(__xludf.DUMMYFUNCTION("""COMPUTED_VALUE"""),"CAC")</f>
        <v>CAC</v>
      </c>
      <c r="C43" s="14">
        <f>IFERROR(__xludf.DUMMYFUNCTION("""COMPUTED_VALUE"""),31.1)</f>
        <v>31.1</v>
      </c>
      <c r="D43" s="15">
        <f>IFERROR(__xludf.DUMMYFUNCTION("""COMPUTED_VALUE"""),0.8628541632763572)</f>
        <v>0.8628541633</v>
      </c>
      <c r="E43" s="15">
        <f>IFERROR(__xludf.DUMMYFUNCTION("""COMPUTED_VALUE"""),-0.26742889670681946)</f>
        <v>-0.2674288967</v>
      </c>
      <c r="F43" s="15">
        <f>IFERROR(__xludf.DUMMYFUNCTION("""COMPUTED_VALUE"""),0.5954252665695378)</f>
        <v>0.5954252666</v>
      </c>
      <c r="G43" s="17">
        <f>IFERROR(__xludf.DUMMYFUNCTION("""COMPUTED_VALUE"""),0.02647376100732951)</f>
        <v>0.02647376101</v>
      </c>
      <c r="H43" s="4"/>
      <c r="I43" s="5" t="s">
        <v>1740</v>
      </c>
      <c r="J43" s="5" t="s">
        <v>1667</v>
      </c>
      <c r="K43" s="5">
        <v>86.0</v>
      </c>
      <c r="L43" s="5">
        <v>-0.152539</v>
      </c>
      <c r="M43" s="5">
        <v>0.25043</v>
      </c>
      <c r="N43" s="5">
        <v>0.097891</v>
      </c>
      <c r="O43" s="5">
        <v>0.055528</v>
      </c>
    </row>
    <row r="44">
      <c r="A44" s="18" t="str">
        <f>IFERROR(__xludf.DUMMYFUNCTION("""COMPUTED_VALUE"""),"Cliff Duran")</f>
        <v>Cliff Duran</v>
      </c>
      <c r="B44" s="19" t="str">
        <f>IFERROR(__xludf.DUMMYFUNCTION("""COMPUTED_VALUE"""),"LEO")</f>
        <v>LEO</v>
      </c>
      <c r="C44" s="20">
        <f>IFERROR(__xludf.DUMMYFUNCTION("""COMPUTED_VALUE"""),567.9)</f>
        <v>567.9</v>
      </c>
      <c r="D44" s="21">
        <f>IFERROR(__xludf.DUMMYFUNCTION("""COMPUTED_VALUE"""),0.7771961707406192)</f>
        <v>0.7771961707</v>
      </c>
      <c r="E44" s="21">
        <f>IFERROR(__xludf.DUMMYFUNCTION("""COMPUTED_VALUE"""),-0.1849386638994599)</f>
        <v>-0.1849386639</v>
      </c>
      <c r="F44" s="21">
        <f>IFERROR(__xludf.DUMMYFUNCTION("""COMPUTED_VALUE"""),0.5922575068411593)</f>
        <v>0.5922575068</v>
      </c>
      <c r="G44" s="23">
        <f>IFERROR(__xludf.DUMMYFUNCTION("""COMPUTED_VALUE"""),0.46965225355060447)</f>
        <v>0.4696522536</v>
      </c>
      <c r="H44" s="4"/>
      <c r="I44" s="5" t="s">
        <v>1742</v>
      </c>
      <c r="J44" s="5" t="s">
        <v>1694</v>
      </c>
      <c r="K44" s="5">
        <v>71.0</v>
      </c>
      <c r="L44" s="5">
        <v>0.237153</v>
      </c>
      <c r="M44" s="5">
        <v>-0.144163</v>
      </c>
      <c r="N44" s="5">
        <v>0.092989</v>
      </c>
      <c r="O44" s="5">
        <v>0.044119</v>
      </c>
    </row>
    <row r="45">
      <c r="A45" s="12" t="str">
        <f>IFERROR(__xludf.DUMMYFUNCTION("""COMPUTED_VALUE"""),"Christian Jomar Pizarro Rios")</f>
        <v>Christian Jomar Pizarro Rios</v>
      </c>
      <c r="B45" s="13" t="str">
        <f>IFERROR(__xludf.DUMMYFUNCTION("""COMPUTED_VALUE"""),"CAP")</f>
        <v>CAP</v>
      </c>
      <c r="C45" s="14">
        <f>IFERROR(__xludf.DUMMYFUNCTION("""COMPUTED_VALUE"""),211.9)</f>
        <v>211.9</v>
      </c>
      <c r="D45" s="15">
        <f>IFERROR(__xludf.DUMMYFUNCTION("""COMPUTED_VALUE"""),-0.3993932674757314)</f>
        <v>-0.3993932675</v>
      </c>
      <c r="E45" s="15">
        <f>IFERROR(__xludf.DUMMYFUNCTION("""COMPUTED_VALUE"""),0.9708002235368356)</f>
        <v>0.9708002235</v>
      </c>
      <c r="F45" s="15">
        <f>IFERROR(__xludf.DUMMYFUNCTION("""COMPUTED_VALUE"""),0.5714069560611041)</f>
        <v>0.5714069561</v>
      </c>
      <c r="G45" s="17">
        <f>IFERROR(__xludf.DUMMYFUNCTION("""COMPUTED_VALUE"""),0.1672759240101106)</f>
        <v>0.167275924</v>
      </c>
      <c r="H45" s="4"/>
      <c r="I45" s="5" t="s">
        <v>1744</v>
      </c>
      <c r="J45" s="5" t="s">
        <v>1694</v>
      </c>
      <c r="K45" s="24">
        <v>5.0</v>
      </c>
      <c r="L45" s="5">
        <v>-0.194437</v>
      </c>
      <c r="M45" s="5">
        <v>0.239909</v>
      </c>
      <c r="N45" s="5">
        <v>0.045472</v>
      </c>
      <c r="O45" s="5">
        <v>0.003214</v>
      </c>
    </row>
    <row r="46">
      <c r="A46" s="18" t="str">
        <f>IFERROR(__xludf.DUMMYFUNCTION("""COMPUTED_VALUE"""),"David Huertas")</f>
        <v>David Huertas</v>
      </c>
      <c r="B46" s="19" t="str">
        <f>IFERROR(__xludf.DUMMYFUNCTION("""COMPUTED_VALUE"""),"CAP")</f>
        <v>CAP</v>
      </c>
      <c r="C46" s="20">
        <f>IFERROR(__xludf.DUMMYFUNCTION("""COMPUTED_VALUE"""),1801.6)</f>
        <v>1801.6</v>
      </c>
      <c r="D46" s="21">
        <f>IFERROR(__xludf.DUMMYFUNCTION("""COMPUTED_VALUE"""),0.28132615726002586)</f>
        <v>0.2813261573</v>
      </c>
      <c r="E46" s="21">
        <f>IFERROR(__xludf.DUMMYFUNCTION("""COMPUTED_VALUE"""),0.28126750103301346)</f>
        <v>0.281267501</v>
      </c>
      <c r="F46" s="21">
        <f>IFERROR(__xludf.DUMMYFUNCTION("""COMPUTED_VALUE"""),0.5625936582930393)</f>
        <v>0.5625936583</v>
      </c>
      <c r="G46" s="23">
        <f>IFERROR(__xludf.DUMMYFUNCTION("""COMPUTED_VALUE"""),1.4173261063330098)</f>
        <v>1.417326106</v>
      </c>
      <c r="H46" s="4"/>
      <c r="I46" s="5" t="s">
        <v>1746</v>
      </c>
      <c r="J46" s="5" t="s">
        <v>1670</v>
      </c>
      <c r="K46" s="5">
        <v>5.0</v>
      </c>
      <c r="L46" s="5">
        <v>0.158206</v>
      </c>
      <c r="M46" s="5">
        <v>-0.153634</v>
      </c>
      <c r="N46" s="5">
        <v>0.004572</v>
      </c>
      <c r="O46" s="5">
        <v>0.003108</v>
      </c>
    </row>
    <row r="47">
      <c r="A47" s="12" t="str">
        <f>IFERROR(__xludf.DUMMYFUNCTION("""COMPUTED_VALUE"""),"Ike Ofoegbu")</f>
        <v>Ike Ofoegbu</v>
      </c>
      <c r="B47" s="13" t="str">
        <f>IFERROR(__xludf.DUMMYFUNCTION("""COMPUTED_VALUE"""),"CAP")</f>
        <v>CAP</v>
      </c>
      <c r="C47" s="14">
        <f>IFERROR(__xludf.DUMMYFUNCTION("""COMPUTED_VALUE"""),515.9)</f>
        <v>515.9</v>
      </c>
      <c r="D47" s="15">
        <f>IFERROR(__xludf.DUMMYFUNCTION("""COMPUTED_VALUE"""),-1.192468692987189)</f>
        <v>-1.192468693</v>
      </c>
      <c r="E47" s="15">
        <f>IFERROR(__xludf.DUMMYFUNCTION("""COMPUTED_VALUE"""),1.7263059632384266)</f>
        <v>1.726305963</v>
      </c>
      <c r="F47" s="15">
        <f>IFERROR(__xludf.DUMMYFUNCTION("""COMPUTED_VALUE"""),0.5338372702512375)</f>
        <v>0.5338372703</v>
      </c>
      <c r="G47" s="17">
        <f>IFERROR(__xludf.DUMMYFUNCTION("""COMPUTED_VALUE"""),0.40130624136132054)</f>
        <v>0.4013062414</v>
      </c>
      <c r="H47" s="4"/>
      <c r="I47" s="5" t="s">
        <v>1748</v>
      </c>
      <c r="J47" s="5" t="s">
        <v>1679</v>
      </c>
      <c r="K47" s="24">
        <v>1.0</v>
      </c>
      <c r="L47" s="5">
        <v>-0.022833</v>
      </c>
      <c r="M47" s="5">
        <v>0.00632</v>
      </c>
      <c r="N47" s="5">
        <v>-0.016513</v>
      </c>
      <c r="O47" s="5">
        <v>8.36E-4</v>
      </c>
    </row>
    <row r="48">
      <c r="A48" s="18" t="str">
        <f>IFERROR(__xludf.DUMMYFUNCTION("""COMPUTED_VALUE"""),"Javier Gonzalez")</f>
        <v>Javier Gonzalez</v>
      </c>
      <c r="B48" s="19" t="str">
        <f>IFERROR(__xludf.DUMMYFUNCTION("""COMPUTED_VALUE"""),"VAQ")</f>
        <v>VAQ</v>
      </c>
      <c r="C48" s="20">
        <f>IFERROR(__xludf.DUMMYFUNCTION("""COMPUTED_VALUE"""),1311.6)</f>
        <v>1311.6</v>
      </c>
      <c r="D48" s="21">
        <f>IFERROR(__xludf.DUMMYFUNCTION("""COMPUTED_VALUE"""),0.6769222373878376)</f>
        <v>0.6769222374</v>
      </c>
      <c r="E48" s="21">
        <f>IFERROR(__xludf.DUMMYFUNCTION("""COMPUTED_VALUE"""),-0.1737832229442322)</f>
        <v>-0.1737832229</v>
      </c>
      <c r="F48" s="21">
        <f>IFERROR(__xludf.DUMMYFUNCTION("""COMPUTED_VALUE"""),0.5031390144436054)</f>
        <v>0.5031390144</v>
      </c>
      <c r="G48" s="23">
        <f>IFERROR(__xludf.DUMMYFUNCTION("""COMPUTED_VALUE"""),1.043889986254771)</f>
        <v>1.043889986</v>
      </c>
      <c r="H48" s="4"/>
      <c r="I48" s="5" t="s">
        <v>1751</v>
      </c>
      <c r="J48" s="5" t="s">
        <v>1694</v>
      </c>
      <c r="K48" s="24">
        <v>2.0</v>
      </c>
      <c r="L48" s="5">
        <v>-0.065238</v>
      </c>
      <c r="M48" s="5">
        <v>0.044023</v>
      </c>
      <c r="N48" s="5">
        <v>-0.021215</v>
      </c>
      <c r="O48" s="5">
        <v>0.001115</v>
      </c>
    </row>
    <row r="49">
      <c r="A49" s="12" t="str">
        <f>IFERROR(__xludf.DUMMYFUNCTION("""COMPUTED_VALUE"""),"Devin Williams")</f>
        <v>Devin Williams</v>
      </c>
      <c r="B49" s="13" t="str">
        <f>IFERROR(__xludf.DUMMYFUNCTION("""COMPUTED_VALUE"""),"VAQ")</f>
        <v>VAQ</v>
      </c>
      <c r="C49" s="14">
        <f>IFERROR(__xludf.DUMMYFUNCTION("""COMPUTED_VALUE"""),565.0)</f>
        <v>565</v>
      </c>
      <c r="D49" s="15">
        <f>IFERROR(__xludf.DUMMYFUNCTION("""COMPUTED_VALUE"""),-0.8875449652026173)</f>
        <v>-0.8875449652</v>
      </c>
      <c r="E49" s="15">
        <f>IFERROR(__xludf.DUMMYFUNCTION("""COMPUTED_VALUE"""),1.1568569813034515)</f>
        <v>1.156856981</v>
      </c>
      <c r="F49" s="15">
        <f>IFERROR(__xludf.DUMMYFUNCTION("""COMPUTED_VALUE"""),0.2693120161008342)</f>
        <v>0.2693120161</v>
      </c>
      <c r="G49" s="17">
        <f>IFERROR(__xludf.DUMMYFUNCTION("""COMPUTED_VALUE"""),0.40767212283523696)</f>
        <v>0.4076721228</v>
      </c>
      <c r="H49" s="4"/>
      <c r="I49" s="5" t="s">
        <v>1752</v>
      </c>
      <c r="J49" s="5" t="s">
        <v>1679</v>
      </c>
      <c r="K49" s="5">
        <v>94.0</v>
      </c>
      <c r="L49" s="5">
        <v>-0.415389</v>
      </c>
      <c r="M49" s="5">
        <v>0.394098</v>
      </c>
      <c r="N49" s="5">
        <v>-0.021291</v>
      </c>
      <c r="O49" s="5">
        <v>0.055941</v>
      </c>
    </row>
    <row r="50">
      <c r="A50" s="18" t="str">
        <f>IFERROR(__xludf.DUMMYFUNCTION("""COMPUTED_VALUE"""),"Luis Hernandez")</f>
        <v>Luis Hernandez</v>
      </c>
      <c r="B50" s="19" t="str">
        <f>IFERROR(__xludf.DUMMYFUNCTION("""COMPUTED_VALUE"""),"PIR")</f>
        <v>PIR</v>
      </c>
      <c r="C50" s="20">
        <f>IFERROR(__xludf.DUMMYFUNCTION("""COMPUTED_VALUE"""),613.8)</f>
        <v>613.8</v>
      </c>
      <c r="D50" s="21">
        <f>IFERROR(__xludf.DUMMYFUNCTION("""COMPUTED_VALUE"""),-3.0132401935940134)</f>
        <v>-3.013240194</v>
      </c>
      <c r="E50" s="21">
        <f>IFERROR(__xludf.DUMMYFUNCTION("""COMPUTED_VALUE"""),3.278770738203486)</f>
        <v>3.278770738</v>
      </c>
      <c r="F50" s="21">
        <f>IFERROR(__xludf.DUMMYFUNCTION("""COMPUTED_VALUE"""),0.26553054460947256)</f>
        <v>0.2655305446</v>
      </c>
      <c r="G50" s="23">
        <f>IFERROR(__xludf.DUMMYFUNCTION("""COMPUTED_VALUE"""),0.4462669165599555)</f>
        <v>0.4462669166</v>
      </c>
      <c r="H50" s="4"/>
      <c r="I50" s="5" t="s">
        <v>1755</v>
      </c>
      <c r="J50" s="5" t="s">
        <v>1694</v>
      </c>
      <c r="K50" s="5">
        <v>142.0</v>
      </c>
      <c r="L50" s="5">
        <v>0.359954</v>
      </c>
      <c r="M50" s="5">
        <v>-0.388364</v>
      </c>
      <c r="N50" s="5">
        <v>-0.02841</v>
      </c>
      <c r="O50" s="5">
        <v>0.082886</v>
      </c>
    </row>
    <row r="51">
      <c r="A51" s="12" t="str">
        <f>IFERROR(__xludf.DUMMYFUNCTION("""COMPUTED_VALUE"""),"Alvin Cruz")</f>
        <v>Alvin Cruz</v>
      </c>
      <c r="B51" s="13" t="str">
        <f>IFERROR(__xludf.DUMMYFUNCTION("""COMPUTED_VALUE"""),"FAJ")</f>
        <v>FAJ</v>
      </c>
      <c r="C51" s="14">
        <f>IFERROR(__xludf.DUMMYFUNCTION("""COMPUTED_VALUE"""),702.0)</f>
        <v>702</v>
      </c>
      <c r="D51" s="15">
        <f>IFERROR(__xludf.DUMMYFUNCTION("""COMPUTED_VALUE"""),2.9705280952957374)</f>
        <v>2.970528095</v>
      </c>
      <c r="E51" s="15">
        <f>IFERROR(__xludf.DUMMYFUNCTION("""COMPUTED_VALUE"""),-2.780828381095406)</f>
        <v>-2.780828381</v>
      </c>
      <c r="F51" s="15">
        <f>IFERROR(__xludf.DUMMYFUNCTION("""COMPUTED_VALUE"""),0.18969971420033138)</f>
        <v>0.1896997142</v>
      </c>
      <c r="G51" s="17">
        <f>IFERROR(__xludf.DUMMYFUNCTION("""COMPUTED_VALUE"""),0.5271775716604289)</f>
        <v>0.5271775717</v>
      </c>
      <c r="H51" s="4"/>
      <c r="I51" s="5" t="s">
        <v>1756</v>
      </c>
      <c r="J51" s="5" t="s">
        <v>1659</v>
      </c>
      <c r="K51" s="5">
        <v>70.0</v>
      </c>
      <c r="L51" s="5">
        <v>0.005387</v>
      </c>
      <c r="M51" s="5">
        <v>-0.034577</v>
      </c>
      <c r="N51" s="5">
        <v>-0.02919</v>
      </c>
      <c r="O51" s="5">
        <v>0.041898</v>
      </c>
    </row>
    <row r="52">
      <c r="A52" s="18" t="str">
        <f>IFERROR(__xludf.DUMMYFUNCTION("""COMPUTED_VALUE"""),"Jeremiah Wilson")</f>
        <v>Jeremiah Wilson</v>
      </c>
      <c r="B52" s="19" t="str">
        <f>IFERROR(__xludf.DUMMYFUNCTION("""COMPUTED_VALUE"""),"ATL")</f>
        <v>ATL</v>
      </c>
      <c r="C52" s="20">
        <f>IFERROR(__xludf.DUMMYFUNCTION("""COMPUTED_VALUE"""),461.1)</f>
        <v>461.1</v>
      </c>
      <c r="D52" s="21">
        <f>IFERROR(__xludf.DUMMYFUNCTION("""COMPUTED_VALUE"""),0.7180651865531383)</f>
        <v>0.7180651866</v>
      </c>
      <c r="E52" s="21">
        <f>IFERROR(__xludf.DUMMYFUNCTION("""COMPUTED_VALUE"""),-0.5671793319745796)</f>
        <v>-0.567179332</v>
      </c>
      <c r="F52" s="21">
        <f>IFERROR(__xludf.DUMMYFUNCTION("""COMPUTED_VALUE"""),0.15088585457855874)</f>
        <v>0.1508858546</v>
      </c>
      <c r="G52" s="23">
        <f>IFERROR(__xludf.DUMMYFUNCTION("""COMPUTED_VALUE"""),0.3307119759572742)</f>
        <v>0.330711976</v>
      </c>
      <c r="H52" s="4"/>
      <c r="I52" s="5" t="s">
        <v>1758</v>
      </c>
      <c r="J52" s="5" t="s">
        <v>1674</v>
      </c>
      <c r="K52" s="5">
        <v>57.0</v>
      </c>
      <c r="L52" s="5">
        <v>-0.524784</v>
      </c>
      <c r="M52" s="5">
        <v>0.494655</v>
      </c>
      <c r="N52" s="5">
        <v>-0.030129</v>
      </c>
      <c r="O52" s="5">
        <v>0.034421</v>
      </c>
    </row>
    <row r="53">
      <c r="A53" s="12" t="str">
        <f>IFERROR(__xludf.DUMMYFUNCTION("""COMPUTED_VALUE"""),"Kevin Young")</f>
        <v>Kevin Young</v>
      </c>
      <c r="B53" s="13" t="str">
        <f>IFERROR(__xludf.DUMMYFUNCTION("""COMPUTED_VALUE"""),"FAJ")</f>
        <v>FAJ</v>
      </c>
      <c r="C53" s="14">
        <f>IFERROR(__xludf.DUMMYFUNCTION("""COMPUTED_VALUE"""),628.0)</f>
        <v>628</v>
      </c>
      <c r="D53" s="15">
        <f>IFERROR(__xludf.DUMMYFUNCTION("""COMPUTED_VALUE"""),-0.6592322552602574)</f>
        <v>-0.6592322553</v>
      </c>
      <c r="E53" s="15">
        <f>IFERROR(__xludf.DUMMYFUNCTION("""COMPUTED_VALUE"""),0.798790917689254)</f>
        <v>0.7987909177</v>
      </c>
      <c r="F53" s="15">
        <f>IFERROR(__xludf.DUMMYFUNCTION("""COMPUTED_VALUE"""),0.13955866242899662)</f>
        <v>0.1395586624</v>
      </c>
      <c r="G53" s="17">
        <f>IFERROR(__xludf.DUMMYFUNCTION("""COMPUTED_VALUE"""),0.4608070275308097)</f>
        <v>0.4608070275</v>
      </c>
      <c r="H53" s="4"/>
      <c r="I53" s="5" t="s">
        <v>1760</v>
      </c>
      <c r="J53" s="5" t="s">
        <v>1670</v>
      </c>
      <c r="K53" s="24">
        <v>68.0</v>
      </c>
      <c r="L53" s="5">
        <v>-0.001565</v>
      </c>
      <c r="M53" s="5">
        <v>-0.049708</v>
      </c>
      <c r="N53" s="5">
        <v>-0.051273</v>
      </c>
      <c r="O53" s="5">
        <v>0.042797</v>
      </c>
    </row>
    <row r="54">
      <c r="A54" s="18" t="str">
        <f>IFERROR(__xludf.DUMMYFUNCTION("""COMPUTED_VALUE"""),"John Helmers")</f>
        <v>John Helmers</v>
      </c>
      <c r="B54" s="19" t="str">
        <f>IFERROR(__xludf.DUMMYFUNCTION("""COMPUTED_VALUE"""),"VAQ")</f>
        <v>VAQ</v>
      </c>
      <c r="C54" s="20">
        <f>IFERROR(__xludf.DUMMYFUNCTION("""COMPUTED_VALUE"""),8.2)</f>
        <v>8.2</v>
      </c>
      <c r="D54" s="21">
        <f>IFERROR(__xludf.DUMMYFUNCTION("""COMPUTED_VALUE"""),0.05946330205057802)</f>
        <v>0.05946330205</v>
      </c>
      <c r="E54" s="21">
        <f>IFERROR(__xludf.DUMMYFUNCTION("""COMPUTED_VALUE"""),0.01379359858631924)</f>
        <v>0.01379359859</v>
      </c>
      <c r="F54" s="21">
        <f>IFERROR(__xludf.DUMMYFUNCTION("""COMPUTED_VALUE"""),0.07325690063689726)</f>
        <v>0.07325690064</v>
      </c>
      <c r="G54" s="23">
        <f>IFERROR(__xludf.DUMMYFUNCTION("""COMPUTED_VALUE"""),0.00540549321074729)</f>
        <v>0.005405493211</v>
      </c>
      <c r="H54" s="4"/>
      <c r="I54" s="5" t="s">
        <v>1762</v>
      </c>
      <c r="J54" s="5" t="s">
        <v>1665</v>
      </c>
      <c r="K54" s="5">
        <v>230.0</v>
      </c>
      <c r="L54" s="5">
        <v>0.005283</v>
      </c>
      <c r="M54" s="5">
        <v>-0.057836</v>
      </c>
      <c r="N54" s="5">
        <v>-0.052552</v>
      </c>
      <c r="O54" s="5">
        <v>0.134989</v>
      </c>
    </row>
    <row r="55">
      <c r="A55" s="12" t="str">
        <f>IFERROR(__xludf.DUMMYFUNCTION("""COMPUTED_VALUE"""),"Victor Liz")</f>
        <v>Victor Liz</v>
      </c>
      <c r="B55" s="13" t="str">
        <f>IFERROR(__xludf.DUMMYFUNCTION("""COMPUTED_VALUE"""),"LEO")</f>
        <v>LEO</v>
      </c>
      <c r="C55" s="14">
        <f>IFERROR(__xludf.DUMMYFUNCTION("""COMPUTED_VALUE"""),561.3)</f>
        <v>561.3</v>
      </c>
      <c r="D55" s="15">
        <f>IFERROR(__xludf.DUMMYFUNCTION("""COMPUTED_VALUE"""),0.7319020434317249)</f>
        <v>0.7319020434</v>
      </c>
      <c r="E55" s="15">
        <f>IFERROR(__xludf.DUMMYFUNCTION("""COMPUTED_VALUE"""),-0.6698489691144662)</f>
        <v>-0.6698489691</v>
      </c>
      <c r="F55" s="15">
        <f>IFERROR(__xludf.DUMMYFUNCTION("""COMPUTED_VALUE"""),0.06205307431725873)</f>
        <v>0.06205307432</v>
      </c>
      <c r="G55" s="17">
        <f>IFERROR(__xludf.DUMMYFUNCTION("""COMPUTED_VALUE"""),0.3692506619251954)</f>
        <v>0.3692506619</v>
      </c>
      <c r="H55" s="4"/>
      <c r="I55" s="5" t="s">
        <v>1764</v>
      </c>
      <c r="J55" s="5" t="s">
        <v>1659</v>
      </c>
      <c r="K55" s="5">
        <v>98.0</v>
      </c>
      <c r="L55" s="5">
        <v>0.552533</v>
      </c>
      <c r="M55" s="5">
        <v>-0.61311</v>
      </c>
      <c r="N55" s="5">
        <v>-0.060577</v>
      </c>
      <c r="O55" s="5">
        <v>0.057972</v>
      </c>
    </row>
    <row r="56">
      <c r="A56" s="18" t="str">
        <f>IFERROR(__xludf.DUMMYFUNCTION("""COMPUTED_VALUE"""),"Von Wafer")</f>
        <v>Von Wafer</v>
      </c>
      <c r="B56" s="19" t="str">
        <f>IFERROR(__xludf.DUMMYFUNCTION("""COMPUTED_VALUE"""),"LEO")</f>
        <v>LEO</v>
      </c>
      <c r="C56" s="20">
        <f>IFERROR(__xludf.DUMMYFUNCTION("""COMPUTED_VALUE"""),137.0)</f>
        <v>137</v>
      </c>
      <c r="D56" s="21">
        <f>IFERROR(__xludf.DUMMYFUNCTION("""COMPUTED_VALUE"""),0.8139673689776802)</f>
        <v>0.813967369</v>
      </c>
      <c r="E56" s="21">
        <f>IFERROR(__xludf.DUMMYFUNCTION("""COMPUTED_VALUE"""),-0.8248783067518227)</f>
        <v>-0.8248783068</v>
      </c>
      <c r="F56" s="21">
        <f>IFERROR(__xludf.DUMMYFUNCTION("""COMPUTED_VALUE"""),-0.010910937774142588)</f>
        <v>-0.01091093777</v>
      </c>
      <c r="G56" s="23">
        <f>IFERROR(__xludf.DUMMYFUNCTION("""COMPUTED_VALUE"""),0.08693630896259841)</f>
        <v>0.08693630896</v>
      </c>
      <c r="H56" s="4"/>
      <c r="I56" s="5" t="s">
        <v>1766</v>
      </c>
      <c r="J56" s="5" t="s">
        <v>1694</v>
      </c>
      <c r="K56" s="5">
        <v>7.0</v>
      </c>
      <c r="L56" s="5">
        <v>-0.166216</v>
      </c>
      <c r="M56" s="5">
        <v>0.059885</v>
      </c>
      <c r="N56" s="5">
        <v>-0.106331</v>
      </c>
      <c r="O56" s="5">
        <v>0.00393</v>
      </c>
    </row>
    <row r="57">
      <c r="A57" s="12" t="str">
        <f>IFERROR(__xludf.DUMMYFUNCTION("""COMPUTED_VALUE"""),"Alex Galindo")</f>
        <v>Alex Galindo</v>
      </c>
      <c r="B57" s="13" t="str">
        <f>IFERROR(__xludf.DUMMYFUNCTION("""COMPUTED_VALUE"""),"VAQ")</f>
        <v>VAQ</v>
      </c>
      <c r="C57" s="14">
        <f>IFERROR(__xludf.DUMMYFUNCTION("""COMPUTED_VALUE"""),674.7)</f>
        <v>674.7</v>
      </c>
      <c r="D57" s="15">
        <f>IFERROR(__xludf.DUMMYFUNCTION("""COMPUTED_VALUE"""),1.2719966419888808)</f>
        <v>1.271996642</v>
      </c>
      <c r="E57" s="15">
        <f>IFERROR(__xludf.DUMMYFUNCTION("""COMPUTED_VALUE"""),-1.3458928680847992)</f>
        <v>-1.345892868</v>
      </c>
      <c r="F57" s="15">
        <f>IFERROR(__xludf.DUMMYFUNCTION("""COMPUTED_VALUE"""),-0.0738962260959184)</f>
        <v>-0.0738962261</v>
      </c>
      <c r="G57" s="17">
        <f>IFERROR(__xludf.DUMMYFUNCTION("""COMPUTED_VALUE"""),0.413198509827912)</f>
        <v>0.4131985098</v>
      </c>
      <c r="H57" s="4"/>
      <c r="I57" s="5" t="s">
        <v>1768</v>
      </c>
      <c r="J57" s="5" t="s">
        <v>1665</v>
      </c>
      <c r="K57" s="24">
        <v>28.0</v>
      </c>
      <c r="L57" s="5">
        <v>-0.347129</v>
      </c>
      <c r="M57" s="5">
        <v>0.176881</v>
      </c>
      <c r="N57" s="5">
        <v>-0.170248</v>
      </c>
      <c r="O57" s="5">
        <v>0.015413</v>
      </c>
    </row>
    <row r="58">
      <c r="A58" s="18" t="str">
        <f>IFERROR(__xludf.DUMMYFUNCTION("""COMPUTED_VALUE"""),"Johwen Villegas")</f>
        <v>Johwen Villegas</v>
      </c>
      <c r="B58" s="19" t="str">
        <f>IFERROR(__xludf.DUMMYFUNCTION("""COMPUTED_VALUE"""),"CAP")</f>
        <v>CAP</v>
      </c>
      <c r="C58" s="20">
        <f>IFERROR(__xludf.DUMMYFUNCTION("""COMPUTED_VALUE"""),1242.5)</f>
        <v>1242.5</v>
      </c>
      <c r="D58" s="21">
        <f>IFERROR(__xludf.DUMMYFUNCTION("""COMPUTED_VALUE"""),-0.23759253889245735)</f>
        <v>-0.2375925389</v>
      </c>
      <c r="E58" s="21">
        <f>IFERROR(__xludf.DUMMYFUNCTION("""COMPUTED_VALUE"""),0.14083282535912)</f>
        <v>0.1408328254</v>
      </c>
      <c r="F58" s="21">
        <f>IFERROR(__xludf.DUMMYFUNCTION("""COMPUTED_VALUE"""),-0.09675971353333734)</f>
        <v>-0.09675971353</v>
      </c>
      <c r="G58" s="23">
        <f>IFERROR(__xludf.DUMMYFUNCTION("""COMPUTED_VALUE"""),0.7259750341093963)</f>
        <v>0.7259750341</v>
      </c>
      <c r="H58" s="4"/>
      <c r="I58" s="5" t="s">
        <v>1769</v>
      </c>
      <c r="J58" s="5" t="s">
        <v>1674</v>
      </c>
      <c r="K58" s="5">
        <v>5.0</v>
      </c>
      <c r="L58" s="5">
        <v>-0.096766</v>
      </c>
      <c r="M58" s="5">
        <v>-0.077131</v>
      </c>
      <c r="N58" s="5">
        <v>-0.173897</v>
      </c>
      <c r="O58" s="5">
        <v>0.002557</v>
      </c>
    </row>
    <row r="59">
      <c r="A59" s="12" t="str">
        <f>IFERROR(__xludf.DUMMYFUNCTION("""COMPUTED_VALUE"""),"Alexis Negron")</f>
        <v>Alexis Negron</v>
      </c>
      <c r="B59" s="13" t="str">
        <f>IFERROR(__xludf.DUMMYFUNCTION("""COMPUTED_VALUE"""),"VAQ")</f>
        <v>VAQ</v>
      </c>
      <c r="C59" s="14">
        <f>IFERROR(__xludf.DUMMYFUNCTION("""COMPUTED_VALUE"""),28.3)</f>
        <v>28.3</v>
      </c>
      <c r="D59" s="15">
        <f>IFERROR(__xludf.DUMMYFUNCTION("""COMPUTED_VALUE"""),-0.009769673293034162)</f>
        <v>-0.009769673293</v>
      </c>
      <c r="E59" s="15">
        <f>IFERROR(__xludf.DUMMYFUNCTION("""COMPUTED_VALUE"""),-0.11218086929293086)</f>
        <v>-0.1121808693</v>
      </c>
      <c r="F59" s="15">
        <f>IFERROR(__xludf.DUMMYFUNCTION("""COMPUTED_VALUE"""),-0.12195054258596502)</f>
        <v>-0.1219505426</v>
      </c>
      <c r="G59" s="17">
        <f>IFERROR(__xludf.DUMMYFUNCTION("""COMPUTED_VALUE"""),0.016899031472559604)</f>
        <v>0.01689903147</v>
      </c>
      <c r="H59" s="4"/>
      <c r="I59" s="5" t="s">
        <v>1771</v>
      </c>
      <c r="J59" s="5" t="s">
        <v>1665</v>
      </c>
      <c r="K59" s="24">
        <v>5.0</v>
      </c>
      <c r="L59" s="5">
        <v>-0.230082</v>
      </c>
      <c r="M59" s="5">
        <v>0.039128</v>
      </c>
      <c r="N59" s="5">
        <v>-0.190954</v>
      </c>
      <c r="O59" s="5">
        <v>0.002885</v>
      </c>
    </row>
    <row r="60">
      <c r="A60" s="18" t="str">
        <f>IFERROR(__xludf.DUMMYFUNCTION("""COMPUTED_VALUE"""),"Paul Graham III")</f>
        <v>Paul Graham III</v>
      </c>
      <c r="B60" s="19" t="str">
        <f>IFERROR(__xludf.DUMMYFUNCTION("""COMPUTED_VALUE"""),"FAJ")</f>
        <v>FAJ</v>
      </c>
      <c r="C60" s="20">
        <f>IFERROR(__xludf.DUMMYFUNCTION("""COMPUTED_VALUE"""),7.0)</f>
        <v>7</v>
      </c>
      <c r="D60" s="21">
        <f>IFERROR(__xludf.DUMMYFUNCTION("""COMPUTED_VALUE"""),-0.17231445791714373)</f>
        <v>-0.1723144579</v>
      </c>
      <c r="E60" s="21">
        <f>IFERROR(__xludf.DUMMYFUNCTION("""COMPUTED_VALUE"""),0.020287557083021823)</f>
        <v>0.02028755708</v>
      </c>
      <c r="F60" s="21">
        <f>IFERROR(__xludf.DUMMYFUNCTION("""COMPUTED_VALUE"""),-0.1520269008341219)</f>
        <v>-0.1520269008</v>
      </c>
      <c r="G60" s="23">
        <f>IFERROR(__xludf.DUMMYFUNCTION("""COMPUTED_VALUE"""),0.004436382019094216)</f>
        <v>0.004436382019</v>
      </c>
      <c r="H60" s="4"/>
      <c r="I60" s="5" t="s">
        <v>1772</v>
      </c>
      <c r="J60" s="5" t="s">
        <v>1665</v>
      </c>
      <c r="K60" s="5">
        <v>6.0</v>
      </c>
      <c r="L60" s="5">
        <v>-0.243475</v>
      </c>
      <c r="M60" s="5">
        <v>0.04511</v>
      </c>
      <c r="N60" s="5">
        <v>-0.198365</v>
      </c>
      <c r="O60" s="5">
        <v>0.002981</v>
      </c>
    </row>
    <row r="61">
      <c r="A61" s="12" t="str">
        <f>IFERROR(__xludf.DUMMYFUNCTION("""COMPUTED_VALUE"""),"Francis Han")</f>
        <v>Francis Han</v>
      </c>
      <c r="B61" s="13" t="str">
        <f>IFERROR(__xludf.DUMMYFUNCTION("""COMPUTED_VALUE"""),"AGU")</f>
        <v>AGU</v>
      </c>
      <c r="C61" s="14">
        <f>IFERROR(__xludf.DUMMYFUNCTION("""COMPUTED_VALUE"""),1033.4)</f>
        <v>1033.4</v>
      </c>
      <c r="D61" s="15">
        <f>IFERROR(__xludf.DUMMYFUNCTION("""COMPUTED_VALUE"""),0.04246438557273763)</f>
        <v>0.04246438557</v>
      </c>
      <c r="E61" s="15">
        <f>IFERROR(__xludf.DUMMYFUNCTION("""COMPUTED_VALUE"""),-0.22467752389296175)</f>
        <v>-0.2246775239</v>
      </c>
      <c r="F61" s="15">
        <f>IFERROR(__xludf.DUMMYFUNCTION("""COMPUTED_VALUE"""),-0.18221313832022412)</f>
        <v>-0.1822131383</v>
      </c>
      <c r="G61" s="17">
        <f>IFERROR(__xludf.DUMMYFUNCTION("""COMPUTED_VALUE"""),0.5780031025766341)</f>
        <v>0.5780031026</v>
      </c>
      <c r="H61" s="4"/>
      <c r="I61" s="5" t="s">
        <v>1774</v>
      </c>
      <c r="J61" s="5" t="s">
        <v>1662</v>
      </c>
      <c r="K61" s="5">
        <v>44.0</v>
      </c>
      <c r="L61" s="5">
        <v>-0.772478</v>
      </c>
      <c r="M61" s="5">
        <v>0.566874</v>
      </c>
      <c r="N61" s="5">
        <v>-0.205603</v>
      </c>
      <c r="O61" s="5">
        <v>0.02354</v>
      </c>
    </row>
    <row r="62">
      <c r="A62" s="18" t="str">
        <f>IFERROR(__xludf.DUMMYFUNCTION("""COMPUTED_VALUE"""),"Juan Nieves")</f>
        <v>Juan Nieves</v>
      </c>
      <c r="B62" s="19" t="str">
        <f>IFERROR(__xludf.DUMMYFUNCTION("""COMPUTED_VALUE"""),"CAP")</f>
        <v>CAP</v>
      </c>
      <c r="C62" s="20">
        <f>IFERROR(__xludf.DUMMYFUNCTION("""COMPUTED_VALUE"""),2.9)</f>
        <v>2.9</v>
      </c>
      <c r="D62" s="21">
        <f>IFERROR(__xludf.DUMMYFUNCTION("""COMPUTED_VALUE"""),-0.17521816760013378)</f>
        <v>-0.1752181676</v>
      </c>
      <c r="E62" s="21">
        <f>IFERROR(__xludf.DUMMYFUNCTION("""COMPUTED_VALUE"""),-0.030112384149389493)</f>
        <v>-0.03011238415</v>
      </c>
      <c r="F62" s="21">
        <f>IFERROR(__xludf.DUMMYFUNCTION("""COMPUTED_VALUE"""),-0.20533055174952328)</f>
        <v>-0.2053305517</v>
      </c>
      <c r="G62" s="23">
        <f>IFERROR(__xludf.DUMMYFUNCTION("""COMPUTED_VALUE"""),0.0015977695269929822)</f>
        <v>0.001597769527</v>
      </c>
      <c r="H62" s="4"/>
      <c r="I62" s="5" t="s">
        <v>1777</v>
      </c>
      <c r="J62" s="5" t="s">
        <v>1694</v>
      </c>
      <c r="K62" s="5">
        <v>79.0</v>
      </c>
      <c r="L62" s="5">
        <v>-0.098542</v>
      </c>
      <c r="M62" s="5">
        <v>-0.111325</v>
      </c>
      <c r="N62" s="5">
        <v>-0.209867</v>
      </c>
      <c r="O62" s="5">
        <v>0.04206</v>
      </c>
    </row>
    <row r="63">
      <c r="A63" s="12" t="str">
        <f>IFERROR(__xludf.DUMMYFUNCTION("""COMPUTED_VALUE"""),"Luis Rivera")</f>
        <v>Luis Rivera</v>
      </c>
      <c r="B63" s="13" t="str">
        <f>IFERROR(__xludf.DUMMYFUNCTION("""COMPUTED_VALUE"""),"PIR")</f>
        <v>PIR</v>
      </c>
      <c r="C63" s="14">
        <f>IFERROR(__xludf.DUMMYFUNCTION("""COMPUTED_VALUE"""),2.6)</f>
        <v>2.6</v>
      </c>
      <c r="D63" s="15">
        <f>IFERROR(__xludf.DUMMYFUNCTION("""COMPUTED_VALUE"""),-0.18382421496719958)</f>
        <v>-0.183824215</v>
      </c>
      <c r="E63" s="15">
        <f>IFERROR(__xludf.DUMMYFUNCTION("""COMPUTED_VALUE"""),-0.046299573998979604)</f>
        <v>-0.046299574</v>
      </c>
      <c r="F63" s="15">
        <f>IFERROR(__xludf.DUMMYFUNCTION("""COMPUTED_VALUE"""),-0.2301237889661792)</f>
        <v>-0.230123789</v>
      </c>
      <c r="G63" s="17">
        <f>IFERROR(__xludf.DUMMYFUNCTION("""COMPUTED_VALUE"""),0.0014767743010129094)</f>
        <v>0.001476774301</v>
      </c>
      <c r="H63" s="4"/>
      <c r="I63" s="5" t="s">
        <v>1779</v>
      </c>
      <c r="J63" s="5" t="s">
        <v>1674</v>
      </c>
      <c r="K63" s="5">
        <v>17.0</v>
      </c>
      <c r="L63" s="5">
        <v>-0.086252</v>
      </c>
      <c r="M63" s="5">
        <v>-0.188635</v>
      </c>
      <c r="N63" s="5">
        <v>-0.274887</v>
      </c>
      <c r="O63" s="5">
        <v>0.00898</v>
      </c>
    </row>
    <row r="64">
      <c r="A64" s="18" t="str">
        <f>IFERROR(__xludf.DUMMYFUNCTION("""COMPUTED_VALUE"""),"Filiberto Rivera")</f>
        <v>Filiberto Rivera</v>
      </c>
      <c r="B64" s="19" t="str">
        <f>IFERROR(__xludf.DUMMYFUNCTION("""COMPUTED_VALUE"""),"FAJ")</f>
        <v>FAJ</v>
      </c>
      <c r="C64" s="20">
        <f>IFERROR(__xludf.DUMMYFUNCTION("""COMPUTED_VALUE"""),640.5)</f>
        <v>640.5</v>
      </c>
      <c r="D64" s="21">
        <f>IFERROR(__xludf.DUMMYFUNCTION("""COMPUTED_VALUE"""),0.9689417778455318)</f>
        <v>0.9689417778</v>
      </c>
      <c r="E64" s="21">
        <f>IFERROR(__xludf.DUMMYFUNCTION("""COMPUTED_VALUE"""),-1.2268547820143636)</f>
        <v>-1.226854782</v>
      </c>
      <c r="F64" s="21">
        <f>IFERROR(__xludf.DUMMYFUNCTION("""COMPUTED_VALUE"""),-0.2579130041688318)</f>
        <v>-0.2579130042</v>
      </c>
      <c r="G64" s="23">
        <f>IFERROR(__xludf.DUMMYFUNCTION("""COMPUTED_VALUE"""),0.38266983086252226)</f>
        <v>0.3826698309</v>
      </c>
      <c r="H64" s="4"/>
      <c r="I64" s="5" t="s">
        <v>1781</v>
      </c>
      <c r="J64" s="5" t="s">
        <v>1659</v>
      </c>
      <c r="K64" s="5">
        <v>10.0</v>
      </c>
      <c r="L64" s="5">
        <v>-0.50317</v>
      </c>
      <c r="M64" s="5">
        <v>0.166116</v>
      </c>
      <c r="N64" s="5">
        <v>-0.337055</v>
      </c>
      <c r="O64" s="5">
        <v>0.005275</v>
      </c>
    </row>
    <row r="65">
      <c r="A65" s="12" t="str">
        <f>IFERROR(__xludf.DUMMYFUNCTION("""COMPUTED_VALUE"""),"Nathaniel Santiago")</f>
        <v>Nathaniel Santiago</v>
      </c>
      <c r="B65" s="13" t="str">
        <f>IFERROR(__xludf.DUMMYFUNCTION("""COMPUTED_VALUE"""),"AGU")</f>
        <v>AGU</v>
      </c>
      <c r="C65" s="14">
        <f>IFERROR(__xludf.DUMMYFUNCTION("""COMPUTED_VALUE"""),4.7)</f>
        <v>4.7</v>
      </c>
      <c r="D65" s="15">
        <f>IFERROR(__xludf.DUMMYFUNCTION("""COMPUTED_VALUE"""),0.02292480855728801)</f>
        <v>0.02292480856</v>
      </c>
      <c r="E65" s="15">
        <f>IFERROR(__xludf.DUMMYFUNCTION("""COMPUTED_VALUE"""),-0.2896619282039111)</f>
        <v>-0.2896619282</v>
      </c>
      <c r="F65" s="15">
        <f>IFERROR(__xludf.DUMMYFUNCTION("""COMPUTED_VALUE"""),-0.2667371196466231)</f>
        <v>-0.2667371196</v>
      </c>
      <c r="G65" s="17">
        <f>IFERROR(__xludf.DUMMYFUNCTION("""COMPUTED_VALUE"""),0.0025065769774008026)</f>
        <v>0.002506576977</v>
      </c>
      <c r="H65" s="4"/>
      <c r="I65" s="5" t="s">
        <v>1782</v>
      </c>
      <c r="J65" s="5" t="s">
        <v>1662</v>
      </c>
      <c r="K65" s="5">
        <v>2.0</v>
      </c>
      <c r="L65" s="5">
        <v>-0.274476</v>
      </c>
      <c r="M65" s="5">
        <v>-0.08067</v>
      </c>
      <c r="N65" s="5">
        <v>-0.355146</v>
      </c>
      <c r="O65" s="5">
        <v>9.9E-4</v>
      </c>
    </row>
    <row r="66">
      <c r="A66" s="18" t="str">
        <f>IFERROR(__xludf.DUMMYFUNCTION("""COMPUTED_VALUE"""),"Devon Collier")</f>
        <v>Devon Collier</v>
      </c>
      <c r="B66" s="19" t="str">
        <f>IFERROR(__xludf.DUMMYFUNCTION("""COMPUTED_VALUE"""),"CAC")</f>
        <v>CAC</v>
      </c>
      <c r="C66" s="20">
        <f>IFERROR(__xludf.DUMMYFUNCTION("""COMPUTED_VALUE"""),69.7)</f>
        <v>69.7</v>
      </c>
      <c r="D66" s="21">
        <f>IFERROR(__xludf.DUMMYFUNCTION("""COMPUTED_VALUE"""),-0.015216536467852896)</f>
        <v>-0.01521653647</v>
      </c>
      <c r="E66" s="21">
        <f>IFERROR(__xludf.DUMMYFUNCTION("""COMPUTED_VALUE"""),-0.269917425739772)</f>
        <v>-0.2699174257</v>
      </c>
      <c r="F66" s="21">
        <f>IFERROR(__xludf.DUMMYFUNCTION("""COMPUTED_VALUE"""),-0.2851339622076249)</f>
        <v>-0.2851339622</v>
      </c>
      <c r="G66" s="23">
        <f>IFERROR(__xludf.DUMMYFUNCTION("""COMPUTED_VALUE"""),0.03920213358357077)</f>
        <v>0.03920213358</v>
      </c>
      <c r="H66" s="4"/>
      <c r="I66" s="5" t="s">
        <v>1784</v>
      </c>
      <c r="J66" s="5" t="s">
        <v>1659</v>
      </c>
      <c r="K66" s="5">
        <v>275.0</v>
      </c>
      <c r="L66" s="5">
        <v>0.472271</v>
      </c>
      <c r="M66" s="5">
        <v>-0.8333</v>
      </c>
      <c r="N66" s="5">
        <v>-0.361029</v>
      </c>
      <c r="O66" s="5">
        <v>0.137424</v>
      </c>
    </row>
    <row r="67">
      <c r="A67" s="12" t="str">
        <f>IFERROR(__xludf.DUMMYFUNCTION("""COMPUTED_VALUE"""),"Erick Rosado")</f>
        <v>Erick Rosado</v>
      </c>
      <c r="B67" s="13" t="str">
        <f>IFERROR(__xludf.DUMMYFUNCTION("""COMPUTED_VALUE"""),"PIR")</f>
        <v>PIR</v>
      </c>
      <c r="C67" s="14">
        <f>IFERROR(__xludf.DUMMYFUNCTION("""COMPUTED_VALUE"""),9.3)</f>
        <v>9.3</v>
      </c>
      <c r="D67" s="15">
        <f>IFERROR(__xludf.DUMMYFUNCTION("""COMPUTED_VALUE"""),0.06302920716634912)</f>
        <v>0.06302920717</v>
      </c>
      <c r="E67" s="15">
        <f>IFERROR(__xludf.DUMMYFUNCTION("""COMPUTED_VALUE"""),-0.40796701763193105)</f>
        <v>-0.4079670176</v>
      </c>
      <c r="F67" s="15">
        <f>IFERROR(__xludf.DUMMYFUNCTION("""COMPUTED_VALUE"""),-0.3449378104655819)</f>
        <v>-0.3449378105</v>
      </c>
      <c r="G67" s="17">
        <f>IFERROR(__xludf.DUMMYFUNCTION("""COMPUTED_VALUE"""),0.0049396383299099645)</f>
        <v>0.00493963833</v>
      </c>
      <c r="H67" s="4"/>
      <c r="I67" s="5" t="s">
        <v>1786</v>
      </c>
      <c r="J67" s="5" t="s">
        <v>1659</v>
      </c>
      <c r="K67" s="5">
        <v>4.0</v>
      </c>
      <c r="L67" s="5">
        <v>-0.266204</v>
      </c>
      <c r="M67" s="5">
        <v>-0.09724</v>
      </c>
      <c r="N67" s="5">
        <v>-0.363444</v>
      </c>
      <c r="O67" s="5">
        <v>0.002146</v>
      </c>
    </row>
    <row r="68">
      <c r="A68" s="18" t="str">
        <f>IFERROR(__xludf.DUMMYFUNCTION("""COMPUTED_VALUE"""),"Jared Ruiz")</f>
        <v>Jared Ruiz</v>
      </c>
      <c r="B68" s="19" t="str">
        <f>IFERROR(__xludf.DUMMYFUNCTION("""COMPUTED_VALUE"""),"LEO")</f>
        <v>LEO</v>
      </c>
      <c r="C68" s="20">
        <f>IFERROR(__xludf.DUMMYFUNCTION("""COMPUTED_VALUE"""),17.4)</f>
        <v>17.4</v>
      </c>
      <c r="D68" s="21">
        <f>IFERROR(__xludf.DUMMYFUNCTION("""COMPUTED_VALUE"""),-0.16274990437908077)</f>
        <v>-0.1627499044</v>
      </c>
      <c r="E68" s="21">
        <f>IFERROR(__xludf.DUMMYFUNCTION("""COMPUTED_VALUE"""),-0.23221169625833998)</f>
        <v>-0.2322116963</v>
      </c>
      <c r="F68" s="21">
        <f>IFERROR(__xludf.DUMMYFUNCTION("""COMPUTED_VALUE"""),-0.39496160063742075)</f>
        <v>-0.3949616006</v>
      </c>
      <c r="G68" s="23">
        <f>IFERROR(__xludf.DUMMYFUNCTION("""COMPUTED_VALUE"""),0.00890965887334166)</f>
        <v>0.008909658873</v>
      </c>
      <c r="H68" s="4"/>
      <c r="I68" s="5" t="s">
        <v>1788</v>
      </c>
      <c r="J68" s="5" t="s">
        <v>1665</v>
      </c>
      <c r="K68" s="5">
        <v>86.0</v>
      </c>
      <c r="L68" s="5">
        <v>0.129063</v>
      </c>
      <c r="M68" s="5">
        <v>-0.494369</v>
      </c>
      <c r="N68" s="5">
        <v>-0.365306</v>
      </c>
      <c r="O68" s="5">
        <v>0.042147</v>
      </c>
    </row>
    <row r="69">
      <c r="A69" s="12" t="str">
        <f>IFERROR(__xludf.DUMMYFUNCTION("""COMPUTED_VALUE"""),"A.D. Vassallo")</f>
        <v>A.D. Vassallo</v>
      </c>
      <c r="B69" s="13" t="str">
        <f>IFERROR(__xludf.DUMMYFUNCTION("""COMPUTED_VALUE"""),"LEO")</f>
        <v>LEO</v>
      </c>
      <c r="C69" s="14">
        <f>IFERROR(__xludf.DUMMYFUNCTION("""COMPUTED_VALUE"""),1423.5)</f>
        <v>1423.5</v>
      </c>
      <c r="D69" s="15">
        <f>IFERROR(__xludf.DUMMYFUNCTION("""COMPUTED_VALUE"""),1.1653764664785589)</f>
        <v>1.165376466</v>
      </c>
      <c r="E69" s="15">
        <f>IFERROR(__xludf.DUMMYFUNCTION("""COMPUTED_VALUE"""),-1.63023158626952)</f>
        <v>-1.630231586</v>
      </c>
      <c r="F69" s="15">
        <f>IFERROR(__xludf.DUMMYFUNCTION("""COMPUTED_VALUE"""),-0.46485511979096117)</f>
        <v>-0.4648551198</v>
      </c>
      <c r="G69" s="17">
        <f>IFERROR(__xludf.DUMMYFUNCTION("""COMPUTED_VALUE"""),0.6971612519105975)</f>
        <v>0.6971612519</v>
      </c>
      <c r="H69" s="4"/>
      <c r="I69" s="5" t="s">
        <v>1790</v>
      </c>
      <c r="J69" s="5" t="s">
        <v>1670</v>
      </c>
      <c r="K69" s="24">
        <v>12.0</v>
      </c>
      <c r="L69" s="5">
        <v>-0.203856</v>
      </c>
      <c r="M69" s="5">
        <v>-0.193836</v>
      </c>
      <c r="N69" s="5">
        <v>-0.397692</v>
      </c>
      <c r="O69" s="5">
        <v>0.006158</v>
      </c>
    </row>
    <row r="70">
      <c r="A70" s="18" t="str">
        <f>IFERROR(__xludf.DUMMYFUNCTION("""COMPUTED_VALUE"""),"Xavier Zambrana")</f>
        <v>Xavier Zambrana</v>
      </c>
      <c r="B70" s="19" t="str">
        <f>IFERROR(__xludf.DUMMYFUNCTION("""COMPUTED_VALUE"""),"FAJ")</f>
        <v>FAJ</v>
      </c>
      <c r="C70" s="20">
        <f>IFERROR(__xludf.DUMMYFUNCTION("""COMPUTED_VALUE"""),37.6)</f>
        <v>37.6</v>
      </c>
      <c r="D70" s="21">
        <f>IFERROR(__xludf.DUMMYFUNCTION("""COMPUTED_VALUE"""),-0.13303116470485465)</f>
        <v>-0.1330311647</v>
      </c>
      <c r="E70" s="21">
        <f>IFERROR(__xludf.DUMMYFUNCTION("""COMPUTED_VALUE"""),-0.33521556423715476)</f>
        <v>-0.3352155642</v>
      </c>
      <c r="F70" s="21">
        <f>IFERROR(__xludf.DUMMYFUNCTION("""COMPUTED_VALUE"""),-0.4682467289420094)</f>
        <v>-0.4682467289</v>
      </c>
      <c r="G70" s="23">
        <f>IFERROR(__xludf.DUMMYFUNCTION("""COMPUTED_VALUE"""),0.01975203801746441)</f>
        <v>0.01975203802</v>
      </c>
      <c r="H70" s="4"/>
      <c r="I70" s="5" t="s">
        <v>1792</v>
      </c>
      <c r="J70" s="5" t="s">
        <v>1674</v>
      </c>
      <c r="K70" s="5">
        <v>178.0</v>
      </c>
      <c r="L70" s="5">
        <v>0.782659</v>
      </c>
      <c r="M70" s="5">
        <v>-1.186294</v>
      </c>
      <c r="N70" s="5">
        <v>-0.403635</v>
      </c>
      <c r="O70" s="5">
        <v>0.086502</v>
      </c>
    </row>
    <row r="71">
      <c r="A71" s="12" t="str">
        <f>IFERROR(__xludf.DUMMYFUNCTION("""COMPUTED_VALUE"""),"Carlos Emory")</f>
        <v>Carlos Emory</v>
      </c>
      <c r="B71" s="13" t="str">
        <f>IFERROR(__xludf.DUMMYFUNCTION("""COMPUTED_VALUE"""),"AGU")</f>
        <v>AGU</v>
      </c>
      <c r="C71" s="14">
        <f>IFERROR(__xludf.DUMMYFUNCTION("""COMPUTED_VALUE"""),386.25)</f>
        <v>386.25</v>
      </c>
      <c r="D71" s="15">
        <f>IFERROR(__xludf.DUMMYFUNCTION("""COMPUTED_VALUE"""),-0.633908028668227)</f>
        <v>-0.6339080287</v>
      </c>
      <c r="E71" s="15">
        <f>IFERROR(__xludf.DUMMYFUNCTION("""COMPUTED_VALUE"""),0.1514095427226928)</f>
        <v>0.1514095427</v>
      </c>
      <c r="F71" s="15">
        <f>IFERROR(__xludf.DUMMYFUNCTION("""COMPUTED_VALUE"""),-0.48249848594553424)</f>
        <v>-0.4824984859</v>
      </c>
      <c r="G71" s="17">
        <f>IFERROR(__xludf.DUMMYFUNCTION("""COMPUTED_VALUE"""),0.18035009595432816)</f>
        <v>0.180350096</v>
      </c>
      <c r="H71" s="4"/>
      <c r="I71" s="5" t="s">
        <v>1794</v>
      </c>
      <c r="J71" s="5" t="s">
        <v>1662</v>
      </c>
      <c r="K71" s="5">
        <v>27.0</v>
      </c>
      <c r="L71" s="5">
        <v>-0.202458</v>
      </c>
      <c r="M71" s="5">
        <v>-0.218206</v>
      </c>
      <c r="N71" s="5">
        <v>-0.420665</v>
      </c>
      <c r="O71" s="5">
        <v>0.012973</v>
      </c>
    </row>
    <row r="72">
      <c r="A72" s="18" t="str">
        <f>IFERROR(__xludf.DUMMYFUNCTION("""COMPUTED_VALUE"""),"Tyler Polo")</f>
        <v>Tyler Polo</v>
      </c>
      <c r="B72" s="19" t="str">
        <f>IFERROR(__xludf.DUMMYFUNCTION("""COMPUTED_VALUE"""),"PIR")</f>
        <v>PIR</v>
      </c>
      <c r="C72" s="20">
        <f>IFERROR(__xludf.DUMMYFUNCTION("""COMPUTED_VALUE"""),493.7)</f>
        <v>493.7</v>
      </c>
      <c r="D72" s="21">
        <f>IFERROR(__xludf.DUMMYFUNCTION("""COMPUTED_VALUE"""),-0.5120047386551397)</f>
        <v>-0.5120047387</v>
      </c>
      <c r="E72" s="21">
        <f>IFERROR(__xludf.DUMMYFUNCTION("""COMPUTED_VALUE"""),0.00903614877617187)</f>
        <v>0.009036148776</v>
      </c>
      <c r="F72" s="21">
        <f>IFERROR(__xludf.DUMMYFUNCTION("""COMPUTED_VALUE"""),-0.5029685898789679)</f>
        <v>-0.5029685899</v>
      </c>
      <c r="G72" s="23">
        <f>IFERROR(__xludf.DUMMYFUNCTION("""COMPUTED_VALUE"""),0.23718757017137249)</f>
        <v>0.2371875702</v>
      </c>
      <c r="H72" s="4"/>
      <c r="I72" s="5" t="s">
        <v>1795</v>
      </c>
      <c r="J72" s="5" t="s">
        <v>1667</v>
      </c>
      <c r="K72" s="24">
        <v>71.0</v>
      </c>
      <c r="L72" s="5">
        <v>-0.348136</v>
      </c>
      <c r="M72" s="5">
        <v>-0.079272</v>
      </c>
      <c r="N72" s="5">
        <v>-0.427408</v>
      </c>
      <c r="O72" s="5">
        <v>0.034043</v>
      </c>
    </row>
    <row r="73">
      <c r="A73" s="12" t="str">
        <f>IFERROR(__xludf.DUMMYFUNCTION("""COMPUTED_VALUE"""),"Ramon Calderon")</f>
        <v>Ramon Calderon</v>
      </c>
      <c r="B73" s="13" t="str">
        <f>IFERROR(__xludf.DUMMYFUNCTION("""COMPUTED_VALUE"""),"FAJ")</f>
        <v>FAJ</v>
      </c>
      <c r="C73" s="14">
        <f>IFERROR(__xludf.DUMMYFUNCTION("""COMPUTED_VALUE"""),28.9)</f>
        <v>28.9</v>
      </c>
      <c r="D73" s="15">
        <f>IFERROR(__xludf.DUMMYFUNCTION("""COMPUTED_VALUE"""),-0.3749399259093255)</f>
        <v>-0.3749399259</v>
      </c>
      <c r="E73" s="15">
        <f>IFERROR(__xludf.DUMMYFUNCTION("""COMPUTED_VALUE"""),-0.17076849052648496)</f>
        <v>-0.1707684905</v>
      </c>
      <c r="F73" s="15">
        <f>IFERROR(__xludf.DUMMYFUNCTION("""COMPUTED_VALUE"""),-0.5457084164358105)</f>
        <v>-0.5457084164</v>
      </c>
      <c r="G73" s="17">
        <f>IFERROR(__xludf.DUMMYFUNCTION("""COMPUTED_VALUE"""),0.014414002231066743)</f>
        <v>0.01441400223</v>
      </c>
      <c r="H73" s="4"/>
      <c r="I73" s="5" t="s">
        <v>1796</v>
      </c>
      <c r="J73" s="5" t="s">
        <v>1659</v>
      </c>
      <c r="K73" s="5">
        <v>7.0</v>
      </c>
      <c r="L73" s="5">
        <v>-0.347652</v>
      </c>
      <c r="M73" s="5">
        <v>-0.109573</v>
      </c>
      <c r="N73" s="5">
        <v>-0.457225</v>
      </c>
      <c r="O73" s="5">
        <v>0.0032</v>
      </c>
    </row>
    <row r="74">
      <c r="A74" s="18" t="str">
        <f>IFERROR(__xludf.DUMMYFUNCTION("""COMPUTED_VALUE"""),"Alex Franklin")</f>
        <v>Alex Franklin</v>
      </c>
      <c r="B74" s="19" t="str">
        <f>IFERROR(__xludf.DUMMYFUNCTION("""COMPUTED_VALUE"""),"ATL")</f>
        <v>ATL</v>
      </c>
      <c r="C74" s="20">
        <f>IFERROR(__xludf.DUMMYFUNCTION("""COMPUTED_VALUE"""),677.0)</f>
        <v>677</v>
      </c>
      <c r="D74" s="21">
        <f>IFERROR(__xludf.DUMMYFUNCTION("""COMPUTED_VALUE"""),-0.9016603074753953)</f>
        <v>-0.9016603075</v>
      </c>
      <c r="E74" s="21">
        <f>IFERROR(__xludf.DUMMYFUNCTION("""COMPUTED_VALUE"""),0.35110264625233967)</f>
        <v>0.3511026463</v>
      </c>
      <c r="F74" s="21">
        <f>IFERROR(__xludf.DUMMYFUNCTION("""COMPUTED_VALUE"""),-0.5505576612230556)</f>
        <v>-0.5505576612</v>
      </c>
      <c r="G74" s="23">
        <f>IFERROR(__xludf.DUMMYFUNCTION("""COMPUTED_VALUE"""),0.32721036196957)</f>
        <v>0.327210362</v>
      </c>
      <c r="H74" s="4"/>
      <c r="I74" s="5" t="s">
        <v>1798</v>
      </c>
      <c r="J74" s="5" t="s">
        <v>1667</v>
      </c>
      <c r="K74" s="5">
        <v>17.0</v>
      </c>
      <c r="L74" s="5">
        <v>-0.224779</v>
      </c>
      <c r="M74" s="5">
        <v>-0.23496</v>
      </c>
      <c r="N74" s="5">
        <v>-0.459739</v>
      </c>
      <c r="O74" s="5">
        <v>0.008088</v>
      </c>
    </row>
    <row r="75">
      <c r="A75" s="12" t="str">
        <f>IFERROR(__xludf.DUMMYFUNCTION("""COMPUTED_VALUE"""),"Jeffrey Cartagena")</f>
        <v>Jeffrey Cartagena</v>
      </c>
      <c r="B75" s="13" t="str">
        <f>IFERROR(__xludf.DUMMYFUNCTION("""COMPUTED_VALUE"""),"FAJ")</f>
        <v>FAJ</v>
      </c>
      <c r="C75" s="14">
        <f>IFERROR(__xludf.DUMMYFUNCTION("""COMPUTED_VALUE"""),168.5)</f>
        <v>168.5</v>
      </c>
      <c r="D75" s="15">
        <f>IFERROR(__xludf.DUMMYFUNCTION("""COMPUTED_VALUE"""),-0.3290805487721183)</f>
        <v>-0.3290805488</v>
      </c>
      <c r="E75" s="15">
        <f>IFERROR(__xludf.DUMMYFUNCTION("""COMPUTED_VALUE"""),-0.23433283829454815)</f>
        <v>-0.2343328383</v>
      </c>
      <c r="F75" s="15">
        <f>IFERROR(__xludf.DUMMYFUNCTION("""COMPUTED_VALUE"""),-0.5634133870666664)</f>
        <v>-0.5634133871</v>
      </c>
      <c r="G75" s="17">
        <f>IFERROR(__xludf.DUMMYFUNCTION("""COMPUTED_VALUE"""),0.08301698787870451)</f>
        <v>0.08301698788</v>
      </c>
      <c r="H75" s="4"/>
      <c r="I75" s="5" t="s">
        <v>1800</v>
      </c>
      <c r="J75" s="5" t="s">
        <v>1694</v>
      </c>
      <c r="K75" s="5">
        <v>14.0</v>
      </c>
      <c r="L75" s="5">
        <v>-0.189484</v>
      </c>
      <c r="M75" s="5">
        <v>-0.311178</v>
      </c>
      <c r="N75" s="5">
        <v>-0.500662</v>
      </c>
      <c r="O75" s="5">
        <v>0.006268</v>
      </c>
    </row>
    <row r="76">
      <c r="A76" s="18" t="str">
        <f>IFERROR(__xludf.DUMMYFUNCTION("""COMPUTED_VALUE"""),"Ferdinand Morales")</f>
        <v>Ferdinand Morales</v>
      </c>
      <c r="B76" s="19" t="str">
        <f>IFERROR(__xludf.DUMMYFUNCTION("""COMPUTED_VALUE"""),"VAQ")</f>
        <v>VAQ</v>
      </c>
      <c r="C76" s="20">
        <f>IFERROR(__xludf.DUMMYFUNCTION("""COMPUTED_VALUE"""),14.1)</f>
        <v>14.1</v>
      </c>
      <c r="D76" s="21">
        <f>IFERROR(__xludf.DUMMYFUNCTION("""COMPUTED_VALUE"""),-0.43625185678430045)</f>
        <v>-0.4362518568</v>
      </c>
      <c r="E76" s="21">
        <f>IFERROR(__xludf.DUMMYFUNCTION("""COMPUTED_VALUE"""),-0.13965322341137454)</f>
        <v>-0.1396532234</v>
      </c>
      <c r="F76" s="21">
        <f>IFERROR(__xludf.DUMMYFUNCTION("""COMPUTED_VALUE"""),-0.575905080195675)</f>
        <v>-0.5759050802</v>
      </c>
      <c r="G76" s="23">
        <f>IFERROR(__xludf.DUMMYFUNCTION("""COMPUTED_VALUE"""),0.0063844928376600805)</f>
        <v>0.006384492838</v>
      </c>
      <c r="H76" s="4"/>
      <c r="I76" s="5" t="s">
        <v>1802</v>
      </c>
      <c r="J76" s="5" t="s">
        <v>1674</v>
      </c>
      <c r="K76" s="5">
        <v>98.0</v>
      </c>
      <c r="L76" s="5">
        <v>-0.554919</v>
      </c>
      <c r="M76" s="5">
        <v>0.048926</v>
      </c>
      <c r="N76" s="5">
        <v>-0.505993</v>
      </c>
      <c r="O76" s="5">
        <v>0.044435</v>
      </c>
    </row>
    <row r="77">
      <c r="A77" s="12" t="str">
        <f>IFERROR(__xludf.DUMMYFUNCTION("""COMPUTED_VALUE"""),"O.J. Mayo")</f>
        <v>O.J. Mayo</v>
      </c>
      <c r="B77" s="13" t="str">
        <f>IFERROR(__xludf.DUMMYFUNCTION("""COMPUTED_VALUE"""),"ATL")</f>
        <v>ATL</v>
      </c>
      <c r="C77" s="14">
        <f>IFERROR(__xludf.DUMMYFUNCTION("""COMPUTED_VALUE"""),612.0)</f>
        <v>612</v>
      </c>
      <c r="D77" s="15">
        <f>IFERROR(__xludf.DUMMYFUNCTION("""COMPUTED_VALUE"""),0.5501346354538728)</f>
        <v>0.5501346355</v>
      </c>
      <c r="E77" s="15">
        <f>IFERROR(__xludf.DUMMYFUNCTION("""COMPUTED_VALUE"""),-1.1287048153908712)</f>
        <v>-1.128704815</v>
      </c>
      <c r="F77" s="15">
        <f>IFERROR(__xludf.DUMMYFUNCTION("""COMPUTED_VALUE"""),-0.5785701799369984)</f>
        <v>-0.5785701799</v>
      </c>
      <c r="G77" s="17">
        <f>IFERROR(__xludf.DUMMYFUNCTION("""COMPUTED_VALUE"""),0.29007765833069576)</f>
        <v>0.2900776583</v>
      </c>
      <c r="H77" s="4"/>
      <c r="I77" s="5" t="s">
        <v>1803</v>
      </c>
      <c r="J77" s="5" t="s">
        <v>1674</v>
      </c>
      <c r="K77" s="5">
        <v>17.0</v>
      </c>
      <c r="L77" s="5">
        <v>-0.347288</v>
      </c>
      <c r="M77" s="5">
        <v>-0.199126</v>
      </c>
      <c r="N77" s="5">
        <v>-0.546414</v>
      </c>
      <c r="O77" s="5">
        <v>0.007567</v>
      </c>
    </row>
    <row r="78">
      <c r="A78" s="18" t="str">
        <f>IFERROR(__xludf.DUMMYFUNCTION("""COMPUTED_VALUE"""),"Joel Nieves")</f>
        <v>Joel Nieves</v>
      </c>
      <c r="B78" s="19" t="str">
        <f>IFERROR(__xludf.DUMMYFUNCTION("""COMPUTED_VALUE"""),"CAC")</f>
        <v>CAC</v>
      </c>
      <c r="C78" s="20">
        <f>IFERROR(__xludf.DUMMYFUNCTION("""COMPUTED_VALUE"""),189.2)</f>
        <v>189.2</v>
      </c>
      <c r="D78" s="21">
        <f>IFERROR(__xludf.DUMMYFUNCTION("""COMPUTED_VALUE"""),0.33604307818089957)</f>
        <v>0.3360430782</v>
      </c>
      <c r="E78" s="21">
        <f>IFERROR(__xludf.DUMMYFUNCTION("""COMPUTED_VALUE"""),-0.9148700381367969)</f>
        <v>-0.9148700381</v>
      </c>
      <c r="F78" s="21">
        <f>IFERROR(__xludf.DUMMYFUNCTION("""COMPUTED_VALUE"""),-0.5788269599558974)</f>
        <v>-0.57882696</v>
      </c>
      <c r="G78" s="23">
        <f>IFERROR(__xludf.DUMMYFUNCTION("""COMPUTED_VALUE"""),0.08818908142280933)</f>
        <v>0.08818908142</v>
      </c>
      <c r="H78" s="4"/>
      <c r="I78" s="5" t="s">
        <v>1805</v>
      </c>
      <c r="J78" s="5" t="s">
        <v>1665</v>
      </c>
      <c r="K78" s="24">
        <v>55.0</v>
      </c>
      <c r="L78" s="5">
        <v>-0.027646</v>
      </c>
      <c r="M78" s="5">
        <v>-0.52442</v>
      </c>
      <c r="N78" s="5">
        <v>-0.552066</v>
      </c>
      <c r="O78" s="5">
        <v>0.024089</v>
      </c>
    </row>
    <row r="79">
      <c r="A79" s="12" t="str">
        <f>IFERROR(__xludf.DUMMYFUNCTION("""COMPUTED_VALUE"""),"T.J. Williams")</f>
        <v>T.J. Williams</v>
      </c>
      <c r="B79" s="13" t="str">
        <f>IFERROR(__xludf.DUMMYFUNCTION("""COMPUTED_VALUE"""),"AGU")</f>
        <v>AGU</v>
      </c>
      <c r="C79" s="14">
        <f>IFERROR(__xludf.DUMMYFUNCTION("""COMPUTED_VALUE"""),103.1)</f>
        <v>103.1</v>
      </c>
      <c r="D79" s="15">
        <f>IFERROR(__xludf.DUMMYFUNCTION("""COMPUTED_VALUE"""),0.34068045597814595)</f>
        <v>0.340680456</v>
      </c>
      <c r="E79" s="15">
        <f>IFERROR(__xludf.DUMMYFUNCTION("""COMPUTED_VALUE"""),-0.9505786608249343)</f>
        <v>-0.9505786608</v>
      </c>
      <c r="F79" s="15">
        <f>IFERROR(__xludf.DUMMYFUNCTION("""COMPUTED_VALUE"""),-0.6098982048467882)</f>
        <v>-0.6098982048</v>
      </c>
      <c r="G79" s="17">
        <f>IFERROR(__xludf.DUMMYFUNCTION("""COMPUTED_VALUE"""),0.044098520754539156)</f>
        <v>0.04409852075</v>
      </c>
      <c r="H79" s="4"/>
      <c r="I79" s="5" t="s">
        <v>1806</v>
      </c>
      <c r="J79" s="5" t="s">
        <v>1665</v>
      </c>
      <c r="K79" s="5">
        <v>75.0</v>
      </c>
      <c r="L79" s="5">
        <v>-1.069114</v>
      </c>
      <c r="M79" s="5">
        <v>0.479812</v>
      </c>
      <c r="N79" s="5">
        <v>-0.589302</v>
      </c>
      <c r="O79" s="5">
        <v>0.031958</v>
      </c>
    </row>
    <row r="80">
      <c r="A80" s="18" t="str">
        <f>IFERROR(__xludf.DUMMYFUNCTION("""COMPUTED_VALUE"""),"Melsahn Basabe")</f>
        <v>Melsahn Basabe</v>
      </c>
      <c r="B80" s="19" t="str">
        <f>IFERROR(__xludf.DUMMYFUNCTION("""COMPUTED_VALUE"""),"CAC")</f>
        <v>CAC</v>
      </c>
      <c r="C80" s="20">
        <f>IFERROR(__xludf.DUMMYFUNCTION("""COMPUTED_VALUE"""),198.8)</f>
        <v>198.8</v>
      </c>
      <c r="D80" s="21">
        <f>IFERROR(__xludf.DUMMYFUNCTION("""COMPUTED_VALUE"""),0.9055192083037474)</f>
        <v>0.9055192083</v>
      </c>
      <c r="E80" s="21">
        <f>IFERROR(__xludf.DUMMYFUNCTION("""COMPUTED_VALUE"""),-1.525570583595017)</f>
        <v>-1.525570584</v>
      </c>
      <c r="F80" s="21">
        <f>IFERROR(__xludf.DUMMYFUNCTION("""COMPUTED_VALUE"""),-0.6200513752912696)</f>
        <v>-0.6200513753</v>
      </c>
      <c r="G80" s="23">
        <f>IFERROR(__xludf.DUMMYFUNCTION("""COMPUTED_VALUE"""),0.0899758638064417)</f>
        <v>0.08997586381</v>
      </c>
      <c r="H80" s="4"/>
      <c r="I80" s="5" t="s">
        <v>1807</v>
      </c>
      <c r="J80" s="5" t="s">
        <v>1694</v>
      </c>
      <c r="K80" s="5">
        <v>205.0</v>
      </c>
      <c r="L80" s="5">
        <v>-2.274726</v>
      </c>
      <c r="M80" s="5">
        <v>1.681104</v>
      </c>
      <c r="N80" s="5">
        <v>-0.593621</v>
      </c>
      <c r="O80" s="5">
        <v>0.085601</v>
      </c>
    </row>
    <row r="81">
      <c r="A81" s="12" t="str">
        <f>IFERROR(__xludf.DUMMYFUNCTION("""COMPUTED_VALUE"""),"Jorge Sanabria")</f>
        <v>Jorge Sanabria</v>
      </c>
      <c r="B81" s="13" t="str">
        <f>IFERROR(__xludf.DUMMYFUNCTION("""COMPUTED_VALUE"""),"CAC")</f>
        <v>CAC</v>
      </c>
      <c r="C81" s="14">
        <f>IFERROR(__xludf.DUMMYFUNCTION("""COMPUTED_VALUE"""),12.7)</f>
        <v>12.7</v>
      </c>
      <c r="D81" s="15">
        <f>IFERROR(__xludf.DUMMYFUNCTION("""COMPUTED_VALUE"""),-0.5138034352887082)</f>
        <v>-0.5138034353</v>
      </c>
      <c r="E81" s="15">
        <f>IFERROR(__xludf.DUMMYFUNCTION("""COMPUTED_VALUE"""),-0.1424749748570009)</f>
        <v>-0.1424749749</v>
      </c>
      <c r="F81" s="15">
        <f>IFERROR(__xludf.DUMMYFUNCTION("""COMPUTED_VALUE"""),-0.6562784101457091)</f>
        <v>-0.6562784101</v>
      </c>
      <c r="G81" s="17">
        <f>IFERROR(__xludf.DUMMYFUNCTION("""COMPUTED_VALUE"""),0.005597057168050823)</f>
        <v>0.005597057168</v>
      </c>
      <c r="H81" s="4"/>
      <c r="I81" s="5" t="s">
        <v>1809</v>
      </c>
      <c r="J81" s="5" t="s">
        <v>1662</v>
      </c>
      <c r="K81" s="5">
        <v>105.0</v>
      </c>
      <c r="L81" s="5">
        <v>-0.855888</v>
      </c>
      <c r="M81" s="5">
        <v>0.251703</v>
      </c>
      <c r="N81" s="5">
        <v>-0.604186</v>
      </c>
      <c r="O81" s="5">
        <v>0.044224</v>
      </c>
    </row>
    <row r="82">
      <c r="A82" s="18" t="str">
        <f>IFERROR(__xludf.DUMMYFUNCTION("""COMPUTED_VALUE"""),"Denis Clemente")</f>
        <v>Denis Clemente</v>
      </c>
      <c r="B82" s="19" t="str">
        <f>IFERROR(__xludf.DUMMYFUNCTION("""COMPUTED_VALUE"""),"CAP")</f>
        <v>CAP</v>
      </c>
      <c r="C82" s="20">
        <f>IFERROR(__xludf.DUMMYFUNCTION("""COMPUTED_VALUE"""),485.9)</f>
        <v>485.9</v>
      </c>
      <c r="D82" s="21">
        <f>IFERROR(__xludf.DUMMYFUNCTION("""COMPUTED_VALUE"""),0.9400058716693955)</f>
        <v>0.9400058717</v>
      </c>
      <c r="E82" s="21">
        <f>IFERROR(__xludf.DUMMYFUNCTION("""COMPUTED_VALUE"""),-1.6096245038960455)</f>
        <v>-1.609624504</v>
      </c>
      <c r="F82" s="21">
        <f>IFERROR(__xludf.DUMMYFUNCTION("""COMPUTED_VALUE"""),-0.66961863222665)</f>
        <v>-0.6696186322</v>
      </c>
      <c r="G82" s="23">
        <f>IFERROR(__xludf.DUMMYFUNCTION("""COMPUTED_VALUE"""),0.19845165239065726)</f>
        <v>0.1984516524</v>
      </c>
      <c r="H82" s="4"/>
      <c r="I82" s="5" t="s">
        <v>1810</v>
      </c>
      <c r="J82" s="5" t="s">
        <v>1665</v>
      </c>
      <c r="K82" s="5">
        <v>69.0</v>
      </c>
      <c r="L82" s="5">
        <v>-0.577381</v>
      </c>
      <c r="M82" s="5">
        <v>-0.069043</v>
      </c>
      <c r="N82" s="5">
        <v>-0.646423</v>
      </c>
      <c r="O82" s="5">
        <v>0.028098</v>
      </c>
    </row>
    <row r="83">
      <c r="A83" s="12" t="str">
        <f>IFERROR(__xludf.DUMMYFUNCTION("""COMPUTED_VALUE"""),"Omar Samhan")</f>
        <v>Omar Samhan</v>
      </c>
      <c r="B83" s="13" t="str">
        <f>IFERROR(__xludf.DUMMYFUNCTION("""COMPUTED_VALUE"""),"FAJ")</f>
        <v>FAJ</v>
      </c>
      <c r="C83" s="14">
        <f>IFERROR(__xludf.DUMMYFUNCTION("""COMPUTED_VALUE"""),355.4)</f>
        <v>355.4</v>
      </c>
      <c r="D83" s="15">
        <f>IFERROR(__xludf.DUMMYFUNCTION("""COMPUTED_VALUE"""),-1.9768028519151004)</f>
        <v>-1.976802852</v>
      </c>
      <c r="E83" s="15">
        <f>IFERROR(__xludf.DUMMYFUNCTION("""COMPUTED_VALUE"""),1.3013858579461814)</f>
        <v>1.301385858</v>
      </c>
      <c r="F83" s="15">
        <f>IFERROR(__xludf.DUMMYFUNCTION("""COMPUTED_VALUE"""),-0.675416993968919)</f>
        <v>-0.675416994</v>
      </c>
      <c r="G83" s="17">
        <f>IFERROR(__xludf.DUMMYFUNCTION("""COMPUTED_VALUE"""),0.16144769681153134)</f>
        <v>0.1614476968</v>
      </c>
      <c r="H83" s="4"/>
      <c r="I83" s="5" t="s">
        <v>1812</v>
      </c>
      <c r="J83" s="5" t="s">
        <v>1667</v>
      </c>
      <c r="K83" s="5">
        <v>20.0</v>
      </c>
      <c r="L83" s="5">
        <v>-0.326617</v>
      </c>
      <c r="M83" s="5">
        <v>-0.324784</v>
      </c>
      <c r="N83" s="5">
        <v>-0.651401</v>
      </c>
      <c r="O83" s="5">
        <v>0.008199</v>
      </c>
    </row>
    <row r="84">
      <c r="A84" s="18" t="str">
        <f>IFERROR(__xludf.DUMMYFUNCTION("""COMPUTED_VALUE"""),"Diego Maldonado")</f>
        <v>Diego Maldonado</v>
      </c>
      <c r="B84" s="19" t="str">
        <f>IFERROR(__xludf.DUMMYFUNCTION("""COMPUTED_VALUE"""),"ATL")</f>
        <v>ATL</v>
      </c>
      <c r="C84" s="20">
        <f>IFERROR(__xludf.DUMMYFUNCTION("""COMPUTED_VALUE"""),73.7)</f>
        <v>73.7</v>
      </c>
      <c r="D84" s="21">
        <f>IFERROR(__xludf.DUMMYFUNCTION("""COMPUTED_VALUE"""),0.3449293624213552)</f>
        <v>0.3449293624</v>
      </c>
      <c r="E84" s="21">
        <f>IFERROR(__xludf.DUMMYFUNCTION("""COMPUTED_VALUE"""),-1.057463673753757)</f>
        <v>-1.057463674</v>
      </c>
      <c r="F84" s="21">
        <f>IFERROR(__xludf.DUMMYFUNCTION("""COMPUTED_VALUE"""),-0.7125343113324019)</f>
        <v>-0.7125343113</v>
      </c>
      <c r="G84" s="23">
        <f>IFERROR(__xludf.DUMMYFUNCTION("""COMPUTED_VALUE"""),0.03164029967441505)</f>
        <v>0.03164029967</v>
      </c>
      <c r="H84" s="4"/>
      <c r="I84" s="5" t="s">
        <v>1814</v>
      </c>
      <c r="J84" s="5" t="s">
        <v>1667</v>
      </c>
      <c r="K84" s="5">
        <v>76.0</v>
      </c>
      <c r="L84" s="5">
        <v>-0.632146</v>
      </c>
      <c r="M84" s="5">
        <v>-0.064505</v>
      </c>
      <c r="N84" s="5">
        <v>-0.69665</v>
      </c>
      <c r="O84" s="5">
        <v>0.030256</v>
      </c>
    </row>
    <row r="85">
      <c r="A85" s="12" t="str">
        <f>IFERROR(__xludf.DUMMYFUNCTION("""COMPUTED_VALUE"""),"Fabian Toro")</f>
        <v>Fabian Toro</v>
      </c>
      <c r="B85" s="13" t="str">
        <f>IFERROR(__xludf.DUMMYFUNCTION("""COMPUTED_VALUE"""),"CAP")</f>
        <v>CAP</v>
      </c>
      <c r="C85" s="14">
        <f>IFERROR(__xludf.DUMMYFUNCTION("""COMPUTED_VALUE"""),23.3)</f>
        <v>23.3</v>
      </c>
      <c r="D85" s="15">
        <f>IFERROR(__xludf.DUMMYFUNCTION("""COMPUTED_VALUE"""),-0.6021791339750315)</f>
        <v>-0.602179134</v>
      </c>
      <c r="E85" s="15">
        <f>IFERROR(__xludf.DUMMYFUNCTION("""COMPUTED_VALUE"""),-0.13313776419636203)</f>
        <v>-0.1331377642</v>
      </c>
      <c r="F85" s="15">
        <f>IFERROR(__xludf.DUMMYFUNCTION("""COMPUTED_VALUE"""),-0.7353168981713936)</f>
        <v>-0.7353168982</v>
      </c>
      <c r="G85" s="17">
        <f>IFERROR(__xludf.DUMMYFUNCTION("""COMPUTED_VALUE"""),0.009046264946493788)</f>
        <v>0.009046264946</v>
      </c>
      <c r="H85" s="4"/>
      <c r="I85" s="5" t="s">
        <v>1816</v>
      </c>
      <c r="J85" s="5" t="s">
        <v>1674</v>
      </c>
      <c r="K85" s="5">
        <v>235.0</v>
      </c>
      <c r="L85" s="5">
        <v>-1.208265</v>
      </c>
      <c r="M85" s="5">
        <v>0.442932</v>
      </c>
      <c r="N85" s="5">
        <v>-0.765333</v>
      </c>
      <c r="O85" s="5">
        <v>0.088252</v>
      </c>
    </row>
    <row r="86">
      <c r="A86" s="18" t="str">
        <f>IFERROR(__xludf.DUMMYFUNCTION("""COMPUTED_VALUE"""),"Joseph Soto")</f>
        <v>Joseph Soto</v>
      </c>
      <c r="B86" s="19" t="str">
        <f>IFERROR(__xludf.DUMMYFUNCTION("""COMPUTED_VALUE"""),"VAQ")</f>
        <v>VAQ</v>
      </c>
      <c r="C86" s="20">
        <f>IFERROR(__xludf.DUMMYFUNCTION("""COMPUTED_VALUE"""),948.1)</f>
        <v>948.1</v>
      </c>
      <c r="D86" s="21">
        <f>IFERROR(__xludf.DUMMYFUNCTION("""COMPUTED_VALUE"""),-0.7667193763469515)</f>
        <v>-0.7667193763</v>
      </c>
      <c r="E86" s="21">
        <f>IFERROR(__xludf.DUMMYFUNCTION("""COMPUTED_VALUE"""),0.010424391386273157)</f>
        <v>0.01042439139</v>
      </c>
      <c r="F86" s="21">
        <f>IFERROR(__xludf.DUMMYFUNCTION("""COMPUTED_VALUE"""),-0.7562949849606784)</f>
        <v>-0.756294985</v>
      </c>
      <c r="G86" s="23">
        <f>IFERROR(__xludf.DUMMYFUNCTION("""COMPUTED_VALUE"""),0.3749211033164337)</f>
        <v>0.3749211033</v>
      </c>
      <c r="H86" s="4"/>
      <c r="I86" s="5" t="s">
        <v>1819</v>
      </c>
      <c r="J86" s="5" t="s">
        <v>1679</v>
      </c>
      <c r="K86" s="24">
        <v>63.0</v>
      </c>
      <c r="L86" s="5">
        <v>-0.794965</v>
      </c>
      <c r="M86" s="5">
        <v>-0.007653</v>
      </c>
      <c r="N86" s="5">
        <v>-0.802618</v>
      </c>
      <c r="O86" s="5">
        <v>0.022604</v>
      </c>
    </row>
    <row r="87">
      <c r="A87" s="12" t="str">
        <f>IFERROR(__xludf.DUMMYFUNCTION("""COMPUTED_VALUE"""),"Will Daniels")</f>
        <v>Will Daniels</v>
      </c>
      <c r="B87" s="13" t="str">
        <f>IFERROR(__xludf.DUMMYFUNCTION("""COMPUTED_VALUE"""),"FAJ")</f>
        <v>FAJ</v>
      </c>
      <c r="C87" s="14">
        <f>IFERROR(__xludf.DUMMYFUNCTION("""COMPUTED_VALUE"""),22.9)</f>
        <v>22.9</v>
      </c>
      <c r="D87" s="15">
        <f>IFERROR(__xludf.DUMMYFUNCTION("""COMPUTED_VALUE"""),-0.146705444428617)</f>
        <v>-0.1467054444</v>
      </c>
      <c r="E87" s="15">
        <f>IFERROR(__xludf.DUMMYFUNCTION("""COMPUTED_VALUE"""),-0.6461494712767395)</f>
        <v>-0.6461494713</v>
      </c>
      <c r="F87" s="15">
        <f>IFERROR(__xludf.DUMMYFUNCTION("""COMPUTED_VALUE"""),-0.7928549157053565)</f>
        <v>-0.7928549157</v>
      </c>
      <c r="G87" s="17">
        <f>IFERROR(__xludf.DUMMYFUNCTION("""COMPUTED_VALUE"""),0.009480477328529571)</f>
        <v>0.009480477329</v>
      </c>
      <c r="H87" s="4"/>
      <c r="I87" s="5" t="s">
        <v>1821</v>
      </c>
      <c r="J87" s="5" t="s">
        <v>1694</v>
      </c>
      <c r="K87" s="5">
        <v>140.0</v>
      </c>
      <c r="L87" s="5">
        <v>-1.822051</v>
      </c>
      <c r="M87" s="5">
        <v>0.934289</v>
      </c>
      <c r="N87" s="5">
        <v>-0.887762</v>
      </c>
      <c r="O87" s="5">
        <v>0.046099</v>
      </c>
    </row>
    <row r="88">
      <c r="A88" s="18" t="str">
        <f>IFERROR(__xludf.DUMMYFUNCTION("""COMPUTED_VALUE"""),"Carlos Arroyo")</f>
        <v>Carlos Arroyo</v>
      </c>
      <c r="B88" s="19" t="str">
        <f>IFERROR(__xludf.DUMMYFUNCTION("""COMPUTED_VALUE"""),"FAJ")</f>
        <v>FAJ</v>
      </c>
      <c r="C88" s="20">
        <f>IFERROR(__xludf.DUMMYFUNCTION("""COMPUTED_VALUE"""),1424.4)</f>
        <v>1424.4</v>
      </c>
      <c r="D88" s="21">
        <f>IFERROR(__xludf.DUMMYFUNCTION("""COMPUTED_VALUE"""),1.8702475111842287)</f>
        <v>1.870247511</v>
      </c>
      <c r="E88" s="21">
        <f>IFERROR(__xludf.DUMMYFUNCTION("""COMPUTED_VALUE"""),-2.67314982385264)</f>
        <v>-2.673149824</v>
      </c>
      <c r="F88" s="21">
        <f>IFERROR(__xludf.DUMMYFUNCTION("""COMPUTED_VALUE"""),-0.8029023126684112)</f>
        <v>-0.8029023127</v>
      </c>
      <c r="G88" s="23">
        <f>IFERROR(__xludf.DUMMYFUNCTION("""COMPUTED_VALUE"""),0.5847857863800524)</f>
        <v>0.5847857864</v>
      </c>
      <c r="H88" s="4"/>
      <c r="I88" s="5" t="s">
        <v>1822</v>
      </c>
      <c r="J88" s="5" t="s">
        <v>1665</v>
      </c>
      <c r="K88" s="5">
        <v>69.0</v>
      </c>
      <c r="L88" s="5">
        <v>-0.19115</v>
      </c>
      <c r="M88" s="5">
        <v>-0.718627</v>
      </c>
      <c r="N88" s="5">
        <v>-0.909777</v>
      </c>
      <c r="O88" s="5">
        <v>0.022697</v>
      </c>
    </row>
    <row r="89">
      <c r="A89" s="12" t="str">
        <f>IFERROR(__xludf.DUMMYFUNCTION("""COMPUTED_VALUE"""),"Brian Rosario")</f>
        <v>Brian Rosario</v>
      </c>
      <c r="B89" s="13" t="str">
        <f>IFERROR(__xludf.DUMMYFUNCTION("""COMPUTED_VALUE"""),"PIR")</f>
        <v>PIR</v>
      </c>
      <c r="C89" s="14">
        <f>IFERROR(__xludf.DUMMYFUNCTION("""COMPUTED_VALUE"""),6.6)</f>
        <v>6.6</v>
      </c>
      <c r="D89" s="15">
        <f>IFERROR(__xludf.DUMMYFUNCTION("""COMPUTED_VALUE"""),-0.6843669769819197)</f>
        <v>-0.684366977</v>
      </c>
      <c r="E89" s="15">
        <f>IFERROR(__xludf.DUMMYFUNCTION("""COMPUTED_VALUE"""),-0.18003937936632775)</f>
        <v>-0.1800393794</v>
      </c>
      <c r="F89" s="15">
        <f>IFERROR(__xludf.DUMMYFUNCTION("""COMPUTED_VALUE"""),-0.8644063563482475)</f>
        <v>-0.8644063563</v>
      </c>
      <c r="G89" s="17">
        <f>IFERROR(__xludf.DUMMYFUNCTION("""COMPUTED_VALUE"""),0.002405275207000322)</f>
        <v>0.002405275207</v>
      </c>
      <c r="H89" s="4"/>
      <c r="I89" s="5" t="s">
        <v>1824</v>
      </c>
      <c r="J89" s="5" t="s">
        <v>1694</v>
      </c>
      <c r="K89" s="5">
        <v>241.0</v>
      </c>
      <c r="L89" s="5">
        <v>0.750618</v>
      </c>
      <c r="M89" s="5">
        <v>-1.814599</v>
      </c>
      <c r="N89" s="5">
        <v>-1.063981</v>
      </c>
      <c r="O89" s="5">
        <v>0.066768</v>
      </c>
    </row>
    <row r="90">
      <c r="A90" s="18" t="str">
        <f>IFERROR(__xludf.DUMMYFUNCTION("""COMPUTED_VALUE"""),"Owens Kelly Perez")</f>
        <v>Owens Kelly Perez</v>
      </c>
      <c r="B90" s="19" t="str">
        <f>IFERROR(__xludf.DUMMYFUNCTION("""COMPUTED_VALUE"""),"AGU")</f>
        <v>AGU</v>
      </c>
      <c r="C90" s="20">
        <f>IFERROR(__xludf.DUMMYFUNCTION("""COMPUTED_VALUE"""),98.6)</f>
        <v>98.6</v>
      </c>
      <c r="D90" s="21">
        <f>IFERROR(__xludf.DUMMYFUNCTION("""COMPUTED_VALUE"""),-0.3404059565587378)</f>
        <v>-0.3404059566</v>
      </c>
      <c r="E90" s="21">
        <f>IFERROR(__xludf.DUMMYFUNCTION("""COMPUTED_VALUE"""),-0.5294817914486345)</f>
        <v>-0.5294817914</v>
      </c>
      <c r="F90" s="21">
        <f>IFERROR(__xludf.DUMMYFUNCTION("""COMPUTED_VALUE"""),-0.8698877480073722)</f>
        <v>-0.869887748</v>
      </c>
      <c r="G90" s="23">
        <f>IFERROR(__xludf.DUMMYFUNCTION("""COMPUTED_VALUE"""),0.0342860339212981)</f>
        <v>0.03428603392</v>
      </c>
      <c r="H90" s="4"/>
      <c r="I90" s="5" t="s">
        <v>1825</v>
      </c>
      <c r="J90" s="5" t="s">
        <v>1670</v>
      </c>
      <c r="K90" s="5">
        <v>174.0</v>
      </c>
      <c r="L90" s="5">
        <v>0.9966</v>
      </c>
      <c r="M90" s="5">
        <v>-2.061193</v>
      </c>
      <c r="N90" s="5">
        <v>-1.064592</v>
      </c>
      <c r="O90" s="5">
        <v>0.052626</v>
      </c>
    </row>
    <row r="91">
      <c r="A91" s="12" t="str">
        <f>IFERROR(__xludf.DUMMYFUNCTION("""COMPUTED_VALUE"""),"Marcus Fillyaw")</f>
        <v>Marcus Fillyaw</v>
      </c>
      <c r="B91" s="13" t="str">
        <f>IFERROR(__xludf.DUMMYFUNCTION("""COMPUTED_VALUE"""),"CAC")</f>
        <v>CAC</v>
      </c>
      <c r="C91" s="14">
        <f>IFERROR(__xludf.DUMMYFUNCTION("""COMPUTED_VALUE"""),741.2)</f>
        <v>741.2</v>
      </c>
      <c r="D91" s="15">
        <f>IFERROR(__xludf.DUMMYFUNCTION("""COMPUTED_VALUE"""),-1.58454773801655)</f>
        <v>-1.584547738</v>
      </c>
      <c r="E91" s="15">
        <f>IFERROR(__xludf.DUMMYFUNCTION("""COMPUTED_VALUE"""),0.666222823133134)</f>
        <v>0.6662228231</v>
      </c>
      <c r="F91" s="15">
        <f>IFERROR(__xludf.DUMMYFUNCTION("""COMPUTED_VALUE"""),-0.918324914883416)</f>
        <v>-0.9183249149</v>
      </c>
      <c r="G91" s="17">
        <f>IFERROR(__xludf.DUMMYFUNCTION("""COMPUTED_VALUE"""),0.2629535048556376)</f>
        <v>0.2629535049</v>
      </c>
      <c r="H91" s="4"/>
      <c r="I91" s="5" t="s">
        <v>1827</v>
      </c>
      <c r="J91" s="5" t="s">
        <v>1667</v>
      </c>
      <c r="K91" s="5">
        <v>32.0</v>
      </c>
      <c r="L91" s="5">
        <v>-0.80823</v>
      </c>
      <c r="M91" s="5">
        <v>-0.308603</v>
      </c>
      <c r="N91" s="5">
        <v>-1.116833</v>
      </c>
      <c r="O91" s="5">
        <v>0.008542</v>
      </c>
    </row>
    <row r="92">
      <c r="A92" s="18" t="str">
        <f>IFERROR(__xludf.DUMMYFUNCTION("""COMPUTED_VALUE"""),"William Orozco")</f>
        <v>William Orozco</v>
      </c>
      <c r="B92" s="19" t="str">
        <f>IFERROR(__xludf.DUMMYFUNCTION("""COMPUTED_VALUE"""),"ATL")</f>
        <v>ATL</v>
      </c>
      <c r="C92" s="20">
        <f>IFERROR(__xludf.DUMMYFUNCTION("""COMPUTED_VALUE"""),230.9)</f>
        <v>230.9</v>
      </c>
      <c r="D92" s="21">
        <f>IFERROR(__xludf.DUMMYFUNCTION("""COMPUTED_VALUE"""),0.23227952405406252)</f>
        <v>0.2322795241</v>
      </c>
      <c r="E92" s="21">
        <f>IFERROR(__xludf.DUMMYFUNCTION("""COMPUTED_VALUE"""),-1.176705456541058)</f>
        <v>-1.176705457</v>
      </c>
      <c r="F92" s="21">
        <f>IFERROR(__xludf.DUMMYFUNCTION("""COMPUTED_VALUE"""),-0.9444259324869954)</f>
        <v>-0.9444259325</v>
      </c>
      <c r="G92" s="23">
        <f>IFERROR(__xludf.DUMMYFUNCTION("""COMPUTED_VALUE"""),0.08127370939141525)</f>
        <v>0.08127370939</v>
      </c>
      <c r="H92" s="4"/>
      <c r="I92" s="5" t="s">
        <v>1829</v>
      </c>
      <c r="J92" s="5" t="s">
        <v>1679</v>
      </c>
      <c r="K92" s="5">
        <v>24.0</v>
      </c>
      <c r="L92" s="5">
        <v>-1.159925</v>
      </c>
      <c r="M92" s="5">
        <v>0.014273</v>
      </c>
      <c r="N92" s="5">
        <v>-1.145652</v>
      </c>
      <c r="O92" s="5">
        <v>0.006276</v>
      </c>
    </row>
    <row r="93">
      <c r="A93" s="12" t="str">
        <f>IFERROR(__xludf.DUMMYFUNCTION("""COMPUTED_VALUE"""),"Emilio Parks")</f>
        <v>Emilio Parks</v>
      </c>
      <c r="B93" s="13" t="str">
        <f>IFERROR(__xludf.DUMMYFUNCTION("""COMPUTED_VALUE"""),"LEO")</f>
        <v>LEO</v>
      </c>
      <c r="C93" s="14">
        <f>IFERROR(__xludf.DUMMYFUNCTION("""COMPUTED_VALUE"""),25.1)</f>
        <v>25.1</v>
      </c>
      <c r="D93" s="15">
        <f>IFERROR(__xludf.DUMMYFUNCTION("""COMPUTED_VALUE"""),-0.6875071624516631)</f>
        <v>-0.6875071625</v>
      </c>
      <c r="E93" s="15">
        <f>IFERROR(__xludf.DUMMYFUNCTION("""COMPUTED_VALUE"""),-0.27523311736942035)</f>
        <v>-0.2752331174</v>
      </c>
      <c r="F93" s="15">
        <f>IFERROR(__xludf.DUMMYFUNCTION("""COMPUTED_VALUE"""),-0.9627402798210835)</f>
        <v>-0.9627402798</v>
      </c>
      <c r="G93" s="17">
        <f>IFERROR(__xludf.DUMMYFUNCTION("""COMPUTED_VALUE"""),0.008305917935448801)</f>
        <v>0.008305917935</v>
      </c>
      <c r="H93" s="4"/>
      <c r="I93" s="5" t="s">
        <v>1831</v>
      </c>
      <c r="J93" s="5" t="s">
        <v>1679</v>
      </c>
      <c r="K93" s="5">
        <v>267.0</v>
      </c>
      <c r="L93" s="5">
        <v>-0.131736</v>
      </c>
      <c r="M93" s="5">
        <v>-1.107269</v>
      </c>
      <c r="N93" s="5">
        <v>-1.239006</v>
      </c>
      <c r="O93" s="5">
        <v>0.061198</v>
      </c>
    </row>
    <row r="94">
      <c r="A94" s="18" t="str">
        <f>IFERROR(__xludf.DUMMYFUNCTION("""COMPUTED_VALUE"""),"Damion James")</f>
        <v>Damion James</v>
      </c>
      <c r="B94" s="19" t="str">
        <f>IFERROR(__xludf.DUMMYFUNCTION("""COMPUTED_VALUE"""),"FAJ")</f>
        <v>FAJ</v>
      </c>
      <c r="C94" s="20">
        <f>IFERROR(__xludf.DUMMYFUNCTION("""COMPUTED_VALUE"""),238.9)</f>
        <v>238.9</v>
      </c>
      <c r="D94" s="21">
        <f>IFERROR(__xludf.DUMMYFUNCTION("""COMPUTED_VALUE"""),-3.2564351370205458)</f>
        <v>-3.256435137</v>
      </c>
      <c r="E94" s="21">
        <f>IFERROR(__xludf.DUMMYFUNCTION("""COMPUTED_VALUE"""),2.291936242033555)</f>
        <v>2.291936242</v>
      </c>
      <c r="F94" s="21">
        <f>IFERROR(__xludf.DUMMYFUNCTION("""COMPUTED_VALUE"""),-0.9644988949869906)</f>
        <v>-0.964498895</v>
      </c>
      <c r="G94" s="23">
        <f>IFERROR(__xludf.DUMMYFUNCTION("""COMPUTED_VALUE"""),0.0848402555281237)</f>
        <v>0.08484025553</v>
      </c>
      <c r="H94" s="4"/>
      <c r="I94" s="5" t="s">
        <v>1833</v>
      </c>
      <c r="J94" s="5" t="s">
        <v>1665</v>
      </c>
      <c r="K94" s="5">
        <v>148.0</v>
      </c>
      <c r="L94" s="5">
        <v>-1.699275</v>
      </c>
      <c r="M94" s="5">
        <v>0.281292</v>
      </c>
      <c r="N94" s="5">
        <v>-1.417983</v>
      </c>
      <c r="O94" s="5">
        <v>0.025862</v>
      </c>
    </row>
    <row r="95">
      <c r="A95" s="12" t="str">
        <f>IFERROR(__xludf.DUMMYFUNCTION("""COMPUTED_VALUE"""),"Victor Caratni")</f>
        <v>Victor Caratni</v>
      </c>
      <c r="B95" s="13" t="str">
        <f>IFERROR(__xludf.DUMMYFUNCTION("""COMPUTED_VALUE"""),"VAQ")</f>
        <v>VAQ</v>
      </c>
      <c r="C95" s="14">
        <f>IFERROR(__xludf.DUMMYFUNCTION("""COMPUTED_VALUE"""),201.3)</f>
        <v>201.3</v>
      </c>
      <c r="D95" s="15">
        <f>IFERROR(__xludf.DUMMYFUNCTION("""COMPUTED_VALUE"""),-0.7272960315991907)</f>
        <v>-0.7272960316</v>
      </c>
      <c r="E95" s="15">
        <f>IFERROR(__xludf.DUMMYFUNCTION("""COMPUTED_VALUE"""),-0.24204463746685445)</f>
        <v>-0.2420446375</v>
      </c>
      <c r="F95" s="15">
        <f>IFERROR(__xludf.DUMMYFUNCTION("""COMPUTED_VALUE"""),-0.9693406690660451)</f>
        <v>-0.9693406691</v>
      </c>
      <c r="G95" s="17">
        <f>IFERROR(__xludf.DUMMYFUNCTION("""COMPUTED_VALUE"""),0.06596708120278579)</f>
        <v>0.0659670812</v>
      </c>
      <c r="H95" s="4"/>
      <c r="I95" s="5" t="s">
        <v>1835</v>
      </c>
      <c r="J95" s="5" t="s">
        <v>1662</v>
      </c>
      <c r="K95" s="5">
        <v>58.0</v>
      </c>
      <c r="L95" s="5">
        <v>-1.095846</v>
      </c>
      <c r="M95" s="5">
        <v>-0.376919</v>
      </c>
      <c r="N95" s="5">
        <v>-1.472765</v>
      </c>
      <c r="O95" s="5">
        <v>0.009122</v>
      </c>
    </row>
    <row r="96">
      <c r="A96" s="18" t="str">
        <f>IFERROR(__xludf.DUMMYFUNCTION("""COMPUTED_VALUE"""),"Christian Soto")</f>
        <v>Christian Soto</v>
      </c>
      <c r="B96" s="19" t="str">
        <f>IFERROR(__xludf.DUMMYFUNCTION("""COMPUTED_VALUE"""),"VAQ")</f>
        <v>VAQ</v>
      </c>
      <c r="C96" s="20">
        <f>IFERROR(__xludf.DUMMYFUNCTION("""COMPUTED_VALUE"""),126.1)</f>
        <v>126.1</v>
      </c>
      <c r="D96" s="21">
        <f>IFERROR(__xludf.DUMMYFUNCTION("""COMPUTED_VALUE"""),-1.7877069751503745)</f>
        <v>-1.787706975</v>
      </c>
      <c r="E96" s="21">
        <f>IFERROR(__xludf.DUMMYFUNCTION("""COMPUTED_VALUE"""),0.7532199003132467)</f>
        <v>0.7532199003</v>
      </c>
      <c r="F96" s="21">
        <f>IFERROR(__xludf.DUMMYFUNCTION("""COMPUTED_VALUE"""),-1.0344870748371278)</f>
        <v>-1.034487075</v>
      </c>
      <c r="G96" s="23">
        <f>IFERROR(__xludf.DUMMYFUNCTION("""COMPUTED_VALUE"""),0.038711636651748586)</f>
        <v>0.03871163665</v>
      </c>
      <c r="H96" s="4"/>
      <c r="I96" s="5" t="s">
        <v>1837</v>
      </c>
      <c r="J96" s="5" t="s">
        <v>1665</v>
      </c>
      <c r="K96" s="24">
        <v>203.0</v>
      </c>
      <c r="L96" s="5">
        <v>0.395888</v>
      </c>
      <c r="M96" s="5">
        <v>-1.904165</v>
      </c>
      <c r="N96" s="5">
        <v>-1.508277</v>
      </c>
      <c r="O96" s="5">
        <v>0.03009</v>
      </c>
    </row>
    <row r="97">
      <c r="A97" s="12" t="str">
        <f>IFERROR(__xludf.DUMMYFUNCTION("""COMPUTED_VALUE"""),"Terrence Curry")</f>
        <v>Terrence Curry</v>
      </c>
      <c r="B97" s="13" t="str">
        <f>IFERROR(__xludf.DUMMYFUNCTION("""COMPUTED_VALUE"""),"LEO")</f>
        <v>LEO</v>
      </c>
      <c r="C97" s="14">
        <f>IFERROR(__xludf.DUMMYFUNCTION("""COMPUTED_VALUE"""),63.8)</f>
        <v>63.8</v>
      </c>
      <c r="D97" s="15">
        <f>IFERROR(__xludf.DUMMYFUNCTION("""COMPUTED_VALUE"""),-0.4998695293020859)</f>
        <v>-0.4998695293</v>
      </c>
      <c r="E97" s="15">
        <f>IFERROR(__xludf.DUMMYFUNCTION("""COMPUTED_VALUE"""),-0.5427139208894516)</f>
        <v>-0.5427139209</v>
      </c>
      <c r="F97" s="15">
        <f>IFERROR(__xludf.DUMMYFUNCTION("""COMPUTED_VALUE"""),-1.0425834501915374)</f>
        <v>-1.04258345</v>
      </c>
      <c r="G97" s="17">
        <f>IFERROR(__xludf.DUMMYFUNCTION("""COMPUTED_VALUE"""),0.01948713573469663)</f>
        <v>0.01948713573</v>
      </c>
      <c r="H97" s="4"/>
      <c r="I97" s="5" t="s">
        <v>1838</v>
      </c>
      <c r="J97" s="5" t="s">
        <v>1674</v>
      </c>
      <c r="K97" s="5">
        <v>179.0</v>
      </c>
      <c r="L97" s="5">
        <v>-2.841392</v>
      </c>
      <c r="M97" s="5">
        <v>1.268231</v>
      </c>
      <c r="N97" s="5">
        <v>-1.573161</v>
      </c>
      <c r="O97" s="5">
        <v>0.02322</v>
      </c>
    </row>
    <row r="98">
      <c r="A98" s="18" t="str">
        <f>IFERROR(__xludf.DUMMYFUNCTION("""COMPUTED_VALUE"""),"Onzie Branch")</f>
        <v>Onzie Branch</v>
      </c>
      <c r="B98" s="19" t="str">
        <f>IFERROR(__xludf.DUMMYFUNCTION("""COMPUTED_VALUE"""),"ATL")</f>
        <v>ATL</v>
      </c>
      <c r="C98" s="20">
        <f>IFERROR(__xludf.DUMMYFUNCTION("""COMPUTED_VALUE"""),144.6)</f>
        <v>144.6</v>
      </c>
      <c r="D98" s="21">
        <f>IFERROR(__xludf.DUMMYFUNCTION("""COMPUTED_VALUE"""),-1.0807894062227665)</f>
        <v>-1.080789406</v>
      </c>
      <c r="E98" s="21">
        <f>IFERROR(__xludf.DUMMYFUNCTION("""COMPUTED_VALUE"""),-0.01424543045629334)</f>
        <v>-0.01424543046</v>
      </c>
      <c r="F98" s="21">
        <f>IFERROR(__xludf.DUMMYFUNCTION("""COMPUTED_VALUE"""),-1.0950348366790599)</f>
        <v>-1.095034837</v>
      </c>
      <c r="G98" s="23">
        <f>IFERROR(__xludf.DUMMYFUNCTION("""COMPUTED_VALUE"""),0.04363526228789182)</f>
        <v>0.04363526229</v>
      </c>
      <c r="H98" s="4"/>
      <c r="I98" s="5" t="s">
        <v>1840</v>
      </c>
      <c r="J98" s="5" t="s">
        <v>1679</v>
      </c>
      <c r="K98" s="24">
        <v>73.0</v>
      </c>
      <c r="L98" s="5">
        <v>-1.52984</v>
      </c>
      <c r="M98" s="5">
        <v>-0.505942</v>
      </c>
      <c r="N98" s="5">
        <v>-2.035782</v>
      </c>
      <c r="O98" s="5">
        <v>-7.82E-4</v>
      </c>
    </row>
    <row r="99">
      <c r="A99" s="12" t="str">
        <f>IFERROR(__xludf.DUMMYFUNCTION("""COMPUTED_VALUE"""),"Max Amaro")</f>
        <v>Max Amaro</v>
      </c>
      <c r="B99" s="13" t="str">
        <f>IFERROR(__xludf.DUMMYFUNCTION("""COMPUTED_VALUE"""),"FAJ")</f>
        <v>FAJ</v>
      </c>
      <c r="C99" s="14">
        <f>IFERROR(__xludf.DUMMYFUNCTION("""COMPUTED_VALUE"""),53.5)</f>
        <v>53.5</v>
      </c>
      <c r="D99" s="15">
        <f>IFERROR(__xludf.DUMMYFUNCTION("""COMPUTED_VALUE"""),-0.4782546332782911)</f>
        <v>-0.4782546333</v>
      </c>
      <c r="E99" s="15">
        <f>IFERROR(__xludf.DUMMYFUNCTION("""COMPUTED_VALUE"""),-0.6545078005833067)</f>
        <v>-0.6545078006</v>
      </c>
      <c r="F99" s="15">
        <f>IFERROR(__xludf.DUMMYFUNCTION("""COMPUTED_VALUE"""),-1.1327624338615978)</f>
        <v>-1.132762434</v>
      </c>
      <c r="G99" s="17">
        <f>IFERROR(__xludf.DUMMYFUNCTION("""COMPUTED_VALUE"""),0.015912085929198263)</f>
        <v>0.01591208593</v>
      </c>
      <c r="H99" s="4"/>
      <c r="I99" s="5" t="s">
        <v>1841</v>
      </c>
      <c r="J99" s="5" t="s">
        <v>1667</v>
      </c>
      <c r="K99" s="5">
        <v>193.0</v>
      </c>
      <c r="L99" s="5">
        <v>-2.407203</v>
      </c>
      <c r="M99" s="5">
        <v>0.27319</v>
      </c>
      <c r="N99" s="5">
        <v>-2.134013</v>
      </c>
      <c r="O99" s="5">
        <v>-0.00793</v>
      </c>
    </row>
    <row r="100">
      <c r="A100" s="18" t="str">
        <f>IFERROR(__xludf.DUMMYFUNCTION("""COMPUTED_VALUE"""),"Gilberto Clavell")</f>
        <v>Gilberto Clavell</v>
      </c>
      <c r="B100" s="19" t="str">
        <f>IFERROR(__xludf.DUMMYFUNCTION("""COMPUTED_VALUE"""),"AGU")</f>
        <v>AGU</v>
      </c>
      <c r="C100" s="20">
        <f>IFERROR(__xludf.DUMMYFUNCTION("""COMPUTED_VALUE"""),965.8)</f>
        <v>965.8</v>
      </c>
      <c r="D100" s="21">
        <f>IFERROR(__xludf.DUMMYFUNCTION("""COMPUTED_VALUE"""),0.42801774065611414)</f>
        <v>0.4280177407</v>
      </c>
      <c r="E100" s="21">
        <f>IFERROR(__xludf.DUMMYFUNCTION("""COMPUTED_VALUE"""),-1.5608258224628757)</f>
        <v>-1.560825822</v>
      </c>
      <c r="F100" s="21">
        <f>IFERROR(__xludf.DUMMYFUNCTION("""COMPUTED_VALUE"""),-1.1328080818067616)</f>
        <v>-1.132808082</v>
      </c>
      <c r="G100" s="23">
        <f>IFERROR(__xludf.DUMMYFUNCTION("""COMPUTED_VALUE"""),0.2577040092031523)</f>
        <v>0.2577040092</v>
      </c>
      <c r="H100" s="4"/>
      <c r="I100" s="5" t="s">
        <v>1842</v>
      </c>
      <c r="J100" s="5" t="s">
        <v>1674</v>
      </c>
      <c r="K100" s="5">
        <v>163.0</v>
      </c>
      <c r="L100" s="5">
        <v>-1.392263</v>
      </c>
      <c r="M100" s="5">
        <v>-0.784713</v>
      </c>
      <c r="N100" s="5">
        <v>-2.176976</v>
      </c>
      <c r="O100" s="5">
        <v>-0.008771</v>
      </c>
    </row>
    <row r="101">
      <c r="A101" s="12" t="str">
        <f>IFERROR(__xludf.DUMMYFUNCTION("""COMPUTED_VALUE"""),"Ike Diogu")</f>
        <v>Ike Diogu</v>
      </c>
      <c r="B101" s="13" t="str">
        <f>IFERROR(__xludf.DUMMYFUNCTION("""COMPUTED_VALUE"""),"VAQ")</f>
        <v>VAQ</v>
      </c>
      <c r="C101" s="14">
        <f>IFERROR(__xludf.DUMMYFUNCTION("""COMPUTED_VALUE"""),581.1)</f>
        <v>581.1</v>
      </c>
      <c r="D101" s="15">
        <f>IFERROR(__xludf.DUMMYFUNCTION("""COMPUTED_VALUE"""),-1.2954128567081278)</f>
        <v>-1.295412857</v>
      </c>
      <c r="E101" s="15">
        <f>IFERROR(__xludf.DUMMYFUNCTION("""COMPUTED_VALUE"""),-0.004591536261207452)</f>
        <v>-0.004591536261</v>
      </c>
      <c r="F101" s="15">
        <f>IFERROR(__xludf.DUMMYFUNCTION("""COMPUTED_VALUE"""),-1.3000043929693352)</f>
        <v>-1.300004393</v>
      </c>
      <c r="G101" s="17">
        <f>IFERROR(__xludf.DUMMYFUNCTION("""COMPUTED_VALUE"""),0.12933454638584815)</f>
        <v>0.1293345464</v>
      </c>
      <c r="H101" s="4"/>
      <c r="I101" s="5" t="s">
        <v>1638</v>
      </c>
      <c r="J101" s="5" t="s">
        <v>1662</v>
      </c>
      <c r="K101" s="5">
        <v>276.0</v>
      </c>
      <c r="L101" s="5">
        <v>-1.949636</v>
      </c>
      <c r="M101" s="5">
        <v>-0.367589</v>
      </c>
      <c r="N101" s="5">
        <v>-2.317225</v>
      </c>
      <c r="O101" s="5">
        <v>-0.026382</v>
      </c>
    </row>
    <row r="102">
      <c r="A102" s="18" t="str">
        <f>IFERROR(__xludf.DUMMYFUNCTION("""COMPUTED_VALUE"""),"Isaac Sosa")</f>
        <v>Isaac Sosa</v>
      </c>
      <c r="B102" s="19" t="str">
        <f>IFERROR(__xludf.DUMMYFUNCTION("""COMPUTED_VALUE"""),"ATL")</f>
        <v>ATL</v>
      </c>
      <c r="C102" s="20">
        <f>IFERROR(__xludf.DUMMYFUNCTION("""COMPUTED_VALUE"""),582.6)</f>
        <v>582.6</v>
      </c>
      <c r="D102" s="21">
        <f>IFERROR(__xludf.DUMMYFUNCTION("""COMPUTED_VALUE"""),1.764343910822579)</f>
        <v>1.764343911</v>
      </c>
      <c r="E102" s="21">
        <f>IFERROR(__xludf.DUMMYFUNCTION("""COMPUTED_VALUE"""),-3.070287839954032)</f>
        <v>-3.07028784</v>
      </c>
      <c r="F102" s="21">
        <f>IFERROR(__xludf.DUMMYFUNCTION("""COMPUTED_VALUE"""),-1.3059439291314534)</f>
        <v>-1.305943929</v>
      </c>
      <c r="G102" s="23">
        <f>IFERROR(__xludf.DUMMYFUNCTION("""COMPUTED_VALUE"""),0.13483494866391693)</f>
        <v>0.1348349487</v>
      </c>
      <c r="H102" s="4"/>
      <c r="I102" s="5" t="s">
        <v>1846</v>
      </c>
      <c r="J102" s="5" t="s">
        <v>1667</v>
      </c>
      <c r="K102" s="5">
        <v>227.0</v>
      </c>
      <c r="L102" s="5">
        <v>-1.350016</v>
      </c>
      <c r="M102" s="5">
        <v>-1.223087</v>
      </c>
      <c r="N102" s="5">
        <v>-2.573103</v>
      </c>
      <c r="O102" s="5">
        <v>-0.039982</v>
      </c>
    </row>
    <row r="103">
      <c r="A103" s="12" t="str">
        <f>IFERROR(__xludf.DUMMYFUNCTION("""COMPUTED_VALUE"""),"Juan Pablo Pineiro")</f>
        <v>Juan Pablo Pineiro</v>
      </c>
      <c r="B103" s="13" t="str">
        <f>IFERROR(__xludf.DUMMYFUNCTION("""COMPUTED_VALUE"""),"CAC")</f>
        <v>CAC</v>
      </c>
      <c r="C103" s="14">
        <f>IFERROR(__xludf.DUMMYFUNCTION("""COMPUTED_VALUE"""),407.1)</f>
        <v>407.1</v>
      </c>
      <c r="D103" s="15">
        <f>IFERROR(__xludf.DUMMYFUNCTION("""COMPUTED_VALUE"""),-0.5750620022462565)</f>
        <v>-0.5750620022</v>
      </c>
      <c r="E103" s="15">
        <f>IFERROR(__xludf.DUMMYFUNCTION("""COMPUTED_VALUE"""),-0.7921705930574474)</f>
        <v>-0.7921705931</v>
      </c>
      <c r="F103" s="15">
        <f>IFERROR(__xludf.DUMMYFUNCTION("""COMPUTED_VALUE"""),-1.367232595303704)</f>
        <v>-1.367232595</v>
      </c>
      <c r="G103" s="17">
        <f>IFERROR(__xludf.DUMMYFUNCTION("""COMPUTED_VALUE"""),0.08448739673860138)</f>
        <v>0.08448739674</v>
      </c>
      <c r="H103" s="4"/>
      <c r="I103" s="5" t="s">
        <v>1847</v>
      </c>
      <c r="J103" s="5" t="s">
        <v>1674</v>
      </c>
      <c r="K103" s="5">
        <v>112.0</v>
      </c>
      <c r="L103" s="5">
        <v>-1.920862</v>
      </c>
      <c r="M103" s="5">
        <v>-0.706052</v>
      </c>
      <c r="N103" s="5">
        <v>-2.626913</v>
      </c>
      <c r="O103" s="5">
        <v>-0.021317</v>
      </c>
    </row>
    <row r="104">
      <c r="A104" s="18" t="str">
        <f>IFERROR(__xludf.DUMMYFUNCTION("""COMPUTED_VALUE"""),"Angel Rodriguez")</f>
        <v>Angel Rodriguez</v>
      </c>
      <c r="B104" s="19" t="str">
        <f>IFERROR(__xludf.DUMMYFUNCTION("""COMPUTED_VALUE"""),"VAQ")</f>
        <v>VAQ</v>
      </c>
      <c r="C104" s="20">
        <f>IFERROR(__xludf.DUMMYFUNCTION("""COMPUTED_VALUE"""),154.14999999999998)</f>
        <v>154.15</v>
      </c>
      <c r="D104" s="21">
        <f>IFERROR(__xludf.DUMMYFUNCTION("""COMPUTED_VALUE"""),-2.7584977223976344)</f>
        <v>-2.758497722</v>
      </c>
      <c r="E104" s="21">
        <f>IFERROR(__xludf.DUMMYFUNCTION("""COMPUTED_VALUE"""),1.3869713327935156)</f>
        <v>1.386971333</v>
      </c>
      <c r="F104" s="21">
        <f>IFERROR(__xludf.DUMMYFUNCTION("""COMPUTED_VALUE"""),-1.3715263896041188)</f>
        <v>-1.37152639</v>
      </c>
      <c r="G104" s="23">
        <f>IFERROR(__xludf.DUMMYFUNCTION("""COMPUTED_VALUE"""),0.030803419452350652)</f>
        <v>0.03080341945</v>
      </c>
      <c r="H104" s="4"/>
      <c r="I104" s="5" t="s">
        <v>1849</v>
      </c>
      <c r="J104" s="5" t="s">
        <v>1670</v>
      </c>
      <c r="K104" s="5">
        <v>204.0</v>
      </c>
      <c r="L104" s="5">
        <v>-1.307768</v>
      </c>
      <c r="M104" s="5">
        <v>-1.566265</v>
      </c>
      <c r="N104" s="5">
        <v>-2.874033</v>
      </c>
      <c r="O104" s="5">
        <v>-0.05767</v>
      </c>
    </row>
    <row r="105">
      <c r="A105" s="12" t="str">
        <f>IFERROR(__xludf.DUMMYFUNCTION("""COMPUTED_VALUE"""),"Gabriel Ruiz")</f>
        <v>Gabriel Ruiz</v>
      </c>
      <c r="B105" s="13" t="str">
        <f>IFERROR(__xludf.DUMMYFUNCTION("""COMPUTED_VALUE"""),"ATL")</f>
        <v>ATL</v>
      </c>
      <c r="C105" s="14">
        <f>IFERROR(__xludf.DUMMYFUNCTION("""COMPUTED_VALUE"""),94.5)</f>
        <v>94.5</v>
      </c>
      <c r="D105" s="15">
        <f>IFERROR(__xludf.DUMMYFUNCTION("""COMPUTED_VALUE"""),-1.1939422418863384)</f>
        <v>-1.193942242</v>
      </c>
      <c r="E105" s="15">
        <f>IFERROR(__xludf.DUMMYFUNCTION("""COMPUTED_VALUE"""),-0.19530555548080875)</f>
        <v>-0.1953055555</v>
      </c>
      <c r="F105" s="15">
        <f>IFERROR(__xludf.DUMMYFUNCTION("""COMPUTED_VALUE"""),-1.389247797367147)</f>
        <v>-1.389247797</v>
      </c>
      <c r="G105" s="17">
        <f>IFERROR(__xludf.DUMMYFUNCTION("""COMPUTED_VALUE"""),0.019245725487979808)</f>
        <v>0.01924572549</v>
      </c>
      <c r="H105" s="4"/>
      <c r="I105" s="5" t="s">
        <v>1851</v>
      </c>
      <c r="J105" s="5" t="s">
        <v>1667</v>
      </c>
      <c r="K105" s="5">
        <v>100.0</v>
      </c>
      <c r="L105" s="5">
        <v>-2.82083</v>
      </c>
      <c r="M105" s="5">
        <v>-0.276191</v>
      </c>
      <c r="N105" s="5">
        <v>-3.097021</v>
      </c>
      <c r="O105" s="5">
        <v>-0.033517</v>
      </c>
    </row>
    <row r="106">
      <c r="A106" s="18" t="str">
        <f>IFERROR(__xludf.DUMMYFUNCTION("""COMPUTED_VALUE"""),"Christian Lopez")</f>
        <v>Christian Lopez</v>
      </c>
      <c r="B106" s="19" t="str">
        <f>IFERROR(__xludf.DUMMYFUNCTION("""COMPUTED_VALUE"""),"CAC")</f>
        <v>CAC</v>
      </c>
      <c r="C106" s="20">
        <f>IFERROR(__xludf.DUMMYFUNCTION("""COMPUTED_VALUE"""),32.8)</f>
        <v>32.8</v>
      </c>
      <c r="D106" s="21">
        <f>IFERROR(__xludf.DUMMYFUNCTION("""COMPUTED_VALUE"""),-0.7870027235797543)</f>
        <v>-0.7870027236</v>
      </c>
      <c r="E106" s="21">
        <f>IFERROR(__xludf.DUMMYFUNCTION("""COMPUTED_VALUE"""),-0.706541869736184)</f>
        <v>-0.7065418697</v>
      </c>
      <c r="F106" s="21">
        <f>IFERROR(__xludf.DUMMYFUNCTION("""COMPUTED_VALUE"""),-1.4935445933159384)</f>
        <v>-1.493544593</v>
      </c>
      <c r="G106" s="23">
        <f>IFERROR(__xludf.DUMMYFUNCTION("""COMPUTED_VALUE"""),0.005448309648588711)</f>
        <v>0.005448309649</v>
      </c>
      <c r="H106" s="4"/>
      <c r="I106" s="5" t="s">
        <v>1853</v>
      </c>
      <c r="J106" s="5" t="s">
        <v>1662</v>
      </c>
      <c r="K106" s="5">
        <v>117.0</v>
      </c>
      <c r="L106" s="5">
        <v>-2.759752</v>
      </c>
      <c r="M106" s="5">
        <v>-0.437765</v>
      </c>
      <c r="N106" s="5">
        <v>-3.197517</v>
      </c>
      <c r="O106" s="5">
        <v>-0.042084</v>
      </c>
    </row>
    <row r="107">
      <c r="A107" s="12" t="str">
        <f>IFERROR(__xludf.DUMMYFUNCTION("""COMPUTED_VALUE"""),"Corey Fisher")</f>
        <v>Corey Fisher</v>
      </c>
      <c r="B107" s="13" t="str">
        <f>IFERROR(__xludf.DUMMYFUNCTION("""COMPUTED_VALUE"""),"AGU")</f>
        <v>AGU</v>
      </c>
      <c r="C107" s="14">
        <f>IFERROR(__xludf.DUMMYFUNCTION("""COMPUTED_VALUE"""),216.75)</f>
        <v>216.75</v>
      </c>
      <c r="D107" s="15">
        <f>IFERROR(__xludf.DUMMYFUNCTION("""COMPUTED_VALUE"""),-0.3370523863849943)</f>
        <v>-0.3370523864</v>
      </c>
      <c r="E107" s="15">
        <f>IFERROR(__xludf.DUMMYFUNCTION("""COMPUTED_VALUE"""),-1.214016589088829)</f>
        <v>-1.214016589</v>
      </c>
      <c r="F107" s="15">
        <f>IFERROR(__xludf.DUMMYFUNCTION("""COMPUTED_VALUE"""),-1.5510689754738234)</f>
        <v>-1.551068975</v>
      </c>
      <c r="G107" s="17">
        <f>IFERROR(__xludf.DUMMYFUNCTION("""COMPUTED_VALUE"""),0.02994039170523404)</f>
        <v>0.02994039171</v>
      </c>
      <c r="H107" s="4"/>
      <c r="I107" s="5" t="s">
        <v>1855</v>
      </c>
      <c r="J107" s="5" t="s">
        <v>1665</v>
      </c>
      <c r="K107" s="5">
        <v>210.0</v>
      </c>
      <c r="L107" s="5">
        <v>-2.172871</v>
      </c>
      <c r="M107" s="5">
        <v>-1.080791</v>
      </c>
      <c r="N107" s="5">
        <v>-3.253662</v>
      </c>
      <c r="O107" s="5">
        <v>-0.079167</v>
      </c>
    </row>
    <row r="108">
      <c r="A108" s="18" t="str">
        <f>IFERROR(__xludf.DUMMYFUNCTION("""COMPUTED_VALUE"""),"Esteban Cordero")</f>
        <v>Esteban Cordero</v>
      </c>
      <c r="B108" s="19" t="str">
        <f>IFERROR(__xludf.DUMMYFUNCTION("""COMPUTED_VALUE"""),"ATL")</f>
        <v>ATL</v>
      </c>
      <c r="C108" s="20">
        <f>IFERROR(__xludf.DUMMYFUNCTION("""COMPUTED_VALUE"""),123.2)</f>
        <v>123.2</v>
      </c>
      <c r="D108" s="21">
        <f>IFERROR(__xludf.DUMMYFUNCTION("""COMPUTED_VALUE"""),-1.3206395001501046)</f>
        <v>-1.3206395</v>
      </c>
      <c r="E108" s="21">
        <f>IFERROR(__xludf.DUMMYFUNCTION("""COMPUTED_VALUE"""),-0.29719605946122685)</f>
        <v>-0.2971960595</v>
      </c>
      <c r="F108" s="21">
        <f>IFERROR(__xludf.DUMMYFUNCTION("""COMPUTED_VALUE"""),-1.6178355596113314)</f>
        <v>-1.61783556</v>
      </c>
      <c r="G108" s="23">
        <f>IFERROR(__xludf.DUMMYFUNCTION("""COMPUTED_VALUE"""),0.015699955402334976)</f>
        <v>0.0156999554</v>
      </c>
      <c r="H108" s="4"/>
      <c r="I108" s="5" t="s">
        <v>1857</v>
      </c>
      <c r="J108" s="5" t="s">
        <v>1659</v>
      </c>
      <c r="K108" s="5">
        <v>256.0</v>
      </c>
      <c r="L108" s="5">
        <v>-1.692193</v>
      </c>
      <c r="M108" s="5">
        <v>-1.584443</v>
      </c>
      <c r="N108" s="5">
        <v>-3.276636</v>
      </c>
      <c r="O108" s="5">
        <v>-0.099761</v>
      </c>
    </row>
    <row r="109">
      <c r="A109" s="12" t="str">
        <f>IFERROR(__xludf.DUMMYFUNCTION("""COMPUTED_VALUE"""),"Ali Berdiel")</f>
        <v>Ali Berdiel</v>
      </c>
      <c r="B109" s="13" t="str">
        <f>IFERROR(__xludf.DUMMYFUNCTION("""COMPUTED_VALUE"""),"FAJ")</f>
        <v>FAJ</v>
      </c>
      <c r="C109" s="14">
        <f>IFERROR(__xludf.DUMMYFUNCTION("""COMPUTED_VALUE"""),697.1)</f>
        <v>697.1</v>
      </c>
      <c r="D109" s="15">
        <f>IFERROR(__xludf.DUMMYFUNCTION("""COMPUTED_VALUE"""),-1.5239038951282895)</f>
        <v>-1.523903895</v>
      </c>
      <c r="E109" s="15">
        <f>IFERROR(__xludf.DUMMYFUNCTION("""COMPUTED_VALUE"""),-0.11645358010624429)</f>
        <v>-0.1164535801</v>
      </c>
      <c r="F109" s="15">
        <f>IFERROR(__xludf.DUMMYFUNCTION("""COMPUTED_VALUE"""),-1.6403574752345338)</f>
        <v>-1.640357475</v>
      </c>
      <c r="G109" s="17">
        <f>IFERROR(__xludf.DUMMYFUNCTION("""COMPUTED_VALUE"""),0.08598077829892538)</f>
        <v>0.0859807783</v>
      </c>
      <c r="H109" s="4"/>
      <c r="I109" s="5" t="s">
        <v>1859</v>
      </c>
      <c r="J109" s="5" t="s">
        <v>1659</v>
      </c>
      <c r="K109" s="5">
        <v>139.0</v>
      </c>
      <c r="L109" s="5">
        <v>-3.070708</v>
      </c>
      <c r="M109" s="5">
        <v>-0.540469</v>
      </c>
      <c r="N109" s="5">
        <v>-3.611176</v>
      </c>
      <c r="O109" s="5">
        <v>-0.068259</v>
      </c>
    </row>
    <row r="110">
      <c r="A110" s="18" t="str">
        <f>IFERROR(__xludf.DUMMYFUNCTION("""COMPUTED_VALUE"""),"Derek Reese")</f>
        <v>Derek Reese</v>
      </c>
      <c r="B110" s="19" t="str">
        <f>IFERROR(__xludf.DUMMYFUNCTION("""COMPUTED_VALUE"""),"LEO")</f>
        <v>LEO</v>
      </c>
      <c r="C110" s="20">
        <f>IFERROR(__xludf.DUMMYFUNCTION("""COMPUTED_VALUE"""),240.5)</f>
        <v>240.5</v>
      </c>
      <c r="D110" s="21">
        <f>IFERROR(__xludf.DUMMYFUNCTION("""COMPUTED_VALUE"""),-2.7292240295827046)</f>
        <v>-2.72922403</v>
      </c>
      <c r="E110" s="21">
        <f>IFERROR(__xludf.DUMMYFUNCTION("""COMPUTED_VALUE"""),1.030056436832779)</f>
        <v>1.030056437</v>
      </c>
      <c r="F110" s="21">
        <f>IFERROR(__xludf.DUMMYFUNCTION("""COMPUTED_VALUE"""),-1.6991675927499257)</f>
        <v>-1.699167593</v>
      </c>
      <c r="G110" s="23">
        <f>IFERROR(__xludf.DUMMYFUNCTION("""COMPUTED_VALUE"""),0.02308161010868903)</f>
        <v>0.02308161011</v>
      </c>
      <c r="H110" s="4"/>
      <c r="I110" s="5" t="s">
        <v>1861</v>
      </c>
      <c r="J110" s="5" t="s">
        <v>1667</v>
      </c>
      <c r="K110" s="5">
        <v>217.0</v>
      </c>
      <c r="L110" s="5">
        <v>-1.378005</v>
      </c>
      <c r="M110" s="5">
        <v>-2.45218</v>
      </c>
      <c r="N110" s="5">
        <v>-3.830186</v>
      </c>
      <c r="O110" s="5">
        <v>-0.12195</v>
      </c>
    </row>
    <row r="111">
      <c r="A111" s="12" t="str">
        <f>IFERROR(__xludf.DUMMYFUNCTION("""COMPUTED_VALUE"""),"Angel Garcia")</f>
        <v>Angel Garcia</v>
      </c>
      <c r="B111" s="13" t="str">
        <f>IFERROR(__xludf.DUMMYFUNCTION("""COMPUTED_VALUE"""),"CAP")</f>
        <v>CAP</v>
      </c>
      <c r="C111" s="14">
        <f>IFERROR(__xludf.DUMMYFUNCTION("""COMPUTED_VALUE"""),111.1)</f>
        <v>111.1</v>
      </c>
      <c r="D111" s="15">
        <f>IFERROR(__xludf.DUMMYFUNCTION("""COMPUTED_VALUE"""),-2.1653996439143284)</f>
        <v>-2.165399644</v>
      </c>
      <c r="E111" s="15">
        <f>IFERROR(__xludf.DUMMYFUNCTION("""COMPUTED_VALUE"""),0.4536142485045136)</f>
        <v>0.4536142485</v>
      </c>
      <c r="F111" s="15">
        <f>IFERROR(__xludf.DUMMYFUNCTION("""COMPUTED_VALUE"""),-1.7117853954098148)</f>
        <v>-1.711785395</v>
      </c>
      <c r="G111" s="17">
        <f>IFERROR(__xludf.DUMMYFUNCTION("""COMPUTED_VALUE"""),0.009830185409564676)</f>
        <v>0.00983018541</v>
      </c>
      <c r="H111" s="4"/>
      <c r="I111" s="5" t="s">
        <v>1863</v>
      </c>
      <c r="J111" s="5" t="s">
        <v>1662</v>
      </c>
      <c r="K111" s="5">
        <v>272.0</v>
      </c>
      <c r="L111" s="5">
        <v>-2.737534</v>
      </c>
      <c r="M111" s="5">
        <v>-1.486292</v>
      </c>
      <c r="N111" s="5">
        <v>-4.223826</v>
      </c>
      <c r="O111" s="5">
        <v>-0.181664</v>
      </c>
    </row>
    <row r="112">
      <c r="A112" s="18" t="str">
        <f>IFERROR(__xludf.DUMMYFUNCTION("""COMPUTED_VALUE"""),"Ernesto Rodriguez Mendez")</f>
        <v>Ernesto Rodriguez Mendez</v>
      </c>
      <c r="B112" s="19" t="str">
        <f>IFERROR(__xludf.DUMMYFUNCTION("""COMPUTED_VALUE"""),"PIR")</f>
        <v>PIR</v>
      </c>
      <c r="C112" s="20">
        <f>IFERROR(__xludf.DUMMYFUNCTION("""COMPUTED_VALUE"""),106.3)</f>
        <v>106.3</v>
      </c>
      <c r="D112" s="21">
        <f>IFERROR(__xludf.DUMMYFUNCTION("""COMPUTED_VALUE"""),-1.6674901417446966)</f>
        <v>-1.667490142</v>
      </c>
      <c r="E112" s="21">
        <f>IFERROR(__xludf.DUMMYFUNCTION("""COMPUTED_VALUE"""),-0.05994357240811676)</f>
        <v>-0.05994357241</v>
      </c>
      <c r="F112" s="21">
        <f>IFERROR(__xludf.DUMMYFUNCTION("""COMPUTED_VALUE"""),-1.7274337141528133)</f>
        <v>-1.727433714</v>
      </c>
      <c r="G112" s="23">
        <f>IFERROR(__xludf.DUMMYFUNCTION("""COMPUTED_VALUE"""),0.00929829428027574)</f>
        <v>0.00929829428</v>
      </c>
      <c r="H112" s="4"/>
      <c r="I112" s="5" t="s">
        <v>1865</v>
      </c>
      <c r="J112" s="5" t="s">
        <v>1694</v>
      </c>
      <c r="K112" s="5">
        <v>206.0</v>
      </c>
      <c r="L112" s="5">
        <v>-3.12635</v>
      </c>
      <c r="M112" s="5">
        <v>-1.880166</v>
      </c>
      <c r="N112" s="5">
        <v>-5.006515</v>
      </c>
      <c r="O112" s="5">
        <v>-0.183174</v>
      </c>
    </row>
    <row r="113">
      <c r="A113" s="12" t="str">
        <f>IFERROR(__xludf.DUMMYFUNCTION("""COMPUTED_VALUE"""),"Jose Ruben Arroyo Felix")</f>
        <v>Jose Ruben Arroyo Felix</v>
      </c>
      <c r="B113" s="13" t="str">
        <f>IFERROR(__xludf.DUMMYFUNCTION("""COMPUTED_VALUE"""),"LEO")</f>
        <v>LEO</v>
      </c>
      <c r="C113" s="14">
        <f>IFERROR(__xludf.DUMMYFUNCTION("""COMPUTED_VALUE"""),33.5)</f>
        <v>33.5</v>
      </c>
      <c r="D113" s="15">
        <f>IFERROR(__xludf.DUMMYFUNCTION("""COMPUTED_VALUE"""),-1.4115505829692878)</f>
        <v>-1.411550583</v>
      </c>
      <c r="E113" s="15">
        <f>IFERROR(__xludf.DUMMYFUNCTION("""COMPUTED_VALUE"""),-0.3170200710308968)</f>
        <v>-0.317020071</v>
      </c>
      <c r="F113" s="15">
        <f>IFERROR(__xludf.DUMMYFUNCTION("""COMPUTED_VALUE"""),-1.7285706540001846)</f>
        <v>-1.728570654</v>
      </c>
      <c r="G113" s="17">
        <f>IFERROR(__xludf.DUMMYFUNCTION("""COMPUTED_VALUE"""),0.002900868274571523)</f>
        <v>0.002900868275</v>
      </c>
      <c r="H113" s="4"/>
      <c r="I113" s="5"/>
      <c r="J113" s="5"/>
      <c r="K113" s="5"/>
      <c r="L113" s="5"/>
      <c r="M113" s="5"/>
      <c r="N113" s="5"/>
      <c r="O113" s="5"/>
    </row>
    <row r="114">
      <c r="A114" s="18" t="str">
        <f>IFERROR(__xludf.DUMMYFUNCTION("""COMPUTED_VALUE"""),"Guillermo Diaz")</f>
        <v>Guillermo Diaz</v>
      </c>
      <c r="B114" s="19" t="str">
        <f>IFERROR(__xludf.DUMMYFUNCTION("""COMPUTED_VALUE"""),"CAP")</f>
        <v>CAP</v>
      </c>
      <c r="C114" s="20">
        <f>IFERROR(__xludf.DUMMYFUNCTION("""COMPUTED_VALUE"""),785.7)</f>
        <v>785.7</v>
      </c>
      <c r="D114" s="21">
        <f>IFERROR(__xludf.DUMMYFUNCTION("""COMPUTED_VALUE"""),-1.5963208229067865)</f>
        <v>-1.596320823</v>
      </c>
      <c r="E114" s="21">
        <f>IFERROR(__xludf.DUMMYFUNCTION("""COMPUTED_VALUE"""),-0.18253186596748772)</f>
        <v>-0.182531866</v>
      </c>
      <c r="F114" s="21">
        <f>IFERROR(__xludf.DUMMYFUNCTION("""COMPUTED_VALUE"""),-1.7788526888742742)</f>
        <v>-1.778852689</v>
      </c>
      <c r="G114" s="23">
        <f>IFERROR(__xludf.DUMMYFUNCTION("""COMPUTED_VALUE"""),0.05334209675847942)</f>
        <v>0.05334209676</v>
      </c>
      <c r="H114" s="4"/>
      <c r="I114" s="5"/>
      <c r="J114" s="5"/>
      <c r="K114" s="5"/>
      <c r="L114" s="5"/>
      <c r="M114" s="5"/>
      <c r="N114" s="5"/>
      <c r="O114" s="5"/>
    </row>
    <row r="115">
      <c r="A115" s="12" t="str">
        <f>IFERROR(__xludf.DUMMYFUNCTION("""COMPUTED_VALUE"""),"Gabriel Colon")</f>
        <v>Gabriel Colon</v>
      </c>
      <c r="B115" s="13" t="str">
        <f>IFERROR(__xludf.DUMMYFUNCTION("""COMPUTED_VALUE"""),"LEO")</f>
        <v>LEO</v>
      </c>
      <c r="C115" s="14">
        <f>IFERROR(__xludf.DUMMYFUNCTION("""COMPUTED_VALUE"""),391.2)</f>
        <v>391.2</v>
      </c>
      <c r="D115" s="15">
        <f>IFERROR(__xludf.DUMMYFUNCTION("""COMPUTED_VALUE"""),-2.9004432711016)</f>
        <v>-2.900443271</v>
      </c>
      <c r="E115" s="15">
        <f>IFERROR(__xludf.DUMMYFUNCTION("""COMPUTED_VALUE"""),1.1037272685738875)</f>
        <v>1.103727269</v>
      </c>
      <c r="F115" s="15">
        <f>IFERROR(__xludf.DUMMYFUNCTION("""COMPUTED_VALUE"""),-1.7967160025277125)</f>
        <v>-1.796716003</v>
      </c>
      <c r="G115" s="17">
        <f>IFERROR(__xludf.DUMMYFUNCTION("""COMPUTED_VALUE"""),0.025370465716809436)</f>
        <v>0.02537046572</v>
      </c>
      <c r="H115" s="4"/>
      <c r="I115" s="5"/>
      <c r="J115" s="5"/>
      <c r="K115" s="5"/>
      <c r="L115" s="5"/>
      <c r="M115" s="5"/>
      <c r="N115" s="5"/>
      <c r="O115" s="5"/>
    </row>
    <row r="116">
      <c r="A116" s="18" t="str">
        <f>IFERROR(__xludf.DUMMYFUNCTION("""COMPUTED_VALUE"""),"Angel Rivera")</f>
        <v>Angel Rivera</v>
      </c>
      <c r="B116" s="19" t="str">
        <f>IFERROR(__xludf.DUMMYFUNCTION("""COMPUTED_VALUE"""),"ATL")</f>
        <v>ATL</v>
      </c>
      <c r="C116" s="20">
        <f>IFERROR(__xludf.DUMMYFUNCTION("""COMPUTED_VALUE"""),87.9)</f>
        <v>87.9</v>
      </c>
      <c r="D116" s="21">
        <f>IFERROR(__xludf.DUMMYFUNCTION("""COMPUTED_VALUE"""),-1.2029238056861602)</f>
        <v>-1.202923806</v>
      </c>
      <c r="E116" s="21">
        <f>IFERROR(__xludf.DUMMYFUNCTION("""COMPUTED_VALUE"""),-0.6657116063228485)</f>
        <v>-0.6657116063</v>
      </c>
      <c r="F116" s="21">
        <f>IFERROR(__xludf.DUMMYFUNCTION("""COMPUTED_VALUE"""),-1.8686354120090087)</f>
        <v>-1.868635412</v>
      </c>
      <c r="G116" s="23">
        <f>IFERROR(__xludf.DUMMYFUNCTION("""COMPUTED_VALUE"""),0.003850389103621901)</f>
        <v>0.003850389104</v>
      </c>
      <c r="H116" s="4"/>
      <c r="I116" s="5"/>
      <c r="J116" s="5"/>
      <c r="K116" s="5"/>
      <c r="L116" s="5"/>
      <c r="M116" s="5"/>
      <c r="N116" s="5"/>
      <c r="O116" s="5"/>
    </row>
    <row r="117">
      <c r="A117" s="12" t="str">
        <f>IFERROR(__xludf.DUMMYFUNCTION("""COMPUTED_VALUE"""),"Christopher Ortiz")</f>
        <v>Christopher Ortiz</v>
      </c>
      <c r="B117" s="13" t="str">
        <f>IFERROR(__xludf.DUMMYFUNCTION("""COMPUTED_VALUE"""),"CAC")</f>
        <v>CAC</v>
      </c>
      <c r="C117" s="14">
        <f>IFERROR(__xludf.DUMMYFUNCTION("""COMPUTED_VALUE"""),484.54999999999995)</f>
        <v>484.55</v>
      </c>
      <c r="D117" s="15">
        <f>IFERROR(__xludf.DUMMYFUNCTION("""COMPUTED_VALUE"""),-0.3114964075663552)</f>
        <v>-0.3114964076</v>
      </c>
      <c r="E117" s="15">
        <f>IFERROR(__xludf.DUMMYFUNCTION("""COMPUTED_VALUE"""),-1.6800387296895805)</f>
        <v>-1.68003873</v>
      </c>
      <c r="F117" s="15">
        <f>IFERROR(__xludf.DUMMYFUNCTION("""COMPUTED_VALUE"""),-1.9915351372559356)</f>
        <v>-1.991535137</v>
      </c>
      <c r="G117" s="17">
        <f>IFERROR(__xludf.DUMMYFUNCTION("""COMPUTED_VALUE"""),0.0013452569522032147)</f>
        <v>0.001345256952</v>
      </c>
      <c r="H117" s="4"/>
      <c r="I117" s="5"/>
      <c r="J117" s="5"/>
      <c r="K117" s="5"/>
      <c r="L117" s="5"/>
      <c r="M117" s="5"/>
      <c r="N117" s="5"/>
      <c r="O117" s="5"/>
    </row>
    <row r="118">
      <c r="A118" s="18" t="str">
        <f>IFERROR(__xludf.DUMMYFUNCTION("""COMPUTED_VALUE"""),"Peter John Ramos")</f>
        <v>Peter John Ramos</v>
      </c>
      <c r="B118" s="19" t="str">
        <f>IFERROR(__xludf.DUMMYFUNCTION("""COMPUTED_VALUE"""),"LEO")</f>
        <v>LEO</v>
      </c>
      <c r="C118" s="20">
        <f>IFERROR(__xludf.DUMMYFUNCTION("""COMPUTED_VALUE"""),1045.7)</f>
        <v>1045.7</v>
      </c>
      <c r="D118" s="21">
        <f>IFERROR(__xludf.DUMMYFUNCTION("""COMPUTED_VALUE"""),-2.654799054971064)</f>
        <v>-2.654799055</v>
      </c>
      <c r="E118" s="21">
        <f>IFERROR(__xludf.DUMMYFUNCTION("""COMPUTED_VALUE"""),0.6570239610962547)</f>
        <v>0.6570239611</v>
      </c>
      <c r="F118" s="21">
        <f>IFERROR(__xludf.DUMMYFUNCTION("""COMPUTED_VALUE"""),-1.9977750938748091)</f>
        <v>-1.997775094</v>
      </c>
      <c r="G118" s="23">
        <f>IFERROR(__xludf.DUMMYFUNCTION("""COMPUTED_VALUE"""),7.422414451282847E-4)</f>
        <v>0.0007422414451</v>
      </c>
      <c r="H118" s="4"/>
      <c r="I118" s="5"/>
      <c r="J118" s="5"/>
      <c r="K118" s="5"/>
      <c r="L118" s="5"/>
      <c r="M118" s="5"/>
      <c r="N118" s="5"/>
      <c r="O118" s="5"/>
    </row>
    <row r="119">
      <c r="A119" s="12" t="str">
        <f>IFERROR(__xludf.DUMMYFUNCTION("""COMPUTED_VALUE"""),"Mike Rosario")</f>
        <v>Mike Rosario</v>
      </c>
      <c r="B119" s="13" t="str">
        <f>IFERROR(__xludf.DUMMYFUNCTION("""COMPUTED_VALUE"""),"PIR")</f>
        <v>PIR</v>
      </c>
      <c r="C119" s="14">
        <f>IFERROR(__xludf.DUMMYFUNCTION("""COMPUTED_VALUE"""),1162.4)</f>
        <v>1162.4</v>
      </c>
      <c r="D119" s="15">
        <f>IFERROR(__xludf.DUMMYFUNCTION("""COMPUTED_VALUE"""),-0.008825378763523739)</f>
        <v>-0.008825378764</v>
      </c>
      <c r="E119" s="15">
        <f>IFERROR(__xludf.DUMMYFUNCTION("""COMPUTED_VALUE"""),-2.014646601034676)</f>
        <v>-2.014646601</v>
      </c>
      <c r="F119" s="15">
        <f>IFERROR(__xludf.DUMMYFUNCTION("""COMPUTED_VALUE"""),-2.0234719797981997)</f>
        <v>-2.02347198</v>
      </c>
      <c r="G119" s="17">
        <f>IFERROR(__xludf.DUMMYFUNCTION("""COMPUTED_VALUE"""),-0.008755948735938358)</f>
        <v>-0.008755948736</v>
      </c>
      <c r="H119" s="4"/>
      <c r="I119" s="5"/>
      <c r="J119" s="5"/>
      <c r="K119" s="5"/>
      <c r="L119" s="5"/>
      <c r="M119" s="5"/>
      <c r="N119" s="5"/>
      <c r="O119" s="5"/>
    </row>
    <row r="120">
      <c r="A120" s="18" t="str">
        <f>IFERROR(__xludf.DUMMYFUNCTION("""COMPUTED_VALUE"""),"Rasham Suarez")</f>
        <v>Rasham Suarez</v>
      </c>
      <c r="B120" s="19" t="str">
        <f>IFERROR(__xludf.DUMMYFUNCTION("""COMPUTED_VALUE"""),"ATL")</f>
        <v>ATL</v>
      </c>
      <c r="C120" s="20">
        <f>IFERROR(__xludf.DUMMYFUNCTION("""COMPUTED_VALUE"""),379.20000000000005)</f>
        <v>379.2</v>
      </c>
      <c r="D120" s="21">
        <f>IFERROR(__xludf.DUMMYFUNCTION("""COMPUTED_VALUE"""),0.842429235087152)</f>
        <v>0.8424292351</v>
      </c>
      <c r="E120" s="21">
        <f>IFERROR(__xludf.DUMMYFUNCTION("""COMPUTED_VALUE"""),-2.880919605603195)</f>
        <v>-2.880919606</v>
      </c>
      <c r="F120" s="21">
        <f>IFERROR(__xludf.DUMMYFUNCTION("""COMPUTED_VALUE"""),-2.038490370516043)</f>
        <v>-2.038490371</v>
      </c>
      <c r="G120" s="23">
        <f>IFERROR(__xludf.DUMMYFUNCTION("""COMPUTED_VALUE"""),-0.004866960896275286)</f>
        <v>-0.004866960896</v>
      </c>
      <c r="H120" s="4"/>
      <c r="I120" s="5"/>
      <c r="J120" s="5"/>
      <c r="K120" s="5"/>
      <c r="L120" s="5"/>
      <c r="M120" s="5"/>
      <c r="N120" s="5"/>
      <c r="O120" s="5"/>
    </row>
    <row r="121">
      <c r="A121" s="12" t="str">
        <f>IFERROR(__xludf.DUMMYFUNCTION("""COMPUTED_VALUE"""),"Darius Morales")</f>
        <v>Darius Morales</v>
      </c>
      <c r="B121" s="13" t="str">
        <f>IFERROR(__xludf.DUMMYFUNCTION("""COMPUTED_VALUE"""),"FAJ")</f>
        <v>FAJ</v>
      </c>
      <c r="C121" s="14">
        <f>IFERROR(__xludf.DUMMYFUNCTION("""COMPUTED_VALUE"""),122.6)</f>
        <v>122.6</v>
      </c>
      <c r="D121" s="15">
        <f>IFERROR(__xludf.DUMMYFUNCTION("""COMPUTED_VALUE"""),-2.3757698210269096)</f>
        <v>-2.375769821</v>
      </c>
      <c r="E121" s="15">
        <f>IFERROR(__xludf.DUMMYFUNCTION("""COMPUTED_VALUE"""),0.20742016794856655)</f>
        <v>0.2074201679</v>
      </c>
      <c r="F121" s="15">
        <f>IFERROR(__xludf.DUMMYFUNCTION("""COMPUTED_VALUE"""),-2.168349653078343)</f>
        <v>-2.168349653</v>
      </c>
      <c r="G121" s="17">
        <f>IFERROR(__xludf.DUMMYFUNCTION("""COMPUTED_VALUE"""),-0.007078446393418726)</f>
        <v>-0.007078446393</v>
      </c>
      <c r="H121" s="4"/>
      <c r="I121" s="5"/>
      <c r="J121" s="5"/>
      <c r="K121" s="5"/>
      <c r="L121" s="5"/>
      <c r="M121" s="5"/>
      <c r="N121" s="5"/>
      <c r="O121" s="5"/>
    </row>
    <row r="122">
      <c r="A122" s="18" t="str">
        <f>IFERROR(__xludf.DUMMYFUNCTION("""COMPUTED_VALUE"""),"Enrique Ramos")</f>
        <v>Enrique Ramos</v>
      </c>
      <c r="B122" s="19" t="str">
        <f>IFERROR(__xludf.DUMMYFUNCTION("""COMPUTED_VALUE"""),"CAC")</f>
        <v>CAC</v>
      </c>
      <c r="C122" s="20">
        <f>IFERROR(__xludf.DUMMYFUNCTION("""COMPUTED_VALUE"""),63.7)</f>
        <v>63.7</v>
      </c>
      <c r="D122" s="21">
        <f>IFERROR(__xludf.DUMMYFUNCTION("""COMPUTED_VALUE"""),-1.5835136123196938)</f>
        <v>-1.583513612</v>
      </c>
      <c r="E122" s="21">
        <f>IFERROR(__xludf.DUMMYFUNCTION("""COMPUTED_VALUE"""),-0.6744169792898613)</f>
        <v>-0.6744169793</v>
      </c>
      <c r="F122" s="21">
        <f>IFERROR(__xludf.DUMMYFUNCTION("""COMPUTED_VALUE"""),-2.257930591609555)</f>
        <v>-2.257930592</v>
      </c>
      <c r="G122" s="23">
        <f>IFERROR(__xludf.DUMMYFUNCTION("""COMPUTED_VALUE"""),-0.0053887621283875186)</f>
        <v>-0.005388762128</v>
      </c>
      <c r="H122" s="4"/>
      <c r="I122" s="5"/>
      <c r="J122" s="5"/>
      <c r="K122" s="5"/>
      <c r="L122" s="5"/>
      <c r="M122" s="5"/>
      <c r="N122" s="5"/>
      <c r="O122" s="5"/>
    </row>
    <row r="123">
      <c r="A123" s="12" t="str">
        <f>IFERROR(__xludf.DUMMYFUNCTION("""COMPUTED_VALUE"""),"Rafael Perez")</f>
        <v>Rafael Perez</v>
      </c>
      <c r="B123" s="13" t="str">
        <f>IFERROR(__xludf.DUMMYFUNCTION("""COMPUTED_VALUE"""),"CAP")</f>
        <v>CAP</v>
      </c>
      <c r="C123" s="14">
        <f>IFERROR(__xludf.DUMMYFUNCTION("""COMPUTED_VALUE"""),370.6)</f>
        <v>370.6</v>
      </c>
      <c r="D123" s="15">
        <f>IFERROR(__xludf.DUMMYFUNCTION("""COMPUTED_VALUE"""),-1.6058157654248348)</f>
        <v>-1.605815765</v>
      </c>
      <c r="E123" s="15">
        <f>IFERROR(__xludf.DUMMYFUNCTION("""COMPUTED_VALUE"""),-0.7392793515599618)</f>
        <v>-0.7392793516</v>
      </c>
      <c r="F123" s="15">
        <f>IFERROR(__xludf.DUMMYFUNCTION("""COMPUTED_VALUE"""),-2.3450951169847967)</f>
        <v>-2.345095117</v>
      </c>
      <c r="G123" s="17">
        <f>IFERROR(__xludf.DUMMYFUNCTION("""COMPUTED_VALUE"""),-0.03926231432378898)</f>
        <v>-0.03926231432</v>
      </c>
      <c r="H123" s="4"/>
      <c r="I123" s="5"/>
      <c r="J123" s="5"/>
      <c r="K123" s="5"/>
      <c r="L123" s="5"/>
      <c r="M123" s="5"/>
      <c r="N123" s="5"/>
      <c r="O123" s="5"/>
    </row>
    <row r="124">
      <c r="A124" s="18" t="str">
        <f>IFERROR(__xludf.DUMMYFUNCTION("""COMPUTED_VALUE"""),"Tony Mitchell")</f>
        <v>Tony Mitchell</v>
      </c>
      <c r="B124" s="19" t="str">
        <f>IFERROR(__xludf.DUMMYFUNCTION("""COMPUTED_VALUE"""),"AGU")</f>
        <v>AGU</v>
      </c>
      <c r="C124" s="20">
        <f>IFERROR(__xludf.DUMMYFUNCTION("""COMPUTED_VALUE"""),147.7)</f>
        <v>147.7</v>
      </c>
      <c r="D124" s="21">
        <f>IFERROR(__xludf.DUMMYFUNCTION("""COMPUTED_VALUE"""),-2.306688448591133)</f>
        <v>-2.306688449</v>
      </c>
      <c r="E124" s="21">
        <f>IFERROR(__xludf.DUMMYFUNCTION("""COMPUTED_VALUE"""),-0.10559651971021022)</f>
        <v>-0.1055965197</v>
      </c>
      <c r="F124" s="21">
        <f>IFERROR(__xludf.DUMMYFUNCTION("""COMPUTED_VALUE"""),-2.412284968301343)</f>
        <v>-2.412284968</v>
      </c>
      <c r="G124" s="23">
        <f>IFERROR(__xludf.DUMMYFUNCTION("""COMPUTED_VALUE"""),-0.018736857268276234)</f>
        <v>-0.01873685727</v>
      </c>
      <c r="H124" s="4"/>
      <c r="I124" s="5"/>
      <c r="J124" s="5"/>
      <c r="K124" s="5"/>
      <c r="L124" s="5"/>
      <c r="M124" s="5"/>
      <c r="N124" s="5"/>
      <c r="O124" s="5"/>
    </row>
    <row r="125">
      <c r="A125" s="12" t="str">
        <f>IFERROR(__xludf.DUMMYFUNCTION("""COMPUTED_VALUE"""),"Zach Graham")</f>
        <v>Zach Graham</v>
      </c>
      <c r="B125" s="13" t="str">
        <f>IFERROR(__xludf.DUMMYFUNCTION("""COMPUTED_VALUE"""),"CAC")</f>
        <v>CAC</v>
      </c>
      <c r="C125" s="14">
        <f>IFERROR(__xludf.DUMMYFUNCTION("""COMPUTED_VALUE"""),298.9)</f>
        <v>298.9</v>
      </c>
      <c r="D125" s="15">
        <f>IFERROR(__xludf.DUMMYFUNCTION("""COMPUTED_VALUE"""),0.9034220368182662)</f>
        <v>0.9034220368</v>
      </c>
      <c r="E125" s="15">
        <f>IFERROR(__xludf.DUMMYFUNCTION("""COMPUTED_VALUE"""),-3.3465504500580026)</f>
        <v>-3.34655045</v>
      </c>
      <c r="F125" s="15">
        <f>IFERROR(__xludf.DUMMYFUNCTION("""COMPUTED_VALUE"""),-2.4431284132397364)</f>
        <v>-2.443128413</v>
      </c>
      <c r="G125" s="17">
        <f>IFERROR(__xludf.DUMMYFUNCTION("""COMPUTED_VALUE"""),-0.043441242610457426)</f>
        <v>-0.04344124261</v>
      </c>
      <c r="H125" s="4"/>
      <c r="I125" s="5"/>
      <c r="J125" s="5"/>
      <c r="K125" s="5"/>
      <c r="L125" s="5"/>
      <c r="M125" s="5"/>
      <c r="N125" s="5"/>
      <c r="O125" s="5"/>
    </row>
    <row r="126">
      <c r="A126" s="18" t="str">
        <f>IFERROR(__xludf.DUMMYFUNCTION("""COMPUTED_VALUE"""),"Tjader Fernandez")</f>
        <v>Tjader Fernandez</v>
      </c>
      <c r="B126" s="19" t="str">
        <f>IFERROR(__xludf.DUMMYFUNCTION("""COMPUTED_VALUE"""),"AGU")</f>
        <v>AGU</v>
      </c>
      <c r="C126" s="20">
        <f>IFERROR(__xludf.DUMMYFUNCTION("""COMPUTED_VALUE"""),253.9)</f>
        <v>253.9</v>
      </c>
      <c r="D126" s="21">
        <f>IFERROR(__xludf.DUMMYFUNCTION("""COMPUTED_VALUE"""),-0.5710356890531297)</f>
        <v>-0.5710356891</v>
      </c>
      <c r="E126" s="21">
        <f>IFERROR(__xludf.DUMMYFUNCTION("""COMPUTED_VALUE"""),-2.0535774422380646)</f>
        <v>-2.053577442</v>
      </c>
      <c r="F126" s="21">
        <f>IFERROR(__xludf.DUMMYFUNCTION("""COMPUTED_VALUE"""),-2.6246131312911944)</f>
        <v>-2.624613131</v>
      </c>
      <c r="G126" s="23">
        <f>IFERROR(__xludf.DUMMYFUNCTION("""COMPUTED_VALUE"""),-0.048796937140716486)</f>
        <v>-0.04879693714</v>
      </c>
      <c r="H126" s="4"/>
      <c r="I126" s="5"/>
      <c r="J126" s="5"/>
      <c r="K126" s="5"/>
      <c r="L126" s="5"/>
      <c r="M126" s="5"/>
      <c r="N126" s="5"/>
      <c r="O126" s="5"/>
    </row>
    <row r="127">
      <c r="A127" s="12" t="str">
        <f>IFERROR(__xludf.DUMMYFUNCTION("""COMPUTED_VALUE"""),"Yancy Gates")</f>
        <v>Yancy Gates</v>
      </c>
      <c r="B127" s="13" t="str">
        <f>IFERROR(__xludf.DUMMYFUNCTION("""COMPUTED_VALUE"""),"AGU")</f>
        <v>AGU</v>
      </c>
      <c r="C127" s="14">
        <f>IFERROR(__xludf.DUMMYFUNCTION("""COMPUTED_VALUE"""),125.9)</f>
        <v>125.9</v>
      </c>
      <c r="D127" s="15">
        <f>IFERROR(__xludf.DUMMYFUNCTION("""COMPUTED_VALUE"""),-1.783251325099077)</f>
        <v>-1.783251325</v>
      </c>
      <c r="E127" s="15">
        <f>IFERROR(__xludf.DUMMYFUNCTION("""COMPUTED_VALUE"""),-0.8871599317472225)</f>
        <v>-0.8871599317</v>
      </c>
      <c r="F127" s="15">
        <f>IFERROR(__xludf.DUMMYFUNCTION("""COMPUTED_VALUE"""),-2.6704112568462994)</f>
        <v>-2.670411257</v>
      </c>
      <c r="G127" s="17">
        <f>IFERROR(__xludf.DUMMYFUNCTION("""COMPUTED_VALUE"""),-0.025970827057969312)</f>
        <v>-0.02597082706</v>
      </c>
      <c r="H127" s="4"/>
      <c r="I127" s="5"/>
      <c r="J127" s="5"/>
      <c r="K127" s="5"/>
      <c r="L127" s="5"/>
      <c r="M127" s="5"/>
      <c r="N127" s="5"/>
      <c r="O127" s="5"/>
    </row>
    <row r="128">
      <c r="A128" s="18" t="str">
        <f>IFERROR(__xludf.DUMMYFUNCTION("""COMPUTED_VALUE"""),"Wilfredo Rodriguez")</f>
        <v>Wilfredo Rodriguez</v>
      </c>
      <c r="B128" s="19" t="str">
        <f>IFERROR(__xludf.DUMMYFUNCTION("""COMPUTED_VALUE"""),"CAP")</f>
        <v>CAP</v>
      </c>
      <c r="C128" s="20">
        <f>IFERROR(__xludf.DUMMYFUNCTION("""COMPUTED_VALUE"""),618.3)</f>
        <v>618.3</v>
      </c>
      <c r="D128" s="21">
        <f>IFERROR(__xludf.DUMMYFUNCTION("""COMPUTED_VALUE"""),-3.269645458276407)</f>
        <v>-3.269645458</v>
      </c>
      <c r="E128" s="21">
        <f>IFERROR(__xludf.DUMMYFUNCTION("""COMPUTED_VALUE"""),0.5809271384111487)</f>
        <v>0.5809271384</v>
      </c>
      <c r="F128" s="21">
        <f>IFERROR(__xludf.DUMMYFUNCTION("""COMPUTED_VALUE"""),-2.6887183198652584)</f>
        <v>-2.68871832</v>
      </c>
      <c r="G128" s="23">
        <f>IFERROR(__xludf.DUMMYFUNCTION("""COMPUTED_VALUE"""),-0.13072918337152764)</f>
        <v>-0.1307291834</v>
      </c>
      <c r="H128" s="4"/>
      <c r="I128" s="5"/>
      <c r="J128" s="5"/>
      <c r="K128" s="5"/>
      <c r="L128" s="5"/>
      <c r="M128" s="5"/>
      <c r="N128" s="5"/>
      <c r="O128" s="5"/>
    </row>
    <row r="129">
      <c r="A129" s="12" t="str">
        <f>IFERROR(__xludf.DUMMYFUNCTION("""COMPUTED_VALUE"""),"Rodney Green")</f>
        <v>Rodney Green</v>
      </c>
      <c r="B129" s="13" t="str">
        <f>IFERROR(__xludf.DUMMYFUNCTION("""COMPUTED_VALUE"""),"VAQ")</f>
        <v>VAQ</v>
      </c>
      <c r="C129" s="14">
        <f>IFERROR(__xludf.DUMMYFUNCTION("""COMPUTED_VALUE"""),151.9)</f>
        <v>151.9</v>
      </c>
      <c r="D129" s="15">
        <f>IFERROR(__xludf.DUMMYFUNCTION("""COMPUTED_VALUE"""),-2.102958857662132)</f>
        <v>-2.102958858</v>
      </c>
      <c r="E129" s="15">
        <f>IFERROR(__xludf.DUMMYFUNCTION("""COMPUTED_VALUE"""),-0.6882908247282091)</f>
        <v>-0.6882908247</v>
      </c>
      <c r="F129" s="15">
        <f>IFERROR(__xludf.DUMMYFUNCTION("""COMPUTED_VALUE"""),-2.791249682390341)</f>
        <v>-2.791249682</v>
      </c>
      <c r="G129" s="17">
        <f>IFERROR(__xludf.DUMMYFUNCTION("""COMPUTED_VALUE"""),-0.03821551150017998)</f>
        <v>-0.0382155115</v>
      </c>
      <c r="H129" s="4"/>
      <c r="I129" s="5"/>
      <c r="J129" s="5"/>
      <c r="K129" s="5"/>
      <c r="L129" s="5"/>
      <c r="M129" s="5"/>
      <c r="N129" s="5"/>
      <c r="O129" s="5"/>
    </row>
    <row r="130">
      <c r="A130" s="18" t="str">
        <f>IFERROR(__xludf.DUMMYFUNCTION("""COMPUTED_VALUE"""),"Perrin Buford")</f>
        <v>Perrin Buford</v>
      </c>
      <c r="B130" s="19" t="str">
        <f>IFERROR(__xludf.DUMMYFUNCTION("""COMPUTED_VALUE"""),"CAC")</f>
        <v>CAC</v>
      </c>
      <c r="C130" s="20">
        <f>IFERROR(__xludf.DUMMYFUNCTION("""COMPUTED_VALUE"""),169.9)</f>
        <v>169.9</v>
      </c>
      <c r="D130" s="21">
        <f>IFERROR(__xludf.DUMMYFUNCTION("""COMPUTED_VALUE"""),-2.2559404191401464)</f>
        <v>-2.255940419</v>
      </c>
      <c r="E130" s="21">
        <f>IFERROR(__xludf.DUMMYFUNCTION("""COMPUTED_VALUE"""),-0.6341101519051069)</f>
        <v>-0.6341101519</v>
      </c>
      <c r="F130" s="21">
        <f>IFERROR(__xludf.DUMMYFUNCTION("""COMPUTED_VALUE"""),-2.8900505710452533)</f>
        <v>-2.890050571</v>
      </c>
      <c r="G130" s="23">
        <f>IFERROR(__xludf.DUMMYFUNCTION("""COMPUTED_VALUE"""),-0.04959692929380573)</f>
        <v>-0.04959692929</v>
      </c>
      <c r="H130" s="4"/>
      <c r="I130" s="5"/>
      <c r="J130" s="5"/>
      <c r="K130" s="5"/>
      <c r="L130" s="5"/>
      <c r="M130" s="5"/>
      <c r="N130" s="5"/>
      <c r="O130" s="5"/>
    </row>
    <row r="131">
      <c r="A131" s="12" t="str">
        <f>IFERROR(__xludf.DUMMYFUNCTION("""COMPUTED_VALUE"""),"Landon Milbourne")</f>
        <v>Landon Milbourne</v>
      </c>
      <c r="B131" s="13" t="str">
        <f>IFERROR(__xludf.DUMMYFUNCTION("""COMPUTED_VALUE"""),"FAJ")</f>
        <v>FAJ</v>
      </c>
      <c r="C131" s="14">
        <f>IFERROR(__xludf.DUMMYFUNCTION("""COMPUTED_VALUE"""),820.0)</f>
        <v>820</v>
      </c>
      <c r="D131" s="15">
        <f>IFERROR(__xludf.DUMMYFUNCTION("""COMPUTED_VALUE"""),-1.7244348945735977)</f>
        <v>-1.724434895</v>
      </c>
      <c r="E131" s="15">
        <f>IFERROR(__xludf.DUMMYFUNCTION("""COMPUTED_VALUE"""),-1.1953711804466212)</f>
        <v>-1.19537118</v>
      </c>
      <c r="F131" s="15">
        <f>IFERROR(__xludf.DUMMYFUNCTION("""COMPUTED_VALUE"""),-2.919806075020219)</f>
        <v>-2.919806075</v>
      </c>
      <c r="G131" s="17">
        <f>IFERROR(__xludf.DUMMYFUNCTION("""COMPUTED_VALUE"""),-0.25866959164027253)</f>
        <v>-0.2586695916</v>
      </c>
      <c r="H131" s="4"/>
      <c r="I131" s="5"/>
      <c r="J131" s="5"/>
      <c r="K131" s="5"/>
      <c r="L131" s="5"/>
      <c r="M131" s="5"/>
      <c r="N131" s="5"/>
      <c r="O131" s="5"/>
    </row>
    <row r="132">
      <c r="A132" s="18" t="str">
        <f>IFERROR(__xludf.DUMMYFUNCTION("""COMPUTED_VALUE"""),"Nate Butler-Lind")</f>
        <v>Nate Butler-Lind</v>
      </c>
      <c r="B132" s="19" t="str">
        <f>IFERROR(__xludf.DUMMYFUNCTION("""COMPUTED_VALUE"""),"AGU")</f>
        <v>AGU</v>
      </c>
      <c r="C132" s="20">
        <f>IFERROR(__xludf.DUMMYFUNCTION("""COMPUTED_VALUE"""),245.4)</f>
        <v>245.4</v>
      </c>
      <c r="D132" s="21">
        <f>IFERROR(__xludf.DUMMYFUNCTION("""COMPUTED_VALUE"""),-2.96952315209138)</f>
        <v>-2.969523152</v>
      </c>
      <c r="E132" s="21">
        <f>IFERROR(__xludf.DUMMYFUNCTION("""COMPUTED_VALUE"""),-0.021885301396762813)</f>
        <v>-0.0218853014</v>
      </c>
      <c r="F132" s="21">
        <f>IFERROR(__xludf.DUMMYFUNCTION("""COMPUTED_VALUE"""),-2.991408453488143)</f>
        <v>-2.991408453</v>
      </c>
      <c r="G132" s="23">
        <f>IFERROR(__xludf.DUMMYFUNCTION("""COMPUTED_VALUE"""),-0.07485932871013312)</f>
        <v>-0.07485932871</v>
      </c>
      <c r="H132" s="4"/>
      <c r="I132" s="5"/>
      <c r="J132" s="5"/>
      <c r="K132" s="5"/>
      <c r="L132" s="5"/>
      <c r="M132" s="5"/>
      <c r="N132" s="5"/>
      <c r="O132" s="5"/>
    </row>
    <row r="133">
      <c r="A133" s="12" t="str">
        <f>IFERROR(__xludf.DUMMYFUNCTION("""COMPUTED_VALUE"""),"Ricardo Melendez")</f>
        <v>Ricardo Melendez</v>
      </c>
      <c r="B133" s="13" t="str">
        <f>IFERROR(__xludf.DUMMYFUNCTION("""COMPUTED_VALUE"""),"PIR")</f>
        <v>PIR</v>
      </c>
      <c r="C133" s="14">
        <f>IFERROR(__xludf.DUMMYFUNCTION("""COMPUTED_VALUE"""),488.0)</f>
        <v>488</v>
      </c>
      <c r="D133" s="15">
        <f>IFERROR(__xludf.DUMMYFUNCTION("""COMPUTED_VALUE"""),-1.0862896577809364)</f>
        <v>-1.086289658</v>
      </c>
      <c r="E133" s="15">
        <f>IFERROR(__xludf.DUMMYFUNCTION("""COMPUTED_VALUE"""),-1.9525494110530544)</f>
        <v>-1.952549411</v>
      </c>
      <c r="F133" s="15">
        <f>IFERROR(__xludf.DUMMYFUNCTION("""COMPUTED_VALUE"""),-3.038839068833991)</f>
        <v>-3.038839069</v>
      </c>
      <c r="G133" s="17">
        <f>IFERROR(__xludf.DUMMYFUNCTION("""COMPUTED_VALUE"""),-0.16269191925290669)</f>
        <v>-0.1626919193</v>
      </c>
      <c r="H133" s="4"/>
      <c r="I133" s="5"/>
      <c r="J133" s="5"/>
      <c r="K133" s="5"/>
      <c r="L133" s="5"/>
      <c r="M133" s="5"/>
      <c r="N133" s="5"/>
      <c r="O133" s="5"/>
    </row>
    <row r="134">
      <c r="A134" s="18" t="str">
        <f>IFERROR(__xludf.DUMMYFUNCTION("""COMPUTED_VALUE"""),"DeJuan Marrero")</f>
        <v>DeJuan Marrero</v>
      </c>
      <c r="B134" s="19" t="str">
        <f>IFERROR(__xludf.DUMMYFUNCTION("""COMPUTED_VALUE"""),"CAC")</f>
        <v>CAC</v>
      </c>
      <c r="C134" s="20">
        <f>IFERROR(__xludf.DUMMYFUNCTION("""COMPUTED_VALUE"""),257.1)</f>
        <v>257.1</v>
      </c>
      <c r="D134" s="21">
        <f>IFERROR(__xludf.DUMMYFUNCTION("""COMPUTED_VALUE"""),-3.604440096322644)</f>
        <v>-3.604440096</v>
      </c>
      <c r="E134" s="21">
        <f>IFERROR(__xludf.DUMMYFUNCTION("""COMPUTED_VALUE"""),0.21299113294302519)</f>
        <v>0.2129911329</v>
      </c>
      <c r="F134" s="21">
        <f>IFERROR(__xludf.DUMMYFUNCTION("""COMPUTED_VALUE"""),-3.3914489633796188)</f>
        <v>-3.391448963</v>
      </c>
      <c r="G134" s="23">
        <f>IFERROR(__xludf.DUMMYFUNCTION("""COMPUTED_VALUE"""),-0.11733189500542944)</f>
        <v>-0.117331895</v>
      </c>
      <c r="H134" s="4"/>
      <c r="I134" s="5"/>
      <c r="J134" s="5"/>
      <c r="K134" s="5"/>
      <c r="L134" s="5"/>
      <c r="M134" s="5"/>
      <c r="N134" s="5"/>
      <c r="O134" s="5"/>
    </row>
    <row r="135">
      <c r="A135" s="12" t="str">
        <f>IFERROR(__xludf.DUMMYFUNCTION("""COMPUTED_VALUE"""),"Jonathan Garcia Bermudez")</f>
        <v>Jonathan Garcia Bermudez</v>
      </c>
      <c r="B135" s="13" t="str">
        <f>IFERROR(__xludf.DUMMYFUNCTION("""COMPUTED_VALUE"""),"PIR")</f>
        <v>PIR</v>
      </c>
      <c r="C135" s="14">
        <f>IFERROR(__xludf.DUMMYFUNCTION("""COMPUTED_VALUE"""),499.0)</f>
        <v>499</v>
      </c>
      <c r="D135" s="15">
        <f>IFERROR(__xludf.DUMMYFUNCTION("""COMPUTED_VALUE"""),-1.3284930080755344)</f>
        <v>-1.328493008</v>
      </c>
      <c r="E135" s="15">
        <f>IFERROR(__xludf.DUMMYFUNCTION("""COMPUTED_VALUE"""),-2.1763063157024933)</f>
        <v>-2.176306316</v>
      </c>
      <c r="F135" s="15">
        <f>IFERROR(__xludf.DUMMYFUNCTION("""COMPUTED_VALUE"""),-3.5047993237780277)</f>
        <v>-3.504799324</v>
      </c>
      <c r="G135" s="17">
        <f>IFERROR(__xludf.DUMMYFUNCTION("""COMPUTED_VALUE"""),-0.2409777911380307)</f>
        <v>-0.2409777911</v>
      </c>
      <c r="H135" s="4"/>
      <c r="I135" s="5"/>
      <c r="J135" s="5"/>
      <c r="K135" s="5"/>
      <c r="L135" s="5"/>
      <c r="M135" s="5"/>
      <c r="N135" s="5"/>
      <c r="O135" s="5"/>
    </row>
    <row r="136">
      <c r="A136" s="18" t="str">
        <f>IFERROR(__xludf.DUMMYFUNCTION("""COMPUTED_VALUE"""),"Larry Ayuso")</f>
        <v>Larry Ayuso</v>
      </c>
      <c r="B136" s="19" t="str">
        <f>IFERROR(__xludf.DUMMYFUNCTION("""COMPUTED_VALUE"""),"FAJ")</f>
        <v>FAJ</v>
      </c>
      <c r="C136" s="20">
        <f>IFERROR(__xludf.DUMMYFUNCTION("""COMPUTED_VALUE"""),544.1)</f>
        <v>544.1</v>
      </c>
      <c r="D136" s="21">
        <f>IFERROR(__xludf.DUMMYFUNCTION("""COMPUTED_VALUE"""),0.2603506379125835)</f>
        <v>0.2603506379</v>
      </c>
      <c r="E136" s="21">
        <f>IFERROR(__xludf.DUMMYFUNCTION("""COMPUTED_VALUE"""),-3.7988533315172393)</f>
        <v>-3.798853332</v>
      </c>
      <c r="F136" s="21">
        <f>IFERROR(__xludf.DUMMYFUNCTION("""COMPUTED_VALUE"""),-3.5385026936046557)</f>
        <v>-3.538502694</v>
      </c>
      <c r="G136" s="23">
        <f>IFERROR(__xludf.DUMMYFUNCTION("""COMPUTED_VALUE"""),-0.2870861481044212)</f>
        <v>-0.2870861481</v>
      </c>
      <c r="H136" s="4"/>
      <c r="I136" s="5"/>
      <c r="J136" s="5"/>
      <c r="K136" s="5"/>
      <c r="L136" s="5"/>
      <c r="M136" s="5"/>
      <c r="N136" s="5"/>
      <c r="O136" s="5"/>
    </row>
    <row r="137">
      <c r="A137" s="12" t="str">
        <f>IFERROR(__xludf.DUMMYFUNCTION("""COMPUTED_VALUE"""),"Jorge Matos")</f>
        <v>Jorge Matos</v>
      </c>
      <c r="B137" s="13" t="str">
        <f>IFERROR(__xludf.DUMMYFUNCTION("""COMPUTED_VALUE"""),"PIR")</f>
        <v>PIR</v>
      </c>
      <c r="C137" s="14">
        <f>IFERROR(__xludf.DUMMYFUNCTION("""COMPUTED_VALUE"""),177.3)</f>
        <v>177.3</v>
      </c>
      <c r="D137" s="15">
        <f>IFERROR(__xludf.DUMMYFUNCTION("""COMPUTED_VALUE"""),-2.9245788369451255)</f>
        <v>-2.924578837</v>
      </c>
      <c r="E137" s="15">
        <f>IFERROR(__xludf.DUMMYFUNCTION("""COMPUTED_VALUE"""),-0.6708571664210874)</f>
        <v>-0.6708571664</v>
      </c>
      <c r="F137" s="15">
        <f>IFERROR(__xludf.DUMMYFUNCTION("""COMPUTED_VALUE"""),-3.595436003366213)</f>
        <v>-3.595436003</v>
      </c>
      <c r="G137" s="17">
        <f>IFERROR(__xludf.DUMMYFUNCTION("""COMPUTED_VALUE"""),-0.09077912871468884)</f>
        <v>-0.09077912871</v>
      </c>
      <c r="H137" s="4"/>
      <c r="I137" s="5"/>
      <c r="J137" s="5"/>
      <c r="K137" s="5"/>
      <c r="L137" s="5"/>
      <c r="M137" s="5"/>
      <c r="N137" s="5"/>
      <c r="O137" s="5"/>
    </row>
    <row r="138">
      <c r="A138" s="18" t="str">
        <f>IFERROR(__xludf.DUMMYFUNCTION("""COMPUTED_VALUE"""),"Dwayne Davis")</f>
        <v>Dwayne Davis</v>
      </c>
      <c r="B138" s="19" t="str">
        <f>IFERROR(__xludf.DUMMYFUNCTION("""COMPUTED_VALUE"""),"VAQ")</f>
        <v>VAQ</v>
      </c>
      <c r="C138" s="20">
        <f>IFERROR(__xludf.DUMMYFUNCTION("""COMPUTED_VALUE"""),181.9)</f>
        <v>181.9</v>
      </c>
      <c r="D138" s="21">
        <f>IFERROR(__xludf.DUMMYFUNCTION("""COMPUTED_VALUE"""),-2.816405950354549)</f>
        <v>-2.81640595</v>
      </c>
      <c r="E138" s="21">
        <f>IFERROR(__xludf.DUMMYFUNCTION("""COMPUTED_VALUE"""),-0.861754807223087)</f>
        <v>-0.8617548072</v>
      </c>
      <c r="F138" s="21">
        <f>IFERROR(__xludf.DUMMYFUNCTION("""COMPUTED_VALUE"""),-3.678160757577636)</f>
        <v>-3.678160758</v>
      </c>
      <c r="G138" s="23">
        <f>IFERROR(__xludf.DUMMYFUNCTION("""COMPUTED_VALUE"""),-0.09705873229013275)</f>
        <v>-0.09705873229</v>
      </c>
      <c r="H138" s="4"/>
      <c r="I138" s="5"/>
      <c r="J138" s="5"/>
      <c r="K138" s="5"/>
      <c r="L138" s="5"/>
      <c r="M138" s="5"/>
      <c r="N138" s="5"/>
      <c r="O138" s="5"/>
    </row>
    <row r="139">
      <c r="A139" s="12" t="str">
        <f>IFERROR(__xludf.DUMMYFUNCTION("""COMPUTED_VALUE"""),"K.J. Maura")</f>
        <v>K.J. Maura</v>
      </c>
      <c r="B139" s="13" t="str">
        <f>IFERROR(__xludf.DUMMYFUNCTION("""COMPUTED_VALUE"""),"AGU")</f>
        <v>AGU</v>
      </c>
      <c r="C139" s="14">
        <f>IFERROR(__xludf.DUMMYFUNCTION("""COMPUTED_VALUE"""),168.8)</f>
        <v>168.8</v>
      </c>
      <c r="D139" s="15">
        <f>IFERROR(__xludf.DUMMYFUNCTION("""COMPUTED_VALUE"""),-1.4531627648800942)</f>
        <v>-1.453162765</v>
      </c>
      <c r="E139" s="15">
        <f>IFERROR(__xludf.DUMMYFUNCTION("""COMPUTED_VALUE"""),-2.293548571975913)</f>
        <v>-2.293548572</v>
      </c>
      <c r="F139" s="15">
        <f>IFERROR(__xludf.DUMMYFUNCTION("""COMPUTED_VALUE"""),-3.7467113368560074)</f>
        <v>-3.746711337</v>
      </c>
      <c r="G139" s="17">
        <f>IFERROR(__xludf.DUMMYFUNCTION("""COMPUTED_VALUE"""),-0.09072194102579996)</f>
        <v>-0.09072194103</v>
      </c>
      <c r="H139" s="4"/>
      <c r="I139" s="5"/>
      <c r="J139" s="5"/>
      <c r="K139" s="5"/>
      <c r="L139" s="5"/>
      <c r="M139" s="5"/>
      <c r="N139" s="5"/>
      <c r="O139" s="5"/>
    </row>
    <row r="140">
      <c r="A140" s="18" t="str">
        <f>IFERROR(__xludf.DUMMYFUNCTION("""COMPUTED_VALUE"""),"Chris Brady")</f>
        <v>Chris Brady</v>
      </c>
      <c r="B140" s="19" t="str">
        <f>IFERROR(__xludf.DUMMYFUNCTION("""COMPUTED_VALUE"""),"ATL")</f>
        <v>ATL</v>
      </c>
      <c r="C140" s="20">
        <f>IFERROR(__xludf.DUMMYFUNCTION("""COMPUTED_VALUE"""),304.6)</f>
        <v>304.6</v>
      </c>
      <c r="D140" s="21">
        <f>IFERROR(__xludf.DUMMYFUNCTION("""COMPUTED_VALUE"""),-3.880012146887634)</f>
        <v>-3.880012147</v>
      </c>
      <c r="E140" s="21">
        <f>IFERROR(__xludf.DUMMYFUNCTION("""COMPUTED_VALUE"""),0.006745088207215755)</f>
        <v>0.006745088207</v>
      </c>
      <c r="F140" s="21">
        <f>IFERROR(__xludf.DUMMYFUNCTION("""COMPUTED_VALUE"""),-3.873267058680418)</f>
        <v>-3.873267059</v>
      </c>
      <c r="G140" s="23">
        <f>IFERROR(__xludf.DUMMYFUNCTION("""COMPUTED_VALUE"""),-0.19026856013865576)</f>
        <v>-0.1902685601</v>
      </c>
      <c r="H140" s="4"/>
      <c r="I140" s="5"/>
      <c r="J140" s="5"/>
      <c r="K140" s="5"/>
      <c r="L140" s="5"/>
      <c r="M140" s="5"/>
      <c r="N140" s="5"/>
      <c r="O140" s="5"/>
    </row>
    <row r="141">
      <c r="A141" s="12" t="str">
        <f>IFERROR(__xludf.DUMMYFUNCTION("""COMPUTED_VALUE"""),"Ansel Guzman")</f>
        <v>Ansel Guzman</v>
      </c>
      <c r="B141" s="13" t="str">
        <f>IFERROR(__xludf.DUMMYFUNCTION("""COMPUTED_VALUE"""),"AGU")</f>
        <v>AGU</v>
      </c>
      <c r="C141" s="14">
        <f>IFERROR(__xludf.DUMMYFUNCTION("""COMPUTED_VALUE"""),498.8)</f>
        <v>498.8</v>
      </c>
      <c r="D141" s="15">
        <f>IFERROR(__xludf.DUMMYFUNCTION("""COMPUTED_VALUE"""),-2.147057636575474)</f>
        <v>-2.147057637</v>
      </c>
      <c r="E141" s="15">
        <f>IFERROR(__xludf.DUMMYFUNCTION("""COMPUTED_VALUE"""),-1.7771677767594913)</f>
        <v>-1.777167777</v>
      </c>
      <c r="F141" s="15">
        <f>IFERROR(__xludf.DUMMYFUNCTION("""COMPUTED_VALUE"""),-3.924225413334965)</f>
        <v>-3.924225413</v>
      </c>
      <c r="G141" s="17">
        <f>IFERROR(__xludf.DUMMYFUNCTION("""COMPUTED_VALUE"""),-0.2953256327499388)</f>
        <v>-0.2953256327</v>
      </c>
      <c r="H141" s="4"/>
      <c r="I141" s="5"/>
      <c r="J141" s="5"/>
      <c r="K141" s="5"/>
      <c r="L141" s="5"/>
      <c r="M141" s="5"/>
      <c r="N141" s="5"/>
      <c r="O141" s="5"/>
    </row>
    <row r="142">
      <c r="A142" s="18" t="str">
        <f>IFERROR(__xludf.DUMMYFUNCTION("""COMPUTED_VALUE"""),"Josh Powell")</f>
        <v>Josh Powell</v>
      </c>
      <c r="B142" s="19" t="str">
        <f>IFERROR(__xludf.DUMMYFUNCTION("""COMPUTED_VALUE"""),"AGU")</f>
        <v>AGU</v>
      </c>
      <c r="C142" s="20">
        <f>IFERROR(__xludf.DUMMYFUNCTION("""COMPUTED_VALUE"""),537.6)</f>
        <v>537.6</v>
      </c>
      <c r="D142" s="21">
        <f>IFERROR(__xludf.DUMMYFUNCTION("""COMPUTED_VALUE"""),-3.6594132408208457)</f>
        <v>-3.659413241</v>
      </c>
      <c r="E142" s="21">
        <f>IFERROR(__xludf.DUMMYFUNCTION("""COMPUTED_VALUE"""),-0.30810283905276137)</f>
        <v>-0.3081028391</v>
      </c>
      <c r="F142" s="21">
        <f>IFERROR(__xludf.DUMMYFUNCTION("""COMPUTED_VALUE"""),-3.967516079873607)</f>
        <v>-3.96751608</v>
      </c>
      <c r="G142" s="23">
        <f>IFERROR(__xludf.DUMMYFUNCTION("""COMPUTED_VALUE"""),-0.3254590127180741)</f>
        <v>-0.3254590127</v>
      </c>
      <c r="H142" s="4"/>
      <c r="I142" s="5"/>
      <c r="J142" s="5"/>
      <c r="K142" s="5"/>
      <c r="L142" s="5"/>
      <c r="M142" s="5"/>
      <c r="N142" s="5"/>
      <c r="O142" s="5"/>
    </row>
    <row r="143">
      <c r="A143" s="12" t="str">
        <f>IFERROR(__xludf.DUMMYFUNCTION("""COMPUTED_VALUE"""),"Matt Lopez")</f>
        <v>Matt Lopez</v>
      </c>
      <c r="B143" s="13" t="str">
        <f>IFERROR(__xludf.DUMMYFUNCTION("""COMPUTED_VALUE"""),"AGU")</f>
        <v>AGU</v>
      </c>
      <c r="C143" s="14">
        <f>IFERROR(__xludf.DUMMYFUNCTION("""COMPUTED_VALUE"""),230.2)</f>
        <v>230.2</v>
      </c>
      <c r="D143" s="15">
        <f>IFERROR(__xludf.DUMMYFUNCTION("""COMPUTED_VALUE"""),-2.908896515294206)</f>
        <v>-2.908896515</v>
      </c>
      <c r="E143" s="15">
        <f>IFERROR(__xludf.DUMMYFUNCTION("""COMPUTED_VALUE"""),-1.1756658552244375)</f>
        <v>-1.175665855</v>
      </c>
      <c r="F143" s="15">
        <f>IFERROR(__xludf.DUMMYFUNCTION("""COMPUTED_VALUE"""),-4.084562370518643)</f>
        <v>-4.084562371</v>
      </c>
      <c r="G143" s="17">
        <f>IFERROR(__xludf.DUMMYFUNCTION("""COMPUTED_VALUE"""),-0.14765187466254467)</f>
        <v>-0.1476518747</v>
      </c>
      <c r="H143" s="4"/>
      <c r="I143" s="5"/>
      <c r="J143" s="5"/>
      <c r="K143" s="5"/>
      <c r="L143" s="5"/>
      <c r="M143" s="5"/>
      <c r="N143" s="5"/>
      <c r="O143" s="5"/>
    </row>
    <row r="144">
      <c r="A144" s="18" t="str">
        <f>IFERROR(__xludf.DUMMYFUNCTION("""COMPUTED_VALUE"""),"Angel Matias")</f>
        <v>Angel Matias</v>
      </c>
      <c r="B144" s="19" t="str">
        <f>IFERROR(__xludf.DUMMYFUNCTION("""COMPUTED_VALUE"""),"CAP")</f>
        <v>CAP</v>
      </c>
      <c r="C144" s="20">
        <f>IFERROR(__xludf.DUMMYFUNCTION("""COMPUTED_VALUE"""),287.5)</f>
        <v>287.5</v>
      </c>
      <c r="D144" s="21">
        <f>IFERROR(__xludf.DUMMYFUNCTION("""COMPUTED_VALUE"""),-4.282183493264146)</f>
        <v>-4.282183493</v>
      </c>
      <c r="E144" s="21">
        <f>IFERROR(__xludf.DUMMYFUNCTION("""COMPUTED_VALUE"""),-0.04977203918125639)</f>
        <v>-0.04977203918</v>
      </c>
      <c r="F144" s="21">
        <f>IFERROR(__xludf.DUMMYFUNCTION("""COMPUTED_VALUE"""),-4.331955532445402)</f>
        <v>-4.331955532</v>
      </c>
      <c r="G144" s="23">
        <f>IFERROR(__xludf.DUMMYFUNCTION("""COMPUTED_VALUE"""),-0.2058210456021716)</f>
        <v>-0.2058210456</v>
      </c>
      <c r="H144" s="4"/>
      <c r="I144" s="5"/>
      <c r="J144" s="5"/>
      <c r="K144" s="5"/>
      <c r="L144" s="5"/>
      <c r="M144" s="5"/>
      <c r="N144" s="5"/>
      <c r="O144" s="5"/>
    </row>
    <row r="145">
      <c r="A145" s="12" t="str">
        <f>IFERROR(__xludf.DUMMYFUNCTION("""COMPUTED_VALUE"""),"Gaby Belardo")</f>
        <v>Gaby Belardo</v>
      </c>
      <c r="B145" s="13" t="str">
        <f>IFERROR(__xludf.DUMMYFUNCTION("""COMPUTED_VALUE"""),"LEO")</f>
        <v>LEO</v>
      </c>
      <c r="C145" s="14">
        <f>IFERROR(__xludf.DUMMYFUNCTION("""COMPUTED_VALUE"""),343.4)</f>
        <v>343.4</v>
      </c>
      <c r="D145" s="15">
        <f>IFERROR(__xludf.DUMMYFUNCTION("""COMPUTED_VALUE"""),-1.993852796159363)</f>
        <v>-1.993852796</v>
      </c>
      <c r="E145" s="15">
        <f>IFERROR(__xludf.DUMMYFUNCTION("""COMPUTED_VALUE"""),-2.5943454923596203)</f>
        <v>-2.594345492</v>
      </c>
      <c r="F145" s="15">
        <f>IFERROR(__xludf.DUMMYFUNCTION("""COMPUTED_VALUE"""),-4.588198288518983)</f>
        <v>-4.588198289</v>
      </c>
      <c r="G145" s="17">
        <f>IFERROR(__xludf.DUMMYFUNCTION("""COMPUTED_VALUE"""),-0.2835464652089901)</f>
        <v>-0.2835464652</v>
      </c>
      <c r="H145" s="4"/>
      <c r="I145" s="5"/>
      <c r="J145" s="5"/>
      <c r="K145" s="5"/>
      <c r="L145" s="5"/>
      <c r="M145" s="5"/>
      <c r="N145" s="5"/>
      <c r="O145" s="5"/>
    </row>
    <row r="146">
      <c r="A146" s="18" t="str">
        <f>IFERROR(__xludf.DUMMYFUNCTION("""COMPUTED_VALUE"""),"Edwin Ubiles")</f>
        <v>Edwin Ubiles</v>
      </c>
      <c r="B146" s="19" t="str">
        <f>IFERROR(__xludf.DUMMYFUNCTION("""COMPUTED_VALUE"""),"LEO")</f>
        <v>LEO</v>
      </c>
      <c r="C146" s="20">
        <f>IFERROR(__xludf.DUMMYFUNCTION("""COMPUTED_VALUE"""),252.0)</f>
        <v>252</v>
      </c>
      <c r="D146" s="21">
        <f>IFERROR(__xludf.DUMMYFUNCTION("""COMPUTED_VALUE"""),-3.44198066408249)</f>
        <v>-3.441980664</v>
      </c>
      <c r="E146" s="21">
        <f>IFERROR(__xludf.DUMMYFUNCTION("""COMPUTED_VALUE"""),-1.3134576988111815)</f>
        <v>-1.313457699</v>
      </c>
      <c r="F146" s="21">
        <f>IFERROR(__xludf.DUMMYFUNCTION("""COMPUTED_VALUE"""),-4.755438362893671)</f>
        <v>-4.755438363</v>
      </c>
      <c r="G146" s="23">
        <f>IFERROR(__xludf.DUMMYFUNCTION("""COMPUTED_VALUE"""),-0.2215223972051141)</f>
        <v>-0.2215223972</v>
      </c>
      <c r="H146" s="4"/>
      <c r="I146" s="5"/>
      <c r="J146" s="5"/>
      <c r="K146" s="5"/>
      <c r="L146" s="5"/>
      <c r="M146" s="5"/>
      <c r="N146" s="5"/>
      <c r="O146" s="5"/>
    </row>
    <row r="147">
      <c r="A147" s="12" t="str">
        <f>IFERROR(__xludf.DUMMYFUNCTION("""COMPUTED_VALUE"""),"Juan Ramon Rivas")</f>
        <v>Juan Ramon Rivas</v>
      </c>
      <c r="B147" s="13" t="str">
        <f>IFERROR(__xludf.DUMMYFUNCTION("""COMPUTED_VALUE"""),"AGU")</f>
        <v>AGU</v>
      </c>
      <c r="C147" s="14">
        <f>IFERROR(__xludf.DUMMYFUNCTION("""COMPUTED_VALUE"""),354.4)</f>
        <v>354.4</v>
      </c>
      <c r="D147" s="15">
        <f>IFERROR(__xludf.DUMMYFUNCTION("""COMPUTED_VALUE"""),-3.310853146490644)</f>
        <v>-3.310853146</v>
      </c>
      <c r="E147" s="15">
        <f>IFERROR(__xludf.DUMMYFUNCTION("""COMPUTED_VALUE"""),-1.506402072251388)</f>
        <v>-1.506402072</v>
      </c>
      <c r="F147" s="15">
        <f>IFERROR(__xludf.DUMMYFUNCTION("""COMPUTED_VALUE"""),-4.817255218742032)</f>
        <v>-4.817255219</v>
      </c>
      <c r="G147" s="17">
        <f>IFERROR(__xludf.DUMMYFUNCTION("""COMPUTED_VALUE"""),-0.307212340850414)</f>
        <v>-0.3072123409</v>
      </c>
      <c r="H147" s="4"/>
      <c r="I147" s="5"/>
      <c r="J147" s="5"/>
      <c r="K147" s="5"/>
      <c r="L147" s="5"/>
      <c r="M147" s="5"/>
      <c r="N147" s="5"/>
      <c r="O147" s="5"/>
    </row>
    <row r="148">
      <c r="A148" s="18" t="str">
        <f>IFERROR(__xludf.DUMMYFUNCTION("""COMPUTED_VALUE"""),"Jezreel De Jesus")</f>
        <v>Jezreel De Jesus</v>
      </c>
      <c r="B148" s="19" t="str">
        <f>IFERROR(__xludf.DUMMYFUNCTION("""COMPUTED_VALUE"""),"CAC")</f>
        <v>CAC</v>
      </c>
      <c r="C148" s="20">
        <f>IFERROR(__xludf.DUMMYFUNCTION("""COMPUTED_VALUE"""),456.79999999999995)</f>
        <v>456.8</v>
      </c>
      <c r="D148" s="21">
        <f>IFERROR(__xludf.DUMMYFUNCTION("""COMPUTED_VALUE"""),-3.061425283898252)</f>
        <v>-3.061425284</v>
      </c>
      <c r="E148" s="21">
        <f>IFERROR(__xludf.DUMMYFUNCTION("""COMPUTED_VALUE"""),-1.7682729952866194)</f>
        <v>-1.768272995</v>
      </c>
      <c r="F148" s="21">
        <f>IFERROR(__xludf.DUMMYFUNCTION("""COMPUTED_VALUE"""),-4.829698279184871)</f>
        <v>-4.829698279</v>
      </c>
      <c r="G148" s="23">
        <f>IFERROR(__xludf.DUMMYFUNCTION("""COMPUTED_VALUE"""),-0.4239483532298928)</f>
        <v>-0.4239483532</v>
      </c>
      <c r="H148" s="4"/>
      <c r="I148" s="5"/>
      <c r="J148" s="5"/>
      <c r="K148" s="5"/>
      <c r="L148" s="5"/>
      <c r="M148" s="5"/>
      <c r="N148" s="5"/>
      <c r="O148" s="5"/>
    </row>
    <row r="149">
      <c r="A149" s="12" t="str">
        <f>IFERROR(__xludf.DUMMYFUNCTION("""COMPUTED_VALUE"""),"Andres Torres")</f>
        <v>Andres Torres</v>
      </c>
      <c r="B149" s="13" t="str">
        <f>IFERROR(__xludf.DUMMYFUNCTION("""COMPUTED_VALUE"""),"LEO")</f>
        <v>LEO</v>
      </c>
      <c r="C149" s="14">
        <f>IFERROR(__xludf.DUMMYFUNCTION("""COMPUTED_VALUE"""),218.6)</f>
        <v>218.6</v>
      </c>
      <c r="D149" s="15">
        <f>IFERROR(__xludf.DUMMYFUNCTION("""COMPUTED_VALUE"""),-3.018342344880959)</f>
        <v>-3.018342345</v>
      </c>
      <c r="E149" s="15">
        <f>IFERROR(__xludf.DUMMYFUNCTION("""COMPUTED_VALUE"""),-2.21470444850352)</f>
        <v>-2.214704449</v>
      </c>
      <c r="F149" s="15">
        <f>IFERROR(__xludf.DUMMYFUNCTION("""COMPUTED_VALUE"""),-5.233046793384479)</f>
        <v>-5.233046793</v>
      </c>
      <c r="G149" s="17">
        <f>IFERROR(__xludf.DUMMYFUNCTION("""COMPUTED_VALUE"""),-0.2254698879938054)</f>
        <v>-0.225469888</v>
      </c>
      <c r="H149" s="4"/>
      <c r="I149" s="5"/>
      <c r="J149" s="5"/>
      <c r="K149" s="5"/>
      <c r="L149" s="5"/>
      <c r="M149" s="5"/>
      <c r="N149" s="5"/>
      <c r="O149" s="5"/>
    </row>
    <row r="150">
      <c r="A150" s="18" t="str">
        <f>IFERROR(__xludf.DUMMYFUNCTION("""COMPUTED_VALUE"""),"Alonzo Gee")</f>
        <v>Alonzo Gee</v>
      </c>
      <c r="B150" s="19" t="str">
        <f>IFERROR(__xludf.DUMMYFUNCTION("""COMPUTED_VALUE"""),"CAC")</f>
        <v>CAC</v>
      </c>
      <c r="C150" s="20">
        <f>IFERROR(__xludf.DUMMYFUNCTION("""COMPUTED_VALUE"""),361.4)</f>
        <v>361.4</v>
      </c>
      <c r="D150" s="21">
        <f>IFERROR(__xludf.DUMMYFUNCTION("""COMPUTED_VALUE"""),-3.3920742903141923)</f>
        <v>-3.39207429</v>
      </c>
      <c r="E150" s="21">
        <f>IFERROR(__xludf.DUMMYFUNCTION("""COMPUTED_VALUE"""),-2.0642117801551283)</f>
        <v>-2.06421178</v>
      </c>
      <c r="F150" s="21">
        <f>IFERROR(__xludf.DUMMYFUNCTION("""COMPUTED_VALUE"""),-5.456286070469321)</f>
        <v>-5.45628607</v>
      </c>
      <c r="G150" s="23">
        <f>IFERROR(__xludf.DUMMYFUNCTION("""COMPUTED_VALUE"""),-0.40967980488935407)</f>
        <v>-0.4096798049</v>
      </c>
      <c r="H150" s="4"/>
      <c r="I150" s="5"/>
      <c r="J150" s="5"/>
      <c r="K150" s="5"/>
      <c r="L150" s="5"/>
      <c r="M150" s="5"/>
      <c r="N150" s="5"/>
      <c r="O150" s="5"/>
    </row>
    <row r="151">
      <c r="A151" s="12" t="str">
        <f>IFERROR(__xludf.DUMMYFUNCTION("""COMPUTED_VALUE"""),"Will Martinez")</f>
        <v>Will Martinez</v>
      </c>
      <c r="B151" s="13" t="str">
        <f>IFERROR(__xludf.DUMMYFUNCTION("""COMPUTED_VALUE"""),"LEO")</f>
        <v>LEO</v>
      </c>
      <c r="C151" s="14">
        <f>IFERROR(__xludf.DUMMYFUNCTION("""COMPUTED_VALUE"""),210.9)</f>
        <v>210.9</v>
      </c>
      <c r="D151" s="15">
        <f>IFERROR(__xludf.DUMMYFUNCTION("""COMPUTED_VALUE"""),-3.1050263702326473)</f>
        <v>-3.10502637</v>
      </c>
      <c r="E151" s="15">
        <f>IFERROR(__xludf.DUMMYFUNCTION("""COMPUTED_VALUE"""),-2.6991533429153516)</f>
        <v>-2.699153343</v>
      </c>
      <c r="F151" s="15">
        <f>IFERROR(__xludf.DUMMYFUNCTION("""COMPUTED_VALUE"""),-5.804179713147999)</f>
        <v>-5.804179713</v>
      </c>
      <c r="G151" s="17">
        <f>IFERROR(__xludf.DUMMYFUNCTION("""COMPUTED_VALUE"""),-0.25595522883782346)</f>
        <v>-0.2559552288</v>
      </c>
      <c r="H151" s="4"/>
      <c r="I151" s="5"/>
      <c r="J151" s="5"/>
      <c r="K151" s="5"/>
      <c r="L151" s="5"/>
      <c r="M151" s="5"/>
      <c r="N151" s="5"/>
      <c r="O151" s="5"/>
    </row>
    <row r="152">
      <c r="A152" s="18" t="str">
        <f>IFERROR(__xludf.DUMMYFUNCTION("""COMPUTED_VALUE"""),"Marcus D. Williams")</f>
        <v>Marcus D. Williams</v>
      </c>
      <c r="B152" s="19" t="str">
        <f>IFERROR(__xludf.DUMMYFUNCTION("""COMPUTED_VALUE"""),"PIR")</f>
        <v>PIR</v>
      </c>
      <c r="C152" s="20">
        <f>IFERROR(__xludf.DUMMYFUNCTION("""COMPUTED_VALUE"""),448.7)</f>
        <v>448.7</v>
      </c>
      <c r="D152" s="21">
        <f>IFERROR(__xludf.DUMMYFUNCTION("""COMPUTED_VALUE"""),-3.8952246107064816)</f>
        <v>-3.895224611</v>
      </c>
      <c r="E152" s="21">
        <f>IFERROR(__xludf.DUMMYFUNCTION("""COMPUTED_VALUE"""),-2.2154716483077594)</f>
        <v>-2.215471648</v>
      </c>
      <c r="F152" s="21">
        <f>IFERROR(__xludf.DUMMYFUNCTION("""COMPUTED_VALUE"""),-6.110696259014241)</f>
        <v>-6.110696259</v>
      </c>
      <c r="G152" s="23">
        <f>IFERROR(__xludf.DUMMYFUNCTION("""COMPUTED_VALUE"""),-0.5919286264220053)</f>
        <v>-0.5919286264</v>
      </c>
      <c r="H152" s="4"/>
      <c r="I152" s="5"/>
      <c r="J152" s="5"/>
      <c r="K152" s="5"/>
      <c r="L152" s="5"/>
      <c r="M152" s="5"/>
      <c r="N152" s="5"/>
      <c r="O152" s="5"/>
    </row>
    <row r="153">
      <c r="A153" s="12" t="str">
        <f>IFERROR(__xludf.DUMMYFUNCTION("""COMPUTED_VALUE"""),"Angel Alamo")</f>
        <v>Angel Alamo</v>
      </c>
      <c r="B153" s="13" t="str">
        <f>IFERROR(__xludf.DUMMYFUNCTION("""COMPUTED_VALUE"""),"PIR")</f>
        <v>PIR</v>
      </c>
      <c r="C153" s="14">
        <f>IFERROR(__xludf.DUMMYFUNCTION("""COMPUTED_VALUE"""),613.5)</f>
        <v>613.5</v>
      </c>
      <c r="D153" s="15">
        <f>IFERROR(__xludf.DUMMYFUNCTION("""COMPUTED_VALUE"""),-5.041700041281656)</f>
        <v>-5.041700041</v>
      </c>
      <c r="E153" s="15">
        <f>IFERROR(__xludf.DUMMYFUNCTION("""COMPUTED_VALUE"""),-1.1883630689232865)</f>
        <v>-1.188363069</v>
      </c>
      <c r="F153" s="15">
        <f>IFERROR(__xludf.DUMMYFUNCTION("""COMPUTED_VALUE"""),-6.230063110204942)</f>
        <v>-6.23006311</v>
      </c>
      <c r="G153" s="17">
        <f>IFERROR(__xludf.DUMMYFUNCTION("""COMPUTED_VALUE"""),-0.8328356365891766)</f>
        <v>-0.8328356366</v>
      </c>
      <c r="H153" s="4"/>
      <c r="I153" s="5"/>
      <c r="J153" s="5"/>
      <c r="K153" s="5"/>
      <c r="L153" s="5"/>
      <c r="M153" s="5"/>
      <c r="N153" s="5"/>
      <c r="O153" s="5"/>
    </row>
    <row r="154">
      <c r="A154" s="18" t="str">
        <f>IFERROR(__xludf.DUMMYFUNCTION("""COMPUTED_VALUE"""),"Jarrid Famous")</f>
        <v>Jarrid Famous</v>
      </c>
      <c r="B154" s="19" t="str">
        <f>IFERROR(__xludf.DUMMYFUNCTION("""COMPUTED_VALUE"""),"ATL")</f>
        <v>ATL</v>
      </c>
      <c r="C154" s="20">
        <f>IFERROR(__xludf.DUMMYFUNCTION("""COMPUTED_VALUE"""),303.6)</f>
        <v>303.6</v>
      </c>
      <c r="D154" s="21">
        <f>IFERROR(__xludf.DUMMYFUNCTION("""COMPUTED_VALUE"""),-4.64019960427964)</f>
        <v>-4.640199604</v>
      </c>
      <c r="E154" s="21">
        <f>IFERROR(__xludf.DUMMYFUNCTION("""COMPUTED_VALUE"""),-1.930792492138151)</f>
        <v>-1.930792492</v>
      </c>
      <c r="F154" s="21">
        <f>IFERROR(__xludf.DUMMYFUNCTION("""COMPUTED_VALUE"""),-6.570992096417791)</f>
        <v>-6.570992096</v>
      </c>
      <c r="G154" s="23">
        <f>IFERROR(__xludf.DUMMYFUNCTION("""COMPUTED_VALUE"""),-0.4627534594213223)</f>
        <v>-0.4627534594</v>
      </c>
      <c r="H154" s="4"/>
      <c r="I154" s="5"/>
      <c r="J154" s="5"/>
      <c r="K154" s="5"/>
      <c r="L154" s="5"/>
      <c r="M154" s="5"/>
      <c r="N154" s="5"/>
      <c r="O154" s="5"/>
    </row>
    <row r="155">
      <c r="A155" s="12" t="str">
        <f>IFERROR(__xludf.DUMMYFUNCTION("""COMPUTED_VALUE"""),"")</f>
        <v/>
      </c>
      <c r="B155" s="13" t="str">
        <f>IFERROR(__xludf.DUMMYFUNCTION("""COMPUTED_VALUE"""),"")</f>
        <v/>
      </c>
      <c r="C155" s="14" t="str">
        <f>IFERROR(__xludf.DUMMYFUNCTION("""COMPUTED_VALUE"""),"")</f>
        <v/>
      </c>
      <c r="D155" s="15" t="str">
        <f>IFERROR(__xludf.DUMMYFUNCTION("""COMPUTED_VALUE"""),"")</f>
        <v/>
      </c>
      <c r="E155" s="15" t="str">
        <f>IFERROR(__xludf.DUMMYFUNCTION("""COMPUTED_VALUE"""),"")</f>
        <v/>
      </c>
      <c r="F155" s="15" t="str">
        <f>IFERROR(__xludf.DUMMYFUNCTION("""COMPUTED_VALUE"""),"")</f>
        <v/>
      </c>
      <c r="G155" s="17" t="str">
        <f>IFERROR(__xludf.DUMMYFUNCTION("""COMPUTED_VALUE"""),"")</f>
        <v/>
      </c>
      <c r="H155" s="4"/>
      <c r="I155" s="5"/>
      <c r="J155" s="5"/>
      <c r="K155" s="5"/>
      <c r="L155" s="5"/>
      <c r="M155" s="5"/>
      <c r="N155" s="5"/>
      <c r="O155" s="5"/>
    </row>
    <row r="156">
      <c r="A156" s="18" t="str">
        <f>IFERROR(__xludf.DUMMYFUNCTION("""COMPUTED_VALUE"""),"")</f>
        <v/>
      </c>
      <c r="B156" s="19" t="str">
        <f>IFERROR(__xludf.DUMMYFUNCTION("""COMPUTED_VALUE"""),"")</f>
        <v/>
      </c>
      <c r="C156" s="20" t="str">
        <f>IFERROR(__xludf.DUMMYFUNCTION("""COMPUTED_VALUE"""),"")</f>
        <v/>
      </c>
      <c r="D156" s="21" t="str">
        <f>IFERROR(__xludf.DUMMYFUNCTION("""COMPUTED_VALUE"""),"")</f>
        <v/>
      </c>
      <c r="E156" s="21" t="str">
        <f>IFERROR(__xludf.DUMMYFUNCTION("""COMPUTED_VALUE"""),"")</f>
        <v/>
      </c>
      <c r="F156" s="21" t="str">
        <f>IFERROR(__xludf.DUMMYFUNCTION("""COMPUTED_VALUE"""),"")</f>
        <v/>
      </c>
      <c r="G156" s="23" t="str">
        <f>IFERROR(__xludf.DUMMYFUNCTION("""COMPUTED_VALUE"""),"")</f>
        <v/>
      </c>
      <c r="H156" s="4"/>
      <c r="I156" s="5"/>
      <c r="J156" s="5"/>
      <c r="K156" s="5"/>
      <c r="L156" s="5"/>
      <c r="M156" s="5"/>
      <c r="N156" s="5"/>
      <c r="O156" s="5"/>
    </row>
    <row r="157">
      <c r="A157" s="12" t="str">
        <f>IFERROR(__xludf.DUMMYFUNCTION("""COMPUTED_VALUE"""),"")</f>
        <v/>
      </c>
      <c r="B157" s="13" t="str">
        <f>IFERROR(__xludf.DUMMYFUNCTION("""COMPUTED_VALUE"""),"")</f>
        <v/>
      </c>
      <c r="C157" s="14" t="str">
        <f>IFERROR(__xludf.DUMMYFUNCTION("""COMPUTED_VALUE"""),"")</f>
        <v/>
      </c>
      <c r="D157" s="15" t="str">
        <f>IFERROR(__xludf.DUMMYFUNCTION("""COMPUTED_VALUE"""),"")</f>
        <v/>
      </c>
      <c r="E157" s="15" t="str">
        <f>IFERROR(__xludf.DUMMYFUNCTION("""COMPUTED_VALUE"""),"")</f>
        <v/>
      </c>
      <c r="F157" s="15" t="str">
        <f>IFERROR(__xludf.DUMMYFUNCTION("""COMPUTED_VALUE"""),"")</f>
        <v/>
      </c>
      <c r="G157" s="17" t="str">
        <f>IFERROR(__xludf.DUMMYFUNCTION("""COMPUTED_VALUE"""),"")</f>
        <v/>
      </c>
      <c r="H157" s="4"/>
      <c r="I157" s="5"/>
      <c r="J157" s="5"/>
      <c r="K157" s="5"/>
      <c r="L157" s="5"/>
      <c r="M157" s="5"/>
      <c r="N157" s="5"/>
      <c r="O157" s="5"/>
    </row>
    <row r="158">
      <c r="A158" s="18" t="str">
        <f>IFERROR(__xludf.DUMMYFUNCTION("""COMPUTED_VALUE"""),"")</f>
        <v/>
      </c>
      <c r="B158" s="19" t="str">
        <f>IFERROR(__xludf.DUMMYFUNCTION("""COMPUTED_VALUE"""),"")</f>
        <v/>
      </c>
      <c r="C158" s="20" t="str">
        <f>IFERROR(__xludf.DUMMYFUNCTION("""COMPUTED_VALUE"""),"")</f>
        <v/>
      </c>
      <c r="D158" s="21" t="str">
        <f>IFERROR(__xludf.DUMMYFUNCTION("""COMPUTED_VALUE"""),"")</f>
        <v/>
      </c>
      <c r="E158" s="21" t="str">
        <f>IFERROR(__xludf.DUMMYFUNCTION("""COMPUTED_VALUE"""),"")</f>
        <v/>
      </c>
      <c r="F158" s="21" t="str">
        <f>IFERROR(__xludf.DUMMYFUNCTION("""COMPUTED_VALUE"""),"")</f>
        <v/>
      </c>
      <c r="G158" s="23" t="str">
        <f>IFERROR(__xludf.DUMMYFUNCTION("""COMPUTED_VALUE"""),"")</f>
        <v/>
      </c>
      <c r="H158" s="4"/>
      <c r="I158" s="5"/>
      <c r="J158" s="5"/>
      <c r="K158" s="5"/>
      <c r="L158" s="5"/>
      <c r="M158" s="5"/>
      <c r="N158" s="5"/>
      <c r="O158" s="5"/>
    </row>
    <row r="159">
      <c r="A159" s="12" t="str">
        <f>IFERROR(__xludf.DUMMYFUNCTION("""COMPUTED_VALUE"""),"")</f>
        <v/>
      </c>
      <c r="B159" s="13" t="str">
        <f>IFERROR(__xludf.DUMMYFUNCTION("""COMPUTED_VALUE"""),"")</f>
        <v/>
      </c>
      <c r="C159" s="14" t="str">
        <f>IFERROR(__xludf.DUMMYFUNCTION("""COMPUTED_VALUE"""),"")</f>
        <v/>
      </c>
      <c r="D159" s="15" t="str">
        <f>IFERROR(__xludf.DUMMYFUNCTION("""COMPUTED_VALUE"""),"")</f>
        <v/>
      </c>
      <c r="E159" s="15" t="str">
        <f>IFERROR(__xludf.DUMMYFUNCTION("""COMPUTED_VALUE"""),"")</f>
        <v/>
      </c>
      <c r="F159" s="15" t="str">
        <f>IFERROR(__xludf.DUMMYFUNCTION("""COMPUTED_VALUE"""),"")</f>
        <v/>
      </c>
      <c r="G159" s="17" t="str">
        <f>IFERROR(__xludf.DUMMYFUNCTION("""COMPUTED_VALUE"""),"")</f>
        <v/>
      </c>
      <c r="H159" s="4"/>
      <c r="I159" s="5"/>
      <c r="J159" s="5"/>
      <c r="K159" s="5"/>
      <c r="L159" s="5"/>
      <c r="M159" s="5"/>
      <c r="N159" s="5"/>
      <c r="O159" s="5"/>
    </row>
    <row r="160">
      <c r="A160" s="18" t="str">
        <f>IFERROR(__xludf.DUMMYFUNCTION("""COMPUTED_VALUE"""),"")</f>
        <v/>
      </c>
      <c r="B160" s="19" t="str">
        <f>IFERROR(__xludf.DUMMYFUNCTION("""COMPUTED_VALUE"""),"")</f>
        <v/>
      </c>
      <c r="C160" s="20" t="str">
        <f>IFERROR(__xludf.DUMMYFUNCTION("""COMPUTED_VALUE"""),"")</f>
        <v/>
      </c>
      <c r="D160" s="21" t="str">
        <f>IFERROR(__xludf.DUMMYFUNCTION("""COMPUTED_VALUE"""),"")</f>
        <v/>
      </c>
      <c r="E160" s="21" t="str">
        <f>IFERROR(__xludf.DUMMYFUNCTION("""COMPUTED_VALUE"""),"")</f>
        <v/>
      </c>
      <c r="F160" s="21" t="str">
        <f>IFERROR(__xludf.DUMMYFUNCTION("""COMPUTED_VALUE"""),"")</f>
        <v/>
      </c>
      <c r="G160" s="23" t="str">
        <f>IFERROR(__xludf.DUMMYFUNCTION("""COMPUTED_VALUE"""),"")</f>
        <v/>
      </c>
      <c r="H160" s="4"/>
      <c r="I160" s="5"/>
      <c r="J160" s="5"/>
      <c r="K160" s="5"/>
      <c r="L160" s="5"/>
      <c r="M160" s="5"/>
      <c r="N160" s="5"/>
      <c r="O160" s="5"/>
    </row>
    <row r="161">
      <c r="A161" s="12" t="str">
        <f>IFERROR(__xludf.DUMMYFUNCTION("""COMPUTED_VALUE"""),"")</f>
        <v/>
      </c>
      <c r="B161" s="13" t="str">
        <f>IFERROR(__xludf.DUMMYFUNCTION("""COMPUTED_VALUE"""),"")</f>
        <v/>
      </c>
      <c r="C161" s="14" t="str">
        <f>IFERROR(__xludf.DUMMYFUNCTION("""COMPUTED_VALUE"""),"")</f>
        <v/>
      </c>
      <c r="D161" s="15" t="str">
        <f>IFERROR(__xludf.DUMMYFUNCTION("""COMPUTED_VALUE"""),"")</f>
        <v/>
      </c>
      <c r="E161" s="15" t="str">
        <f>IFERROR(__xludf.DUMMYFUNCTION("""COMPUTED_VALUE"""),"")</f>
        <v/>
      </c>
      <c r="F161" s="15" t="str">
        <f>IFERROR(__xludf.DUMMYFUNCTION("""COMPUTED_VALUE"""),"")</f>
        <v/>
      </c>
      <c r="G161" s="17" t="str">
        <f>IFERROR(__xludf.DUMMYFUNCTION("""COMPUTED_VALUE"""),"")</f>
        <v/>
      </c>
      <c r="H161" s="4"/>
      <c r="I161" s="5"/>
      <c r="J161" s="5"/>
      <c r="K161" s="5"/>
      <c r="L161" s="5"/>
      <c r="M161" s="5"/>
      <c r="N161" s="5"/>
      <c r="O161" s="5"/>
    </row>
    <row r="162">
      <c r="A162" s="18" t="str">
        <f>IFERROR(__xludf.DUMMYFUNCTION("""COMPUTED_VALUE"""),"")</f>
        <v/>
      </c>
      <c r="B162" s="19" t="str">
        <f>IFERROR(__xludf.DUMMYFUNCTION("""COMPUTED_VALUE"""),"")</f>
        <v/>
      </c>
      <c r="C162" s="20" t="str">
        <f>IFERROR(__xludf.DUMMYFUNCTION("""COMPUTED_VALUE"""),"")</f>
        <v/>
      </c>
      <c r="D162" s="21" t="str">
        <f>IFERROR(__xludf.DUMMYFUNCTION("""COMPUTED_VALUE"""),"")</f>
        <v/>
      </c>
      <c r="E162" s="21" t="str">
        <f>IFERROR(__xludf.DUMMYFUNCTION("""COMPUTED_VALUE"""),"")</f>
        <v/>
      </c>
      <c r="F162" s="21" t="str">
        <f>IFERROR(__xludf.DUMMYFUNCTION("""COMPUTED_VALUE"""),"")</f>
        <v/>
      </c>
      <c r="G162" s="23" t="str">
        <f>IFERROR(__xludf.DUMMYFUNCTION("""COMPUTED_VALUE"""),"")</f>
        <v/>
      </c>
      <c r="H162" s="4"/>
      <c r="I162" s="5"/>
      <c r="J162" s="5"/>
      <c r="K162" s="5"/>
      <c r="L162" s="5"/>
      <c r="M162" s="5"/>
      <c r="N162" s="5"/>
      <c r="O162" s="5"/>
    </row>
    <row r="163">
      <c r="A163" s="12" t="str">
        <f>IFERROR(__xludf.DUMMYFUNCTION("""COMPUTED_VALUE"""),"")</f>
        <v/>
      </c>
      <c r="B163" s="13" t="str">
        <f>IFERROR(__xludf.DUMMYFUNCTION("""COMPUTED_VALUE"""),"")</f>
        <v/>
      </c>
      <c r="C163" s="14" t="str">
        <f>IFERROR(__xludf.DUMMYFUNCTION("""COMPUTED_VALUE"""),"")</f>
        <v/>
      </c>
      <c r="D163" s="15" t="str">
        <f>IFERROR(__xludf.DUMMYFUNCTION("""COMPUTED_VALUE"""),"")</f>
        <v/>
      </c>
      <c r="E163" s="15" t="str">
        <f>IFERROR(__xludf.DUMMYFUNCTION("""COMPUTED_VALUE"""),"")</f>
        <v/>
      </c>
      <c r="F163" s="15" t="str">
        <f>IFERROR(__xludf.DUMMYFUNCTION("""COMPUTED_VALUE"""),"")</f>
        <v/>
      </c>
      <c r="G163" s="17" t="str">
        <f>IFERROR(__xludf.DUMMYFUNCTION("""COMPUTED_VALUE"""),"")</f>
        <v/>
      </c>
      <c r="H163" s="4"/>
      <c r="I163" s="5"/>
      <c r="J163" s="5"/>
      <c r="K163" s="5"/>
      <c r="L163" s="5"/>
      <c r="M163" s="5"/>
      <c r="N163" s="5"/>
      <c r="O163" s="5"/>
    </row>
    <row r="164">
      <c r="A164" s="18" t="str">
        <f>IFERROR(__xludf.DUMMYFUNCTION("""COMPUTED_VALUE"""),"")</f>
        <v/>
      </c>
      <c r="B164" s="19" t="str">
        <f>IFERROR(__xludf.DUMMYFUNCTION("""COMPUTED_VALUE"""),"")</f>
        <v/>
      </c>
      <c r="C164" s="20" t="str">
        <f>IFERROR(__xludf.DUMMYFUNCTION("""COMPUTED_VALUE"""),"")</f>
        <v/>
      </c>
      <c r="D164" s="21" t="str">
        <f>IFERROR(__xludf.DUMMYFUNCTION("""COMPUTED_VALUE"""),"")</f>
        <v/>
      </c>
      <c r="E164" s="21" t="str">
        <f>IFERROR(__xludf.DUMMYFUNCTION("""COMPUTED_VALUE"""),"")</f>
        <v/>
      </c>
      <c r="F164" s="21" t="str">
        <f>IFERROR(__xludf.DUMMYFUNCTION("""COMPUTED_VALUE"""),"")</f>
        <v/>
      </c>
      <c r="G164" s="23" t="str">
        <f>IFERROR(__xludf.DUMMYFUNCTION("""COMPUTED_VALUE"""),"")</f>
        <v/>
      </c>
      <c r="H164" s="4"/>
      <c r="I164" s="5"/>
      <c r="J164" s="5"/>
      <c r="K164" s="24"/>
      <c r="L164" s="5"/>
      <c r="M164" s="5"/>
      <c r="N164" s="5"/>
      <c r="O164" s="5"/>
    </row>
    <row r="165">
      <c r="A165" s="12" t="str">
        <f>IFERROR(__xludf.DUMMYFUNCTION("""COMPUTED_VALUE"""),"")</f>
        <v/>
      </c>
      <c r="B165" s="13" t="str">
        <f>IFERROR(__xludf.DUMMYFUNCTION("""COMPUTED_VALUE"""),"")</f>
        <v/>
      </c>
      <c r="C165" s="14" t="str">
        <f>IFERROR(__xludf.DUMMYFUNCTION("""COMPUTED_VALUE"""),"")</f>
        <v/>
      </c>
      <c r="D165" s="15" t="str">
        <f>IFERROR(__xludf.DUMMYFUNCTION("""COMPUTED_VALUE"""),"")</f>
        <v/>
      </c>
      <c r="E165" s="15" t="str">
        <f>IFERROR(__xludf.DUMMYFUNCTION("""COMPUTED_VALUE"""),"")</f>
        <v/>
      </c>
      <c r="F165" s="15" t="str">
        <f>IFERROR(__xludf.DUMMYFUNCTION("""COMPUTED_VALUE"""),"")</f>
        <v/>
      </c>
      <c r="G165" s="17" t="str">
        <f>IFERROR(__xludf.DUMMYFUNCTION("""COMPUTED_VALUE"""),"")</f>
        <v/>
      </c>
      <c r="H165" s="4"/>
      <c r="I165" s="5"/>
      <c r="J165" s="5"/>
      <c r="K165" s="5"/>
      <c r="L165" s="5"/>
      <c r="M165" s="5"/>
      <c r="N165" s="5"/>
      <c r="O165" s="5"/>
    </row>
    <row r="166">
      <c r="A166" s="18" t="str">
        <f>IFERROR(__xludf.DUMMYFUNCTION("""COMPUTED_VALUE"""),"")</f>
        <v/>
      </c>
      <c r="B166" s="19" t="str">
        <f>IFERROR(__xludf.DUMMYFUNCTION("""COMPUTED_VALUE"""),"")</f>
        <v/>
      </c>
      <c r="C166" s="20" t="str">
        <f>IFERROR(__xludf.DUMMYFUNCTION("""COMPUTED_VALUE"""),"")</f>
        <v/>
      </c>
      <c r="D166" s="21" t="str">
        <f>IFERROR(__xludf.DUMMYFUNCTION("""COMPUTED_VALUE"""),"")</f>
        <v/>
      </c>
      <c r="E166" s="21" t="str">
        <f>IFERROR(__xludf.DUMMYFUNCTION("""COMPUTED_VALUE"""),"")</f>
        <v/>
      </c>
      <c r="F166" s="21" t="str">
        <f>IFERROR(__xludf.DUMMYFUNCTION("""COMPUTED_VALUE"""),"")</f>
        <v/>
      </c>
      <c r="G166" s="23" t="str">
        <f>IFERROR(__xludf.DUMMYFUNCTION("""COMPUTED_VALUE"""),"")</f>
        <v/>
      </c>
      <c r="H166" s="4"/>
      <c r="I166" s="5"/>
      <c r="J166" s="5"/>
      <c r="K166" s="5"/>
      <c r="L166" s="5"/>
      <c r="M166" s="5"/>
      <c r="N166" s="5"/>
      <c r="O166" s="5"/>
    </row>
    <row r="167">
      <c r="A167" s="12" t="str">
        <f>IFERROR(__xludf.DUMMYFUNCTION("""COMPUTED_VALUE"""),"")</f>
        <v/>
      </c>
      <c r="B167" s="13" t="str">
        <f>IFERROR(__xludf.DUMMYFUNCTION("""COMPUTED_VALUE"""),"")</f>
        <v/>
      </c>
      <c r="C167" s="14" t="str">
        <f>IFERROR(__xludf.DUMMYFUNCTION("""COMPUTED_VALUE"""),"")</f>
        <v/>
      </c>
      <c r="D167" s="15" t="str">
        <f>IFERROR(__xludf.DUMMYFUNCTION("""COMPUTED_VALUE"""),"")</f>
        <v/>
      </c>
      <c r="E167" s="15" t="str">
        <f>IFERROR(__xludf.DUMMYFUNCTION("""COMPUTED_VALUE"""),"")</f>
        <v/>
      </c>
      <c r="F167" s="15" t="str">
        <f>IFERROR(__xludf.DUMMYFUNCTION("""COMPUTED_VALUE"""),"")</f>
        <v/>
      </c>
      <c r="G167" s="17" t="str">
        <f>IFERROR(__xludf.DUMMYFUNCTION("""COMPUTED_VALUE"""),"")</f>
        <v/>
      </c>
      <c r="H167" s="4"/>
      <c r="I167" s="5"/>
      <c r="J167" s="5"/>
      <c r="K167" s="5"/>
      <c r="L167" s="5"/>
      <c r="M167" s="5"/>
      <c r="N167" s="5"/>
      <c r="O167" s="5"/>
    </row>
    <row r="168">
      <c r="A168" s="18" t="str">
        <f>IFERROR(__xludf.DUMMYFUNCTION("""COMPUTED_VALUE"""),"")</f>
        <v/>
      </c>
      <c r="B168" s="19" t="str">
        <f>IFERROR(__xludf.DUMMYFUNCTION("""COMPUTED_VALUE"""),"")</f>
        <v/>
      </c>
      <c r="C168" s="20" t="str">
        <f>IFERROR(__xludf.DUMMYFUNCTION("""COMPUTED_VALUE"""),"")</f>
        <v/>
      </c>
      <c r="D168" s="21" t="str">
        <f>IFERROR(__xludf.DUMMYFUNCTION("""COMPUTED_VALUE"""),"")</f>
        <v/>
      </c>
      <c r="E168" s="21" t="str">
        <f>IFERROR(__xludf.DUMMYFUNCTION("""COMPUTED_VALUE"""),"")</f>
        <v/>
      </c>
      <c r="F168" s="21" t="str">
        <f>IFERROR(__xludf.DUMMYFUNCTION("""COMPUTED_VALUE"""),"")</f>
        <v/>
      </c>
      <c r="G168" s="23" t="str">
        <f>IFERROR(__xludf.DUMMYFUNCTION("""COMPUTED_VALUE"""),"")</f>
        <v/>
      </c>
      <c r="H168" s="4"/>
      <c r="I168" s="5"/>
      <c r="J168" s="5"/>
      <c r="K168" s="5"/>
      <c r="L168" s="5"/>
      <c r="M168" s="5"/>
      <c r="N168" s="5"/>
      <c r="O168" s="5"/>
    </row>
    <row r="169">
      <c r="A169" s="12" t="str">
        <f>IFERROR(__xludf.DUMMYFUNCTION("""COMPUTED_VALUE"""),"")</f>
        <v/>
      </c>
      <c r="B169" s="13" t="str">
        <f>IFERROR(__xludf.DUMMYFUNCTION("""COMPUTED_VALUE"""),"")</f>
        <v/>
      </c>
      <c r="C169" s="14" t="str">
        <f>IFERROR(__xludf.DUMMYFUNCTION("""COMPUTED_VALUE"""),"")</f>
        <v/>
      </c>
      <c r="D169" s="15" t="str">
        <f>IFERROR(__xludf.DUMMYFUNCTION("""COMPUTED_VALUE"""),"")</f>
        <v/>
      </c>
      <c r="E169" s="15" t="str">
        <f>IFERROR(__xludf.DUMMYFUNCTION("""COMPUTED_VALUE"""),"")</f>
        <v/>
      </c>
      <c r="F169" s="15" t="str">
        <f>IFERROR(__xludf.DUMMYFUNCTION("""COMPUTED_VALUE"""),"")</f>
        <v/>
      </c>
      <c r="G169" s="17" t="str">
        <f>IFERROR(__xludf.DUMMYFUNCTION("""COMPUTED_VALUE"""),"")</f>
        <v/>
      </c>
      <c r="H169" s="4"/>
      <c r="I169" s="5"/>
      <c r="J169" s="5"/>
      <c r="K169" s="5"/>
      <c r="L169" s="5"/>
      <c r="M169" s="5"/>
      <c r="N169" s="5"/>
      <c r="O169" s="5"/>
    </row>
    <row r="170">
      <c r="A170" s="18" t="str">
        <f>IFERROR(__xludf.DUMMYFUNCTION("""COMPUTED_VALUE"""),"")</f>
        <v/>
      </c>
      <c r="B170" s="19" t="str">
        <f>IFERROR(__xludf.DUMMYFUNCTION("""COMPUTED_VALUE"""),"")</f>
        <v/>
      </c>
      <c r="C170" s="20" t="str">
        <f>IFERROR(__xludf.DUMMYFUNCTION("""COMPUTED_VALUE"""),"")</f>
        <v/>
      </c>
      <c r="D170" s="21" t="str">
        <f>IFERROR(__xludf.DUMMYFUNCTION("""COMPUTED_VALUE"""),"")</f>
        <v/>
      </c>
      <c r="E170" s="21" t="str">
        <f>IFERROR(__xludf.DUMMYFUNCTION("""COMPUTED_VALUE"""),"")</f>
        <v/>
      </c>
      <c r="F170" s="21" t="str">
        <f>IFERROR(__xludf.DUMMYFUNCTION("""COMPUTED_VALUE"""),"")</f>
        <v/>
      </c>
      <c r="G170" s="23" t="str">
        <f>IFERROR(__xludf.DUMMYFUNCTION("""COMPUTED_VALUE"""),"")</f>
        <v/>
      </c>
      <c r="H170" s="4"/>
      <c r="I170" s="5"/>
      <c r="J170" s="5"/>
      <c r="K170" s="5"/>
      <c r="L170" s="5"/>
      <c r="M170" s="5"/>
      <c r="N170" s="5"/>
      <c r="O170" s="5"/>
    </row>
    <row r="171">
      <c r="A171" s="12" t="str">
        <f>IFERROR(__xludf.DUMMYFUNCTION("""COMPUTED_VALUE"""),"")</f>
        <v/>
      </c>
      <c r="B171" s="13" t="str">
        <f>IFERROR(__xludf.DUMMYFUNCTION("""COMPUTED_VALUE"""),"")</f>
        <v/>
      </c>
      <c r="C171" s="14" t="str">
        <f>IFERROR(__xludf.DUMMYFUNCTION("""COMPUTED_VALUE"""),"")</f>
        <v/>
      </c>
      <c r="D171" s="15" t="str">
        <f>IFERROR(__xludf.DUMMYFUNCTION("""COMPUTED_VALUE"""),"")</f>
        <v/>
      </c>
      <c r="E171" s="15" t="str">
        <f>IFERROR(__xludf.DUMMYFUNCTION("""COMPUTED_VALUE"""),"")</f>
        <v/>
      </c>
      <c r="F171" s="15" t="str">
        <f>IFERROR(__xludf.DUMMYFUNCTION("""COMPUTED_VALUE"""),"")</f>
        <v/>
      </c>
      <c r="G171" s="17" t="str">
        <f>IFERROR(__xludf.DUMMYFUNCTION("""COMPUTED_VALUE"""),"")</f>
        <v/>
      </c>
      <c r="H171" s="4"/>
      <c r="I171" s="5"/>
      <c r="J171" s="5"/>
      <c r="K171" s="5"/>
      <c r="L171" s="5"/>
      <c r="M171" s="5"/>
      <c r="N171" s="5"/>
      <c r="O171" s="5"/>
    </row>
    <row r="172">
      <c r="A172" s="18" t="str">
        <f>IFERROR(__xludf.DUMMYFUNCTION("""COMPUTED_VALUE"""),"")</f>
        <v/>
      </c>
      <c r="B172" s="19" t="str">
        <f>IFERROR(__xludf.DUMMYFUNCTION("""COMPUTED_VALUE"""),"")</f>
        <v/>
      </c>
      <c r="C172" s="20" t="str">
        <f>IFERROR(__xludf.DUMMYFUNCTION("""COMPUTED_VALUE"""),"")</f>
        <v/>
      </c>
      <c r="D172" s="21" t="str">
        <f>IFERROR(__xludf.DUMMYFUNCTION("""COMPUTED_VALUE"""),"")</f>
        <v/>
      </c>
      <c r="E172" s="21" t="str">
        <f>IFERROR(__xludf.DUMMYFUNCTION("""COMPUTED_VALUE"""),"")</f>
        <v/>
      </c>
      <c r="F172" s="21" t="str">
        <f>IFERROR(__xludf.DUMMYFUNCTION("""COMPUTED_VALUE"""),"")</f>
        <v/>
      </c>
      <c r="G172" s="23" t="str">
        <f>IFERROR(__xludf.DUMMYFUNCTION("""COMPUTED_VALUE"""),"")</f>
        <v/>
      </c>
      <c r="H172" s="4"/>
      <c r="I172" s="5"/>
      <c r="J172" s="5"/>
      <c r="K172" s="5"/>
      <c r="L172" s="5"/>
      <c r="M172" s="5"/>
      <c r="N172" s="5"/>
      <c r="O172" s="5"/>
    </row>
    <row r="173">
      <c r="A173" s="12" t="str">
        <f>IFERROR(__xludf.DUMMYFUNCTION("""COMPUTED_VALUE"""),"")</f>
        <v/>
      </c>
      <c r="B173" s="13" t="str">
        <f>IFERROR(__xludf.DUMMYFUNCTION("""COMPUTED_VALUE"""),"")</f>
        <v/>
      </c>
      <c r="C173" s="14" t="str">
        <f>IFERROR(__xludf.DUMMYFUNCTION("""COMPUTED_VALUE"""),"")</f>
        <v/>
      </c>
      <c r="D173" s="15" t="str">
        <f>IFERROR(__xludf.DUMMYFUNCTION("""COMPUTED_VALUE"""),"")</f>
        <v/>
      </c>
      <c r="E173" s="15" t="str">
        <f>IFERROR(__xludf.DUMMYFUNCTION("""COMPUTED_VALUE"""),"")</f>
        <v/>
      </c>
      <c r="F173" s="15" t="str">
        <f>IFERROR(__xludf.DUMMYFUNCTION("""COMPUTED_VALUE"""),"")</f>
        <v/>
      </c>
      <c r="G173" s="17" t="str">
        <f>IFERROR(__xludf.DUMMYFUNCTION("""COMPUTED_VALUE"""),"")</f>
        <v/>
      </c>
      <c r="H173" s="4"/>
      <c r="I173" s="5"/>
      <c r="J173" s="5"/>
      <c r="K173" s="5"/>
      <c r="L173" s="5"/>
      <c r="M173" s="5"/>
      <c r="N173" s="5"/>
      <c r="O173" s="5"/>
    </row>
    <row r="174">
      <c r="A174" s="18" t="str">
        <f>IFERROR(__xludf.DUMMYFUNCTION("""COMPUTED_VALUE"""),"")</f>
        <v/>
      </c>
      <c r="B174" s="19" t="str">
        <f>IFERROR(__xludf.DUMMYFUNCTION("""COMPUTED_VALUE"""),"")</f>
        <v/>
      </c>
      <c r="C174" s="20" t="str">
        <f>IFERROR(__xludf.DUMMYFUNCTION("""COMPUTED_VALUE"""),"")</f>
        <v/>
      </c>
      <c r="D174" s="21" t="str">
        <f>IFERROR(__xludf.DUMMYFUNCTION("""COMPUTED_VALUE"""),"")</f>
        <v/>
      </c>
      <c r="E174" s="21" t="str">
        <f>IFERROR(__xludf.DUMMYFUNCTION("""COMPUTED_VALUE"""),"")</f>
        <v/>
      </c>
      <c r="F174" s="21" t="str">
        <f>IFERROR(__xludf.DUMMYFUNCTION("""COMPUTED_VALUE"""),"")</f>
        <v/>
      </c>
      <c r="G174" s="23" t="str">
        <f>IFERROR(__xludf.DUMMYFUNCTION("""COMPUTED_VALUE"""),"")</f>
        <v/>
      </c>
      <c r="H174" s="4"/>
      <c r="I174" s="5"/>
      <c r="J174" s="5"/>
      <c r="K174" s="5"/>
      <c r="L174" s="5"/>
      <c r="M174" s="5"/>
      <c r="N174" s="5"/>
      <c r="O174" s="5"/>
    </row>
    <row r="175">
      <c r="A175" s="12" t="str">
        <f>IFERROR(__xludf.DUMMYFUNCTION("""COMPUTED_VALUE"""),"")</f>
        <v/>
      </c>
      <c r="B175" s="13" t="str">
        <f>IFERROR(__xludf.DUMMYFUNCTION("""COMPUTED_VALUE"""),"")</f>
        <v/>
      </c>
      <c r="C175" s="14" t="str">
        <f>IFERROR(__xludf.DUMMYFUNCTION("""COMPUTED_VALUE"""),"")</f>
        <v/>
      </c>
      <c r="D175" s="15" t="str">
        <f>IFERROR(__xludf.DUMMYFUNCTION("""COMPUTED_VALUE"""),"")</f>
        <v/>
      </c>
      <c r="E175" s="15" t="str">
        <f>IFERROR(__xludf.DUMMYFUNCTION("""COMPUTED_VALUE"""),"")</f>
        <v/>
      </c>
      <c r="F175" s="15" t="str">
        <f>IFERROR(__xludf.DUMMYFUNCTION("""COMPUTED_VALUE"""),"")</f>
        <v/>
      </c>
      <c r="G175" s="17" t="str">
        <f>IFERROR(__xludf.DUMMYFUNCTION("""COMPUTED_VALUE"""),"")</f>
        <v/>
      </c>
      <c r="H175" s="4"/>
      <c r="I175" s="5"/>
      <c r="J175" s="5"/>
      <c r="K175" s="5"/>
      <c r="L175" s="5"/>
      <c r="M175" s="5"/>
      <c r="N175" s="5"/>
      <c r="O175" s="5"/>
    </row>
    <row r="176">
      <c r="A176" s="18" t="str">
        <f>IFERROR(__xludf.DUMMYFUNCTION("""COMPUTED_VALUE"""),"")</f>
        <v/>
      </c>
      <c r="B176" s="19" t="str">
        <f>IFERROR(__xludf.DUMMYFUNCTION("""COMPUTED_VALUE"""),"")</f>
        <v/>
      </c>
      <c r="C176" s="20" t="str">
        <f>IFERROR(__xludf.DUMMYFUNCTION("""COMPUTED_VALUE"""),"")</f>
        <v/>
      </c>
      <c r="D176" s="21" t="str">
        <f>IFERROR(__xludf.DUMMYFUNCTION("""COMPUTED_VALUE"""),"")</f>
        <v/>
      </c>
      <c r="E176" s="21" t="str">
        <f>IFERROR(__xludf.DUMMYFUNCTION("""COMPUTED_VALUE"""),"")</f>
        <v/>
      </c>
      <c r="F176" s="21" t="str">
        <f>IFERROR(__xludf.DUMMYFUNCTION("""COMPUTED_VALUE"""),"")</f>
        <v/>
      </c>
      <c r="G176" s="23" t="str">
        <f>IFERROR(__xludf.DUMMYFUNCTION("""COMPUTED_VALUE"""),"")</f>
        <v/>
      </c>
      <c r="H176" s="4"/>
      <c r="I176" s="5"/>
      <c r="J176" s="5"/>
      <c r="K176" s="5"/>
      <c r="L176" s="5"/>
      <c r="M176" s="5"/>
      <c r="N176" s="5"/>
      <c r="O176" s="5"/>
    </row>
    <row r="177">
      <c r="A177" s="12" t="str">
        <f>IFERROR(__xludf.DUMMYFUNCTION("""COMPUTED_VALUE"""),"")</f>
        <v/>
      </c>
      <c r="B177" s="13" t="str">
        <f>IFERROR(__xludf.DUMMYFUNCTION("""COMPUTED_VALUE"""),"")</f>
        <v/>
      </c>
      <c r="C177" s="14" t="str">
        <f>IFERROR(__xludf.DUMMYFUNCTION("""COMPUTED_VALUE"""),"")</f>
        <v/>
      </c>
      <c r="D177" s="15" t="str">
        <f>IFERROR(__xludf.DUMMYFUNCTION("""COMPUTED_VALUE"""),"")</f>
        <v/>
      </c>
      <c r="E177" s="15" t="str">
        <f>IFERROR(__xludf.DUMMYFUNCTION("""COMPUTED_VALUE"""),"")</f>
        <v/>
      </c>
      <c r="F177" s="15" t="str">
        <f>IFERROR(__xludf.DUMMYFUNCTION("""COMPUTED_VALUE"""),"")</f>
        <v/>
      </c>
      <c r="G177" s="17" t="str">
        <f>IFERROR(__xludf.DUMMYFUNCTION("""COMPUTED_VALUE"""),"")</f>
        <v/>
      </c>
      <c r="H177" s="4"/>
      <c r="I177" s="5"/>
      <c r="J177" s="5"/>
      <c r="K177" s="5"/>
      <c r="L177" s="5"/>
      <c r="M177" s="5"/>
      <c r="N177" s="5"/>
      <c r="O177" s="5"/>
    </row>
    <row r="178">
      <c r="A178" s="18" t="str">
        <f>IFERROR(__xludf.DUMMYFUNCTION("""COMPUTED_VALUE"""),"")</f>
        <v/>
      </c>
      <c r="B178" s="19" t="str">
        <f>IFERROR(__xludf.DUMMYFUNCTION("""COMPUTED_VALUE"""),"")</f>
        <v/>
      </c>
      <c r="C178" s="20" t="str">
        <f>IFERROR(__xludf.DUMMYFUNCTION("""COMPUTED_VALUE"""),"")</f>
        <v/>
      </c>
      <c r="D178" s="21" t="str">
        <f>IFERROR(__xludf.DUMMYFUNCTION("""COMPUTED_VALUE"""),"")</f>
        <v/>
      </c>
      <c r="E178" s="21" t="str">
        <f>IFERROR(__xludf.DUMMYFUNCTION("""COMPUTED_VALUE"""),"")</f>
        <v/>
      </c>
      <c r="F178" s="21" t="str">
        <f>IFERROR(__xludf.DUMMYFUNCTION("""COMPUTED_VALUE"""),"")</f>
        <v/>
      </c>
      <c r="G178" s="23" t="str">
        <f>IFERROR(__xludf.DUMMYFUNCTION("""COMPUTED_VALUE"""),"")</f>
        <v/>
      </c>
      <c r="H178" s="4"/>
      <c r="I178" s="5"/>
      <c r="J178" s="5"/>
      <c r="K178" s="5"/>
      <c r="L178" s="5"/>
      <c r="M178" s="5"/>
      <c r="N178" s="5"/>
      <c r="O178" s="5"/>
    </row>
    <row r="179">
      <c r="A179" s="12" t="str">
        <f>IFERROR(__xludf.DUMMYFUNCTION("""COMPUTED_VALUE"""),"")</f>
        <v/>
      </c>
      <c r="B179" s="13" t="str">
        <f>IFERROR(__xludf.DUMMYFUNCTION("""COMPUTED_VALUE"""),"")</f>
        <v/>
      </c>
      <c r="C179" s="14" t="str">
        <f>IFERROR(__xludf.DUMMYFUNCTION("""COMPUTED_VALUE"""),"")</f>
        <v/>
      </c>
      <c r="D179" s="15" t="str">
        <f>IFERROR(__xludf.DUMMYFUNCTION("""COMPUTED_VALUE"""),"")</f>
        <v/>
      </c>
      <c r="E179" s="15" t="str">
        <f>IFERROR(__xludf.DUMMYFUNCTION("""COMPUTED_VALUE"""),"")</f>
        <v/>
      </c>
      <c r="F179" s="15" t="str">
        <f>IFERROR(__xludf.DUMMYFUNCTION("""COMPUTED_VALUE"""),"")</f>
        <v/>
      </c>
      <c r="G179" s="17" t="str">
        <f>IFERROR(__xludf.DUMMYFUNCTION("""COMPUTED_VALUE"""),"")</f>
        <v/>
      </c>
      <c r="H179" s="4"/>
      <c r="I179" s="5"/>
      <c r="J179" s="5"/>
      <c r="K179" s="5"/>
      <c r="L179" s="5"/>
      <c r="M179" s="5"/>
      <c r="N179" s="5"/>
      <c r="O179" s="5"/>
    </row>
    <row r="180">
      <c r="A180" s="18" t="str">
        <f>IFERROR(__xludf.DUMMYFUNCTION("""COMPUTED_VALUE"""),"")</f>
        <v/>
      </c>
      <c r="B180" s="19" t="str">
        <f>IFERROR(__xludf.DUMMYFUNCTION("""COMPUTED_VALUE"""),"")</f>
        <v/>
      </c>
      <c r="C180" s="20" t="str">
        <f>IFERROR(__xludf.DUMMYFUNCTION("""COMPUTED_VALUE"""),"")</f>
        <v/>
      </c>
      <c r="D180" s="21" t="str">
        <f>IFERROR(__xludf.DUMMYFUNCTION("""COMPUTED_VALUE"""),"")</f>
        <v/>
      </c>
      <c r="E180" s="21" t="str">
        <f>IFERROR(__xludf.DUMMYFUNCTION("""COMPUTED_VALUE"""),"")</f>
        <v/>
      </c>
      <c r="F180" s="21" t="str">
        <f>IFERROR(__xludf.DUMMYFUNCTION("""COMPUTED_VALUE"""),"")</f>
        <v/>
      </c>
      <c r="G180" s="23" t="str">
        <f>IFERROR(__xludf.DUMMYFUNCTION("""COMPUTED_VALUE"""),"")</f>
        <v/>
      </c>
      <c r="H180" s="4"/>
      <c r="I180" s="5"/>
      <c r="J180" s="5"/>
      <c r="K180" s="5"/>
      <c r="L180" s="5"/>
      <c r="M180" s="5"/>
      <c r="N180" s="5"/>
      <c r="O180" s="5"/>
    </row>
    <row r="181">
      <c r="A181" s="12" t="str">
        <f>IFERROR(__xludf.DUMMYFUNCTION("""COMPUTED_VALUE"""),"")</f>
        <v/>
      </c>
      <c r="B181" s="13" t="str">
        <f>IFERROR(__xludf.DUMMYFUNCTION("""COMPUTED_VALUE"""),"")</f>
        <v/>
      </c>
      <c r="C181" s="14" t="str">
        <f>IFERROR(__xludf.DUMMYFUNCTION("""COMPUTED_VALUE"""),"")</f>
        <v/>
      </c>
      <c r="D181" s="15" t="str">
        <f>IFERROR(__xludf.DUMMYFUNCTION("""COMPUTED_VALUE"""),"")</f>
        <v/>
      </c>
      <c r="E181" s="15" t="str">
        <f>IFERROR(__xludf.DUMMYFUNCTION("""COMPUTED_VALUE"""),"")</f>
        <v/>
      </c>
      <c r="F181" s="15" t="str">
        <f>IFERROR(__xludf.DUMMYFUNCTION("""COMPUTED_VALUE"""),"")</f>
        <v/>
      </c>
      <c r="G181" s="17" t="str">
        <f>IFERROR(__xludf.DUMMYFUNCTION("""COMPUTED_VALUE"""),"")</f>
        <v/>
      </c>
      <c r="H181" s="4"/>
      <c r="I181" s="5"/>
      <c r="J181" s="5"/>
      <c r="K181" s="5"/>
      <c r="L181" s="5"/>
      <c r="M181" s="5"/>
      <c r="N181" s="5"/>
      <c r="O181" s="5"/>
    </row>
    <row r="182">
      <c r="A182" s="18" t="str">
        <f>IFERROR(__xludf.DUMMYFUNCTION("""COMPUTED_VALUE"""),"")</f>
        <v/>
      </c>
      <c r="B182" s="19" t="str">
        <f>IFERROR(__xludf.DUMMYFUNCTION("""COMPUTED_VALUE"""),"")</f>
        <v/>
      </c>
      <c r="C182" s="20" t="str">
        <f>IFERROR(__xludf.DUMMYFUNCTION("""COMPUTED_VALUE"""),"")</f>
        <v/>
      </c>
      <c r="D182" s="21" t="str">
        <f>IFERROR(__xludf.DUMMYFUNCTION("""COMPUTED_VALUE"""),"")</f>
        <v/>
      </c>
      <c r="E182" s="21" t="str">
        <f>IFERROR(__xludf.DUMMYFUNCTION("""COMPUTED_VALUE"""),"")</f>
        <v/>
      </c>
      <c r="F182" s="21" t="str">
        <f>IFERROR(__xludf.DUMMYFUNCTION("""COMPUTED_VALUE"""),"")</f>
        <v/>
      </c>
      <c r="G182" s="23" t="str">
        <f>IFERROR(__xludf.DUMMYFUNCTION("""COMPUTED_VALUE"""),"")</f>
        <v/>
      </c>
      <c r="H182" s="4"/>
      <c r="I182" s="5"/>
      <c r="J182" s="5"/>
      <c r="K182" s="5"/>
      <c r="L182" s="5"/>
      <c r="M182" s="5"/>
      <c r="N182" s="5"/>
      <c r="O182" s="5"/>
    </row>
    <row r="183">
      <c r="A183" s="12" t="str">
        <f>IFERROR(__xludf.DUMMYFUNCTION("""COMPUTED_VALUE"""),"")</f>
        <v/>
      </c>
      <c r="B183" s="13" t="str">
        <f>IFERROR(__xludf.DUMMYFUNCTION("""COMPUTED_VALUE"""),"")</f>
        <v/>
      </c>
      <c r="C183" s="14" t="str">
        <f>IFERROR(__xludf.DUMMYFUNCTION("""COMPUTED_VALUE"""),"")</f>
        <v/>
      </c>
      <c r="D183" s="15" t="str">
        <f>IFERROR(__xludf.DUMMYFUNCTION("""COMPUTED_VALUE"""),"")</f>
        <v/>
      </c>
      <c r="E183" s="15" t="str">
        <f>IFERROR(__xludf.DUMMYFUNCTION("""COMPUTED_VALUE"""),"")</f>
        <v/>
      </c>
      <c r="F183" s="15" t="str">
        <f>IFERROR(__xludf.DUMMYFUNCTION("""COMPUTED_VALUE"""),"")</f>
        <v/>
      </c>
      <c r="G183" s="17" t="str">
        <f>IFERROR(__xludf.DUMMYFUNCTION("""COMPUTED_VALUE"""),"")</f>
        <v/>
      </c>
      <c r="H183" s="4"/>
      <c r="I183" s="5"/>
      <c r="J183" s="5"/>
      <c r="K183" s="5"/>
      <c r="L183" s="5"/>
      <c r="M183" s="5"/>
      <c r="N183" s="5"/>
      <c r="O183" s="5"/>
    </row>
    <row r="184">
      <c r="A184" s="18" t="str">
        <f>IFERROR(__xludf.DUMMYFUNCTION("""COMPUTED_VALUE"""),"")</f>
        <v/>
      </c>
      <c r="B184" s="19" t="str">
        <f>IFERROR(__xludf.DUMMYFUNCTION("""COMPUTED_VALUE"""),"")</f>
        <v/>
      </c>
      <c r="C184" s="20" t="str">
        <f>IFERROR(__xludf.DUMMYFUNCTION("""COMPUTED_VALUE"""),"")</f>
        <v/>
      </c>
      <c r="D184" s="21" t="str">
        <f>IFERROR(__xludf.DUMMYFUNCTION("""COMPUTED_VALUE"""),"")</f>
        <v/>
      </c>
      <c r="E184" s="21" t="str">
        <f>IFERROR(__xludf.DUMMYFUNCTION("""COMPUTED_VALUE"""),"")</f>
        <v/>
      </c>
      <c r="F184" s="21" t="str">
        <f>IFERROR(__xludf.DUMMYFUNCTION("""COMPUTED_VALUE"""),"")</f>
        <v/>
      </c>
      <c r="G184" s="23" t="str">
        <f>IFERROR(__xludf.DUMMYFUNCTION("""COMPUTED_VALUE"""),"")</f>
        <v/>
      </c>
      <c r="H184" s="4"/>
      <c r="I184" s="5"/>
      <c r="J184" s="5"/>
      <c r="K184" s="5"/>
      <c r="L184" s="5"/>
      <c r="M184" s="5"/>
      <c r="N184" s="5"/>
      <c r="O184" s="5"/>
    </row>
    <row r="185">
      <c r="A185" s="12" t="str">
        <f>IFERROR(__xludf.DUMMYFUNCTION("""COMPUTED_VALUE"""),"")</f>
        <v/>
      </c>
      <c r="B185" s="13" t="str">
        <f>IFERROR(__xludf.DUMMYFUNCTION("""COMPUTED_VALUE"""),"")</f>
        <v/>
      </c>
      <c r="C185" s="14" t="str">
        <f>IFERROR(__xludf.DUMMYFUNCTION("""COMPUTED_VALUE"""),"")</f>
        <v/>
      </c>
      <c r="D185" s="15" t="str">
        <f>IFERROR(__xludf.DUMMYFUNCTION("""COMPUTED_VALUE"""),"")</f>
        <v/>
      </c>
      <c r="E185" s="15" t="str">
        <f>IFERROR(__xludf.DUMMYFUNCTION("""COMPUTED_VALUE"""),"")</f>
        <v/>
      </c>
      <c r="F185" s="15" t="str">
        <f>IFERROR(__xludf.DUMMYFUNCTION("""COMPUTED_VALUE"""),"")</f>
        <v/>
      </c>
      <c r="G185" s="17" t="str">
        <f>IFERROR(__xludf.DUMMYFUNCTION("""COMPUTED_VALUE"""),"")</f>
        <v/>
      </c>
      <c r="H185" s="4"/>
      <c r="I185" s="5"/>
      <c r="J185" s="5"/>
      <c r="K185" s="5"/>
      <c r="L185" s="5"/>
      <c r="M185" s="5"/>
      <c r="N185" s="5"/>
      <c r="O185" s="5"/>
    </row>
    <row r="186">
      <c r="A186" s="18" t="str">
        <f>IFERROR(__xludf.DUMMYFUNCTION("""COMPUTED_VALUE"""),"")</f>
        <v/>
      </c>
      <c r="B186" s="19" t="str">
        <f>IFERROR(__xludf.DUMMYFUNCTION("""COMPUTED_VALUE"""),"")</f>
        <v/>
      </c>
      <c r="C186" s="20" t="str">
        <f>IFERROR(__xludf.DUMMYFUNCTION("""COMPUTED_VALUE"""),"")</f>
        <v/>
      </c>
      <c r="D186" s="21" t="str">
        <f>IFERROR(__xludf.DUMMYFUNCTION("""COMPUTED_VALUE"""),"")</f>
        <v/>
      </c>
      <c r="E186" s="21" t="str">
        <f>IFERROR(__xludf.DUMMYFUNCTION("""COMPUTED_VALUE"""),"")</f>
        <v/>
      </c>
      <c r="F186" s="21" t="str">
        <f>IFERROR(__xludf.DUMMYFUNCTION("""COMPUTED_VALUE"""),"")</f>
        <v/>
      </c>
      <c r="G186" s="23" t="str">
        <f>IFERROR(__xludf.DUMMYFUNCTION("""COMPUTED_VALUE"""),"")</f>
        <v/>
      </c>
      <c r="H186" s="4"/>
      <c r="I186" s="5"/>
      <c r="J186" s="5"/>
      <c r="K186" s="5"/>
      <c r="L186" s="5"/>
      <c r="M186" s="5"/>
      <c r="N186" s="5"/>
      <c r="O186" s="5"/>
    </row>
    <row r="187">
      <c r="A187" s="12" t="str">
        <f>IFERROR(__xludf.DUMMYFUNCTION("""COMPUTED_VALUE"""),"")</f>
        <v/>
      </c>
      <c r="B187" s="13" t="str">
        <f>IFERROR(__xludf.DUMMYFUNCTION("""COMPUTED_VALUE"""),"")</f>
        <v/>
      </c>
      <c r="C187" s="14" t="str">
        <f>IFERROR(__xludf.DUMMYFUNCTION("""COMPUTED_VALUE"""),"")</f>
        <v/>
      </c>
      <c r="D187" s="15" t="str">
        <f>IFERROR(__xludf.DUMMYFUNCTION("""COMPUTED_VALUE"""),"")</f>
        <v/>
      </c>
      <c r="E187" s="15" t="str">
        <f>IFERROR(__xludf.DUMMYFUNCTION("""COMPUTED_VALUE"""),"")</f>
        <v/>
      </c>
      <c r="F187" s="15" t="str">
        <f>IFERROR(__xludf.DUMMYFUNCTION("""COMPUTED_VALUE"""),"")</f>
        <v/>
      </c>
      <c r="G187" s="17" t="str">
        <f>IFERROR(__xludf.DUMMYFUNCTION("""COMPUTED_VALUE"""),"")</f>
        <v/>
      </c>
      <c r="H187" s="4"/>
      <c r="I187" s="5"/>
      <c r="J187" s="5"/>
      <c r="K187" s="5"/>
      <c r="L187" s="5"/>
      <c r="M187" s="5"/>
      <c r="N187" s="5"/>
      <c r="O187" s="5"/>
    </row>
    <row r="188">
      <c r="A188" s="18" t="str">
        <f>IFERROR(__xludf.DUMMYFUNCTION("""COMPUTED_VALUE"""),"")</f>
        <v/>
      </c>
      <c r="B188" s="19" t="str">
        <f>IFERROR(__xludf.DUMMYFUNCTION("""COMPUTED_VALUE"""),"")</f>
        <v/>
      </c>
      <c r="C188" s="20" t="str">
        <f>IFERROR(__xludf.DUMMYFUNCTION("""COMPUTED_VALUE"""),"")</f>
        <v/>
      </c>
      <c r="D188" s="21" t="str">
        <f>IFERROR(__xludf.DUMMYFUNCTION("""COMPUTED_VALUE"""),"")</f>
        <v/>
      </c>
      <c r="E188" s="21" t="str">
        <f>IFERROR(__xludf.DUMMYFUNCTION("""COMPUTED_VALUE"""),"")</f>
        <v/>
      </c>
      <c r="F188" s="21" t="str">
        <f>IFERROR(__xludf.DUMMYFUNCTION("""COMPUTED_VALUE"""),"")</f>
        <v/>
      </c>
      <c r="G188" s="23" t="str">
        <f>IFERROR(__xludf.DUMMYFUNCTION("""COMPUTED_VALUE"""),"")</f>
        <v/>
      </c>
      <c r="H188" s="4"/>
      <c r="I188" s="5"/>
      <c r="J188" s="5"/>
      <c r="K188" s="5"/>
      <c r="L188" s="5"/>
      <c r="M188" s="5"/>
      <c r="N188" s="5"/>
      <c r="O188" s="5"/>
    </row>
    <row r="189">
      <c r="A189" s="12" t="str">
        <f>IFERROR(__xludf.DUMMYFUNCTION("""COMPUTED_VALUE"""),"")</f>
        <v/>
      </c>
      <c r="B189" s="13" t="str">
        <f>IFERROR(__xludf.DUMMYFUNCTION("""COMPUTED_VALUE"""),"")</f>
        <v/>
      </c>
      <c r="C189" s="14" t="str">
        <f>IFERROR(__xludf.DUMMYFUNCTION("""COMPUTED_VALUE"""),"")</f>
        <v/>
      </c>
      <c r="D189" s="15" t="str">
        <f>IFERROR(__xludf.DUMMYFUNCTION("""COMPUTED_VALUE"""),"")</f>
        <v/>
      </c>
      <c r="E189" s="15" t="str">
        <f>IFERROR(__xludf.DUMMYFUNCTION("""COMPUTED_VALUE"""),"")</f>
        <v/>
      </c>
      <c r="F189" s="15" t="str">
        <f>IFERROR(__xludf.DUMMYFUNCTION("""COMPUTED_VALUE"""),"")</f>
        <v/>
      </c>
      <c r="G189" s="17" t="str">
        <f>IFERROR(__xludf.DUMMYFUNCTION("""COMPUTED_VALUE"""),"")</f>
        <v/>
      </c>
      <c r="H189" s="4"/>
      <c r="I189" s="5"/>
      <c r="J189" s="5"/>
      <c r="K189" s="5"/>
      <c r="L189" s="5"/>
      <c r="M189" s="5"/>
      <c r="N189" s="5"/>
      <c r="O189" s="5"/>
    </row>
    <row r="190">
      <c r="A190" s="18" t="str">
        <f>IFERROR(__xludf.DUMMYFUNCTION("""COMPUTED_VALUE"""),"")</f>
        <v/>
      </c>
      <c r="B190" s="19" t="str">
        <f>IFERROR(__xludf.DUMMYFUNCTION("""COMPUTED_VALUE"""),"")</f>
        <v/>
      </c>
      <c r="C190" s="20" t="str">
        <f>IFERROR(__xludf.DUMMYFUNCTION("""COMPUTED_VALUE"""),"")</f>
        <v/>
      </c>
      <c r="D190" s="21" t="str">
        <f>IFERROR(__xludf.DUMMYFUNCTION("""COMPUTED_VALUE"""),"")</f>
        <v/>
      </c>
      <c r="E190" s="21" t="str">
        <f>IFERROR(__xludf.DUMMYFUNCTION("""COMPUTED_VALUE"""),"")</f>
        <v/>
      </c>
      <c r="F190" s="21" t="str">
        <f>IFERROR(__xludf.DUMMYFUNCTION("""COMPUTED_VALUE"""),"")</f>
        <v/>
      </c>
      <c r="G190" s="23" t="str">
        <f>IFERROR(__xludf.DUMMYFUNCTION("""COMPUTED_VALUE"""),"")</f>
        <v/>
      </c>
      <c r="H190" s="4"/>
      <c r="I190" s="5"/>
      <c r="J190" s="5"/>
      <c r="K190" s="5"/>
      <c r="L190" s="5"/>
      <c r="M190" s="5"/>
      <c r="N190" s="5"/>
      <c r="O190" s="5"/>
    </row>
    <row r="191">
      <c r="A191" s="12" t="str">
        <f>IFERROR(__xludf.DUMMYFUNCTION("""COMPUTED_VALUE"""),"")</f>
        <v/>
      </c>
      <c r="B191" s="13" t="str">
        <f>IFERROR(__xludf.DUMMYFUNCTION("""COMPUTED_VALUE"""),"")</f>
        <v/>
      </c>
      <c r="C191" s="14" t="str">
        <f>IFERROR(__xludf.DUMMYFUNCTION("""COMPUTED_VALUE"""),"")</f>
        <v/>
      </c>
      <c r="D191" s="15" t="str">
        <f>IFERROR(__xludf.DUMMYFUNCTION("""COMPUTED_VALUE"""),"")</f>
        <v/>
      </c>
      <c r="E191" s="15" t="str">
        <f>IFERROR(__xludf.DUMMYFUNCTION("""COMPUTED_VALUE"""),"")</f>
        <v/>
      </c>
      <c r="F191" s="15" t="str">
        <f>IFERROR(__xludf.DUMMYFUNCTION("""COMPUTED_VALUE"""),"")</f>
        <v/>
      </c>
      <c r="G191" s="17" t="str">
        <f>IFERROR(__xludf.DUMMYFUNCTION("""COMPUTED_VALUE"""),"")</f>
        <v/>
      </c>
      <c r="H191" s="4"/>
      <c r="I191" s="5"/>
      <c r="J191" s="5"/>
      <c r="K191" s="5"/>
      <c r="L191" s="5"/>
      <c r="M191" s="5"/>
      <c r="N191" s="5"/>
      <c r="O191" s="5"/>
    </row>
    <row r="192">
      <c r="A192" s="18" t="str">
        <f>IFERROR(__xludf.DUMMYFUNCTION("""COMPUTED_VALUE"""),"")</f>
        <v/>
      </c>
      <c r="B192" s="19" t="str">
        <f>IFERROR(__xludf.DUMMYFUNCTION("""COMPUTED_VALUE"""),"")</f>
        <v/>
      </c>
      <c r="C192" s="20" t="str">
        <f>IFERROR(__xludf.DUMMYFUNCTION("""COMPUTED_VALUE"""),"")</f>
        <v/>
      </c>
      <c r="D192" s="21" t="str">
        <f>IFERROR(__xludf.DUMMYFUNCTION("""COMPUTED_VALUE"""),"")</f>
        <v/>
      </c>
      <c r="E192" s="21" t="str">
        <f>IFERROR(__xludf.DUMMYFUNCTION("""COMPUTED_VALUE"""),"")</f>
        <v/>
      </c>
      <c r="F192" s="21" t="str">
        <f>IFERROR(__xludf.DUMMYFUNCTION("""COMPUTED_VALUE"""),"")</f>
        <v/>
      </c>
      <c r="G192" s="23" t="str">
        <f>IFERROR(__xludf.DUMMYFUNCTION("""COMPUTED_VALUE"""),"")</f>
        <v/>
      </c>
      <c r="H192" s="4"/>
      <c r="I192" s="5"/>
      <c r="J192" s="5"/>
      <c r="K192" s="5"/>
      <c r="L192" s="5"/>
      <c r="M192" s="5"/>
      <c r="N192" s="5"/>
      <c r="O192" s="5"/>
    </row>
    <row r="193">
      <c r="A193" s="12" t="str">
        <f>IFERROR(__xludf.DUMMYFUNCTION("""COMPUTED_VALUE"""),"")</f>
        <v/>
      </c>
      <c r="B193" s="13" t="str">
        <f>IFERROR(__xludf.DUMMYFUNCTION("""COMPUTED_VALUE"""),"")</f>
        <v/>
      </c>
      <c r="C193" s="14" t="str">
        <f>IFERROR(__xludf.DUMMYFUNCTION("""COMPUTED_VALUE"""),"")</f>
        <v/>
      </c>
      <c r="D193" s="15" t="str">
        <f>IFERROR(__xludf.DUMMYFUNCTION("""COMPUTED_VALUE"""),"")</f>
        <v/>
      </c>
      <c r="E193" s="15" t="str">
        <f>IFERROR(__xludf.DUMMYFUNCTION("""COMPUTED_VALUE"""),"")</f>
        <v/>
      </c>
      <c r="F193" s="15" t="str">
        <f>IFERROR(__xludf.DUMMYFUNCTION("""COMPUTED_VALUE"""),"")</f>
        <v/>
      </c>
      <c r="G193" s="17" t="str">
        <f>IFERROR(__xludf.DUMMYFUNCTION("""COMPUTED_VALUE"""),"")</f>
        <v/>
      </c>
      <c r="H193" s="4"/>
      <c r="I193" s="5"/>
      <c r="J193" s="5"/>
      <c r="K193" s="5"/>
      <c r="L193" s="5"/>
      <c r="M193" s="5"/>
      <c r="N193" s="5"/>
      <c r="O193" s="5"/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3" t="str">
        <f>IFERROR(__xludf.DUMMYFUNCTION("""COMPUTED_VALUE"""),"")</f>
        <v/>
      </c>
      <c r="H194" s="4"/>
      <c r="I194" s="5"/>
      <c r="J194" s="5"/>
      <c r="K194" s="5"/>
      <c r="L194" s="5"/>
      <c r="M194" s="5"/>
      <c r="N194" s="5"/>
      <c r="O194" s="5"/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7" t="str">
        <f>IFERROR(__xludf.DUMMYFUNCTION("""COMPUTED_VALUE"""),"")</f>
        <v/>
      </c>
      <c r="H195" s="4"/>
      <c r="I195" s="5"/>
      <c r="J195" s="5"/>
      <c r="K195" s="5"/>
      <c r="L195" s="5"/>
      <c r="M195" s="5"/>
      <c r="N195" s="5"/>
      <c r="O195" s="5"/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3" t="str">
        <f>IFERROR(__xludf.DUMMYFUNCTION("""COMPUTED_VALUE"""),"")</f>
        <v/>
      </c>
      <c r="H196" s="4"/>
      <c r="I196" s="5"/>
      <c r="J196" s="5"/>
      <c r="K196" s="5"/>
      <c r="L196" s="5"/>
      <c r="M196" s="5"/>
      <c r="N196" s="5"/>
      <c r="O196" s="5"/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/>
      <c r="J197" s="5"/>
      <c r="K197" s="5"/>
      <c r="L197" s="5"/>
      <c r="M197" s="5"/>
      <c r="N197" s="5"/>
      <c r="O197" s="5"/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/>
      <c r="J198" s="5"/>
      <c r="K198" s="24"/>
      <c r="L198" s="5"/>
      <c r="M198" s="5"/>
      <c r="N198" s="5"/>
      <c r="O198" s="5"/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/>
      <c r="J199" s="5"/>
      <c r="K199" s="5"/>
      <c r="L199" s="5"/>
      <c r="M199" s="5"/>
      <c r="N199" s="5"/>
      <c r="O199" s="5"/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/>
      <c r="J200" s="5"/>
      <c r="K200" s="5"/>
      <c r="L200" s="5"/>
      <c r="M200" s="5"/>
      <c r="N200" s="5"/>
      <c r="O200" s="5"/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/>
      <c r="J201" s="5"/>
      <c r="K201" s="5"/>
      <c r="L201" s="5"/>
      <c r="M201" s="5"/>
      <c r="N201" s="5"/>
      <c r="O201" s="5"/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/>
      <c r="J202" s="5"/>
      <c r="K202" s="5"/>
      <c r="L202" s="5"/>
      <c r="M202" s="5"/>
      <c r="N202" s="5"/>
      <c r="O202" s="5"/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/>
      <c r="J203" s="5"/>
      <c r="K203" s="5"/>
      <c r="L203" s="5"/>
      <c r="M203" s="5"/>
      <c r="N203" s="5"/>
      <c r="O203" s="5"/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/>
      <c r="J204" s="5"/>
      <c r="K204" s="5"/>
      <c r="L204" s="5"/>
      <c r="M204" s="5"/>
      <c r="N204" s="5"/>
      <c r="O204" s="5"/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/>
      <c r="J205" s="5"/>
      <c r="K205" s="5"/>
      <c r="L205" s="5"/>
      <c r="M205" s="5"/>
      <c r="N205" s="5"/>
      <c r="O205" s="5"/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/>
      <c r="J206" s="5"/>
      <c r="K206" s="5"/>
      <c r="L206" s="5"/>
      <c r="M206" s="5"/>
      <c r="N206" s="5"/>
      <c r="O206" s="5"/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/>
      <c r="J207" s="5"/>
      <c r="K207" s="5"/>
      <c r="L207" s="5"/>
      <c r="M207" s="5"/>
      <c r="N207" s="5"/>
      <c r="O207" s="5"/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/>
      <c r="J208" s="5"/>
      <c r="K208" s="5"/>
      <c r="L208" s="5"/>
      <c r="M208" s="5"/>
      <c r="N208" s="5"/>
      <c r="O208" s="5"/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/>
      <c r="J209" s="5"/>
      <c r="K209" s="5"/>
      <c r="L209" s="5"/>
      <c r="M209" s="5"/>
      <c r="N209" s="5"/>
      <c r="O209" s="5"/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/>
      <c r="J210" s="5"/>
      <c r="K210" s="5"/>
      <c r="L210" s="5"/>
      <c r="M210" s="5"/>
      <c r="N210" s="5"/>
      <c r="O210" s="5"/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/>
      <c r="J211" s="5"/>
      <c r="K211" s="5"/>
      <c r="L211" s="5"/>
      <c r="M211" s="5"/>
      <c r="N211" s="5"/>
      <c r="O211" s="5"/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/>
      <c r="J212" s="5"/>
      <c r="K212" s="5"/>
      <c r="L212" s="5"/>
      <c r="M212" s="5"/>
      <c r="N212" s="5"/>
      <c r="O212" s="5"/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/>
      <c r="J213" s="5"/>
      <c r="K213" s="5"/>
      <c r="L213" s="5"/>
      <c r="M213" s="5"/>
      <c r="N213" s="5"/>
      <c r="O213" s="5"/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/>
      <c r="J214" s="5"/>
      <c r="K214" s="5"/>
      <c r="L214" s="5"/>
      <c r="M214" s="5"/>
      <c r="N214" s="5"/>
      <c r="O214" s="5"/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/>
      <c r="J215" s="5"/>
      <c r="K215" s="5"/>
      <c r="L215" s="5"/>
      <c r="M215" s="5"/>
      <c r="N215" s="5"/>
      <c r="O215" s="5"/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/>
      <c r="J216" s="5"/>
      <c r="K216" s="5"/>
      <c r="L216" s="5"/>
      <c r="M216" s="5"/>
      <c r="N216" s="5"/>
      <c r="O216" s="5"/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/>
      <c r="J217" s="5"/>
      <c r="K217" s="5"/>
      <c r="L217" s="5"/>
      <c r="M217" s="5"/>
      <c r="N217" s="5"/>
      <c r="O217" s="5"/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/>
      <c r="J218" s="5"/>
      <c r="K218" s="5"/>
      <c r="L218" s="5"/>
      <c r="M218" s="5"/>
      <c r="N218" s="5"/>
      <c r="O218" s="5"/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/>
      <c r="J219" s="5"/>
      <c r="K219" s="5"/>
      <c r="L219" s="5"/>
      <c r="M219" s="5"/>
      <c r="N219" s="5"/>
      <c r="O219" s="5"/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/>
      <c r="J220" s="5"/>
      <c r="K220" s="5"/>
      <c r="L220" s="5"/>
      <c r="M220" s="5"/>
      <c r="N220" s="5"/>
      <c r="O220" s="5"/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/>
      <c r="J221" s="5"/>
      <c r="K221" s="5"/>
      <c r="L221" s="5"/>
      <c r="M221" s="5"/>
      <c r="N221" s="5"/>
      <c r="O221" s="5"/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/>
      <c r="J222" s="5"/>
      <c r="K222" s="5"/>
      <c r="L222" s="5"/>
      <c r="M222" s="5"/>
      <c r="N222" s="5"/>
      <c r="O222" s="5"/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/>
      <c r="J223" s="5"/>
      <c r="K223" s="5"/>
      <c r="L223" s="5"/>
      <c r="M223" s="5"/>
      <c r="N223" s="5"/>
      <c r="O223" s="5"/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/>
      <c r="J224" s="5"/>
      <c r="K224" s="5"/>
      <c r="L224" s="5"/>
      <c r="M224" s="5"/>
      <c r="N224" s="5"/>
      <c r="O224" s="5"/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/>
      <c r="J225" s="5"/>
      <c r="K225" s="5"/>
      <c r="L225" s="5"/>
      <c r="M225" s="5"/>
      <c r="N225" s="5"/>
      <c r="O225" s="5"/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/>
      <c r="J226" s="5"/>
      <c r="K226" s="5"/>
      <c r="L226" s="5"/>
      <c r="M226" s="5"/>
      <c r="N226" s="5"/>
      <c r="O226" s="5"/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/>
      <c r="J227" s="5"/>
      <c r="K227" s="5"/>
      <c r="L227" s="5"/>
      <c r="M227" s="5"/>
      <c r="N227" s="5"/>
      <c r="O227" s="5"/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/>
      <c r="J228" s="5"/>
      <c r="K228" s="5"/>
      <c r="L228" s="5"/>
      <c r="M228" s="5"/>
      <c r="N228" s="5"/>
      <c r="O228" s="5"/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/>
      <c r="J229" s="5"/>
      <c r="K229" s="24"/>
      <c r="L229" s="5"/>
      <c r="M229" s="5"/>
      <c r="N229" s="5"/>
      <c r="O229" s="5"/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/>
      <c r="J230" s="5"/>
      <c r="K230" s="5"/>
      <c r="L230" s="5"/>
      <c r="M230" s="5"/>
      <c r="N230" s="5"/>
      <c r="O230" s="5"/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/>
      <c r="J231" s="5"/>
      <c r="K231" s="5"/>
      <c r="L231" s="5"/>
      <c r="M231" s="5"/>
      <c r="N231" s="5"/>
      <c r="O231" s="5"/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/>
      <c r="J232" s="5"/>
      <c r="K232" s="5"/>
      <c r="L232" s="5"/>
      <c r="M232" s="5"/>
      <c r="N232" s="5"/>
      <c r="O232" s="5"/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/>
      <c r="J233" s="5"/>
      <c r="K233" s="24"/>
      <c r="L233" s="5"/>
      <c r="M233" s="5"/>
      <c r="N233" s="5"/>
      <c r="O233" s="5"/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5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24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5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5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A64D79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1870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IFERROR(__xludf.DUMMYFUNCTION("IMPORTRANGE(""https://docs.google.com/spreadsheets/d/1rqWgpkgrb7L_vv_Lk9q5qbBFj_IBFiao1S5Za-gwvOQ/edit#gid=1120027332"",""Leaders!A3:G502"")"),"Moustapha Fall")</f>
        <v>Moustapha Fall</v>
      </c>
      <c r="B3" s="13" t="str">
        <f>IFERROR(__xludf.DUMMYFUNCTION("""COMPUTED_VALUE"""),"SAK")</f>
        <v>SAK</v>
      </c>
      <c r="C3" s="14">
        <f>IFERROR(__xludf.DUMMYFUNCTION("""COMPUTED_VALUE"""),693.8)</f>
        <v>693.8</v>
      </c>
      <c r="D3" s="15">
        <f>IFERROR(__xludf.DUMMYFUNCTION("""COMPUTED_VALUE"""),2.2001213844279963)</f>
        <v>2.200121384</v>
      </c>
      <c r="E3" s="15">
        <f>IFERROR(__xludf.DUMMYFUNCTION("""COMPUTED_VALUE"""),6.806235886485025)</f>
        <v>6.806235886</v>
      </c>
      <c r="F3" s="15">
        <f>IFERROR(__xludf.DUMMYFUNCTION("""COMPUTED_VALUE"""),9.006357270913021)</f>
        <v>9.006357271</v>
      </c>
      <c r="G3" s="17">
        <f>IFERROR(__xludf.DUMMYFUNCTION("""COMPUTED_VALUE"""),2.3288771733589275)</f>
        <v>2.328877173</v>
      </c>
      <c r="H3" s="4"/>
      <c r="I3" s="5" t="s">
        <v>1873</v>
      </c>
      <c r="J3" s="5" t="s">
        <v>1874</v>
      </c>
      <c r="K3" s="24">
        <v>648.0</v>
      </c>
      <c r="L3" s="5">
        <v>2.50157</v>
      </c>
      <c r="M3" s="5">
        <v>6.81097</v>
      </c>
      <c r="N3" s="5">
        <v>9.312539</v>
      </c>
      <c r="O3" s="5">
        <v>2.236734</v>
      </c>
    </row>
    <row r="4">
      <c r="A4" s="18" t="str">
        <f>IFERROR(__xludf.DUMMYFUNCTION("""COMPUTED_VALUE"""),"Nicolo Melli")</f>
        <v>Nicolo Melli</v>
      </c>
      <c r="B4" s="19" t="str">
        <f>IFERROR(__xludf.DUMMYFUNCTION("""COMPUTED_VALUE"""),"FEN")</f>
        <v>FEN</v>
      </c>
      <c r="C4" s="20">
        <f>IFERROR(__xludf.DUMMYFUNCTION("""COMPUTED_VALUE"""),718.0)</f>
        <v>718</v>
      </c>
      <c r="D4" s="21">
        <f>IFERROR(__xludf.DUMMYFUNCTION("""COMPUTED_VALUE"""),4.47767680188735)</f>
        <v>4.477676802</v>
      </c>
      <c r="E4" s="21">
        <f>IFERROR(__xludf.DUMMYFUNCTION("""COMPUTED_VALUE"""),4.136424790719941)</f>
        <v>4.136424791</v>
      </c>
      <c r="F4" s="21">
        <f>IFERROR(__xludf.DUMMYFUNCTION("""COMPUTED_VALUE"""),8.614101592607291)</f>
        <v>8.614101593</v>
      </c>
      <c r="G4" s="23">
        <f>IFERROR(__xludf.DUMMYFUNCTION("""COMPUTED_VALUE"""),2.3197411408490427)</f>
        <v>2.319741141</v>
      </c>
      <c r="H4" s="4"/>
      <c r="I4" s="5" t="s">
        <v>48</v>
      </c>
      <c r="J4" s="5" t="s">
        <v>36</v>
      </c>
      <c r="K4" s="24">
        <v>604.0</v>
      </c>
      <c r="L4" s="5">
        <v>4.034244</v>
      </c>
      <c r="M4" s="5">
        <v>3.987756</v>
      </c>
      <c r="N4" s="5">
        <v>8.022</v>
      </c>
      <c r="O4" s="5">
        <v>1.849277</v>
      </c>
    </row>
    <row r="5">
      <c r="A5" s="12" t="str">
        <f>IFERROR(__xludf.DUMMYFUNCTION("""COMPUTED_VALUE"""),"Ahmet Duverioglu")</f>
        <v>Ahmet Duverioglu</v>
      </c>
      <c r="B5" s="13" t="str">
        <f>IFERROR(__xludf.DUMMYFUNCTION("""COMPUTED_VALUE"""),"FEN")</f>
        <v>FEN</v>
      </c>
      <c r="C5" s="14">
        <f>IFERROR(__xludf.DUMMYFUNCTION("""COMPUTED_VALUE"""),605.1)</f>
        <v>605.1</v>
      </c>
      <c r="D5" s="15">
        <f>IFERROR(__xludf.DUMMYFUNCTION("""COMPUTED_VALUE"""),2.763727386546373)</f>
        <v>2.763727387</v>
      </c>
      <c r="E5" s="15">
        <f>IFERROR(__xludf.DUMMYFUNCTION("""COMPUTED_VALUE"""),4.448144777786808)</f>
        <v>4.448144778</v>
      </c>
      <c r="F5" s="15">
        <f>IFERROR(__xludf.DUMMYFUNCTION("""COMPUTED_VALUE"""),7.211872164333181)</f>
        <v>7.211872164</v>
      </c>
      <c r="G5" s="17">
        <f>IFERROR(__xludf.DUMMYFUNCTION("""COMPUTED_VALUE"""),1.6967071729860297)</f>
        <v>1.696707173</v>
      </c>
      <c r="H5" s="4"/>
      <c r="I5" s="5" t="s">
        <v>69</v>
      </c>
      <c r="J5" s="5" t="s">
        <v>36</v>
      </c>
      <c r="K5" s="5">
        <v>516.0</v>
      </c>
      <c r="L5" s="5">
        <v>3.115689</v>
      </c>
      <c r="M5" s="5">
        <v>4.621458</v>
      </c>
      <c r="N5" s="5">
        <v>7.737147</v>
      </c>
      <c r="O5" s="5">
        <v>1.534007</v>
      </c>
    </row>
    <row r="6">
      <c r="A6" s="18" t="str">
        <f>IFERROR(__xludf.DUMMYFUNCTION("""COMPUTED_VALUE"""),"Jan Vesely")</f>
        <v>Jan Vesely</v>
      </c>
      <c r="B6" s="19" t="str">
        <f>IFERROR(__xludf.DUMMYFUNCTION("""COMPUTED_VALUE"""),"FEN")</f>
        <v>FEN</v>
      </c>
      <c r="C6" s="20">
        <f>IFERROR(__xludf.DUMMYFUNCTION("""COMPUTED_VALUE"""),510.9)</f>
        <v>510.9</v>
      </c>
      <c r="D6" s="21">
        <f>IFERROR(__xludf.DUMMYFUNCTION("""COMPUTED_VALUE"""),2.732100611317632)</f>
        <v>2.732100611</v>
      </c>
      <c r="E6" s="21">
        <f>IFERROR(__xludf.DUMMYFUNCTION("""COMPUTED_VALUE"""),4.406972540827602)</f>
        <v>4.406972541</v>
      </c>
      <c r="F6" s="21">
        <f>IFERROR(__xludf.DUMMYFUNCTION("""COMPUTED_VALUE"""),7.139073152145234)</f>
        <v>7.139073152</v>
      </c>
      <c r="G6" s="23">
        <f>IFERROR(__xludf.DUMMYFUNCTION("""COMPUTED_VALUE"""),1.421248098600471)</f>
        <v>1.421248099</v>
      </c>
      <c r="H6" s="4"/>
      <c r="I6" s="5" t="s">
        <v>1877</v>
      </c>
      <c r="J6" s="5" t="s">
        <v>1878</v>
      </c>
      <c r="K6" s="5">
        <v>950.0</v>
      </c>
      <c r="L6" s="5">
        <v>4.639094</v>
      </c>
      <c r="M6" s="5">
        <v>2.483811</v>
      </c>
      <c r="N6" s="5">
        <v>7.122904</v>
      </c>
      <c r="O6" s="5">
        <v>2.628408</v>
      </c>
    </row>
    <row r="7">
      <c r="A7" s="12" t="str">
        <f>IFERROR(__xludf.DUMMYFUNCTION("""COMPUTED_VALUE"""),"Gigi Datome")</f>
        <v>Gigi Datome</v>
      </c>
      <c r="B7" s="13" t="str">
        <f>IFERROR(__xludf.DUMMYFUNCTION("""COMPUTED_VALUE"""),"FEN")</f>
        <v>FEN</v>
      </c>
      <c r="C7" s="14">
        <f>IFERROR(__xludf.DUMMYFUNCTION("""COMPUTED_VALUE"""),482.2)</f>
        <v>482.2</v>
      </c>
      <c r="D7" s="15">
        <f>IFERROR(__xludf.DUMMYFUNCTION("""COMPUTED_VALUE"""),4.900050978276958)</f>
        <v>4.900050978</v>
      </c>
      <c r="E7" s="15">
        <f>IFERROR(__xludf.DUMMYFUNCTION("""COMPUTED_VALUE"""),2.2227688289149565)</f>
        <v>2.222768829</v>
      </c>
      <c r="F7" s="15">
        <f>IFERROR(__xludf.DUMMYFUNCTION("""COMPUTED_VALUE"""),7.122819807191915)</f>
        <v>7.122819807</v>
      </c>
      <c r="G7" s="17">
        <f>IFERROR(__xludf.DUMMYFUNCTION("""COMPUTED_VALUE"""),1.3390233282321278)</f>
        <v>1.339023328</v>
      </c>
      <c r="H7" s="4"/>
      <c r="I7" s="5" t="s">
        <v>152</v>
      </c>
      <c r="J7" s="5" t="s">
        <v>36</v>
      </c>
      <c r="K7" s="24">
        <v>387.0</v>
      </c>
      <c r="L7" s="5">
        <v>5.491582</v>
      </c>
      <c r="M7" s="5">
        <v>1.522785</v>
      </c>
      <c r="N7" s="5">
        <v>7.014367</v>
      </c>
      <c r="O7" s="5">
        <v>1.065104</v>
      </c>
    </row>
    <row r="8">
      <c r="A8" s="18" t="str">
        <f>IFERROR(__xludf.DUMMYFUNCTION("""COMPUTED_VALUE"""),"Sammy Mejia")</f>
        <v>Sammy Mejia</v>
      </c>
      <c r="B8" s="19" t="str">
        <f>IFERROR(__xludf.DUMMYFUNCTION("""COMPUTED_VALUE"""),"TOF")</f>
        <v>TOF</v>
      </c>
      <c r="C8" s="20">
        <f>IFERROR(__xludf.DUMMYFUNCTION("""COMPUTED_VALUE"""),1098.3)</f>
        <v>1098.3</v>
      </c>
      <c r="D8" s="21">
        <f>IFERROR(__xludf.DUMMYFUNCTION("""COMPUTED_VALUE"""),4.586344371049825)</f>
        <v>4.586344371</v>
      </c>
      <c r="E8" s="21">
        <f>IFERROR(__xludf.DUMMYFUNCTION("""COMPUTED_VALUE"""),1.796713385638128)</f>
        <v>1.796713386</v>
      </c>
      <c r="F8" s="21">
        <f>IFERROR(__xludf.DUMMYFUNCTION("""COMPUTED_VALUE"""),6.383057756687953)</f>
        <v>6.383057757</v>
      </c>
      <c r="G8" s="23">
        <f>IFERROR(__xludf.DUMMYFUNCTION("""COMPUTED_VALUE"""),2.787130076340776)</f>
        <v>2.787130076</v>
      </c>
      <c r="H8" s="4"/>
      <c r="I8" s="5" t="s">
        <v>90</v>
      </c>
      <c r="J8" s="5" t="s">
        <v>36</v>
      </c>
      <c r="K8" s="5">
        <v>480.0</v>
      </c>
      <c r="L8" s="5">
        <v>4.695765</v>
      </c>
      <c r="M8" s="5">
        <v>2.158854</v>
      </c>
      <c r="N8" s="5">
        <v>6.854619</v>
      </c>
      <c r="O8" s="5">
        <v>1.298926</v>
      </c>
    </row>
    <row r="9">
      <c r="A9" s="12" t="str">
        <f>IFERROR(__xludf.DUMMYFUNCTION("""COMPUTED_VALUE"""),"Marko Guduric")</f>
        <v>Marko Guduric</v>
      </c>
      <c r="B9" s="13" t="str">
        <f>IFERROR(__xludf.DUMMYFUNCTION("""COMPUTED_VALUE"""),"FEN")</f>
        <v>FEN</v>
      </c>
      <c r="C9" s="14">
        <f>IFERROR(__xludf.DUMMYFUNCTION("""COMPUTED_VALUE"""),580.9)</f>
        <v>580.9</v>
      </c>
      <c r="D9" s="15">
        <f>IFERROR(__xludf.DUMMYFUNCTION("""COMPUTED_VALUE"""),3.9342511894573304)</f>
        <v>3.934251189</v>
      </c>
      <c r="E9" s="15">
        <f>IFERROR(__xludf.DUMMYFUNCTION("""COMPUTED_VALUE"""),2.376517863352597)</f>
        <v>2.376517863</v>
      </c>
      <c r="F9" s="15">
        <f>IFERROR(__xludf.DUMMYFUNCTION("""COMPUTED_VALUE"""),6.310769052809928)</f>
        <v>6.310769053</v>
      </c>
      <c r="G9" s="17">
        <f>IFERROR(__xludf.DUMMYFUNCTION("""COMPUTED_VALUE"""),1.4695163782999905)</f>
        <v>1.469516378</v>
      </c>
      <c r="H9" s="4"/>
      <c r="I9" s="5" t="s">
        <v>34</v>
      </c>
      <c r="J9" s="5" t="s">
        <v>36</v>
      </c>
      <c r="K9" s="5">
        <v>442.0</v>
      </c>
      <c r="L9" s="5">
        <v>2.505385</v>
      </c>
      <c r="M9" s="5">
        <v>4.332571</v>
      </c>
      <c r="N9" s="5">
        <v>6.837955</v>
      </c>
      <c r="O9" s="5">
        <v>1.192244</v>
      </c>
    </row>
    <row r="10">
      <c r="A10" s="18" t="str">
        <f>IFERROR(__xludf.DUMMYFUNCTION("""COMPUTED_VALUE"""),"Bryant Dunston")</f>
        <v>Bryant Dunston</v>
      </c>
      <c r="B10" s="19" t="str">
        <f>IFERROR(__xludf.DUMMYFUNCTION("""COMPUTED_VALUE"""),"EFE")</f>
        <v>EFE</v>
      </c>
      <c r="C10" s="20">
        <f>IFERROR(__xludf.DUMMYFUNCTION("""COMPUTED_VALUE"""),1085.6)</f>
        <v>1085.6</v>
      </c>
      <c r="D10" s="21">
        <f>IFERROR(__xludf.DUMMYFUNCTION("""COMPUTED_VALUE"""),2.5833480359536174)</f>
        <v>2.583348036</v>
      </c>
      <c r="E10" s="21">
        <f>IFERROR(__xludf.DUMMYFUNCTION("""COMPUTED_VALUE"""),3.6269673554148896)</f>
        <v>3.626967355</v>
      </c>
      <c r="F10" s="21">
        <f>IFERROR(__xludf.DUMMYFUNCTION("""COMPUTED_VALUE"""),6.210315391368507)</f>
        <v>6.210315391</v>
      </c>
      <c r="G10" s="23">
        <f>IFERROR(__xludf.DUMMYFUNCTION("""COMPUTED_VALUE"""),2.638052723515636)</f>
        <v>2.638052724</v>
      </c>
      <c r="H10" s="4"/>
      <c r="I10" s="5" t="s">
        <v>58</v>
      </c>
      <c r="J10" s="5" t="s">
        <v>60</v>
      </c>
      <c r="K10" s="24">
        <v>918.0</v>
      </c>
      <c r="L10" s="5">
        <v>2.174666</v>
      </c>
      <c r="M10" s="5">
        <v>4.410171</v>
      </c>
      <c r="N10" s="5">
        <v>6.584837</v>
      </c>
      <c r="O10" s="5">
        <v>2.334109</v>
      </c>
    </row>
    <row r="11">
      <c r="A11" s="12" t="str">
        <f>IFERROR(__xludf.DUMMYFUNCTION("""COMPUTED_VALUE"""),"Angelo Caloiaro")</f>
        <v>Angelo Caloiaro</v>
      </c>
      <c r="B11" s="13" t="str">
        <f>IFERROR(__xludf.DUMMYFUNCTION("""COMPUTED_VALUE"""),"BVS")</f>
        <v>BVS</v>
      </c>
      <c r="C11" s="14">
        <f>IFERROR(__xludf.DUMMYFUNCTION("""COMPUTED_VALUE"""),1091.9)</f>
        <v>1091.9</v>
      </c>
      <c r="D11" s="15">
        <f>IFERROR(__xludf.DUMMYFUNCTION("""COMPUTED_VALUE"""),4.507812688282376)</f>
        <v>4.507812688</v>
      </c>
      <c r="E11" s="15">
        <f>IFERROR(__xludf.DUMMYFUNCTION("""COMPUTED_VALUE"""),1.6727629481451984)</f>
        <v>1.672762948</v>
      </c>
      <c r="F11" s="15">
        <f>IFERROR(__xludf.DUMMYFUNCTION("""COMPUTED_VALUE"""),6.180575636427575)</f>
        <v>6.180575636</v>
      </c>
      <c r="G11" s="17">
        <f>IFERROR(__xludf.DUMMYFUNCTION("""COMPUTED_VALUE"""),2.688411167008009)</f>
        <v>2.688411167</v>
      </c>
      <c r="H11" s="4"/>
      <c r="I11" s="5" t="s">
        <v>1883</v>
      </c>
      <c r="J11" s="5" t="s">
        <v>1884</v>
      </c>
      <c r="K11" s="5">
        <v>474.0</v>
      </c>
      <c r="L11" s="5">
        <v>2.261996</v>
      </c>
      <c r="M11" s="5">
        <v>3.570994</v>
      </c>
      <c r="N11" s="5">
        <v>5.83299</v>
      </c>
      <c r="O11" s="5">
        <v>1.118537</v>
      </c>
    </row>
    <row r="12">
      <c r="A12" s="18" t="str">
        <f>IFERROR(__xludf.DUMMYFUNCTION("""COMPUTED_VALUE"""),"Stanton Kidd")</f>
        <v>Stanton Kidd</v>
      </c>
      <c r="B12" s="19" t="str">
        <f>IFERROR(__xludf.DUMMYFUNCTION("""COMPUTED_VALUE"""),"DBI")</f>
        <v>DBI</v>
      </c>
      <c r="C12" s="20">
        <f>IFERROR(__xludf.DUMMYFUNCTION("""COMPUTED_VALUE"""),483.6)</f>
        <v>483.6</v>
      </c>
      <c r="D12" s="21">
        <f>IFERROR(__xludf.DUMMYFUNCTION("""COMPUTED_VALUE"""),2.152908729026276)</f>
        <v>2.152908729</v>
      </c>
      <c r="E12" s="21">
        <f>IFERROR(__xludf.DUMMYFUNCTION("""COMPUTED_VALUE"""),3.4128705092657263)</f>
        <v>3.412870509</v>
      </c>
      <c r="F12" s="21">
        <f>IFERROR(__xludf.DUMMYFUNCTION("""COMPUTED_VALUE"""),5.565779238292002)</f>
        <v>5.565779238</v>
      </c>
      <c r="G12" s="23">
        <f>IFERROR(__xludf.DUMMYFUNCTION("""COMPUTED_VALUE"""),1.1038148185185934)</f>
        <v>1.103814819</v>
      </c>
      <c r="H12" s="4"/>
      <c r="I12" s="5" t="s">
        <v>80</v>
      </c>
      <c r="J12" s="5" t="s">
        <v>36</v>
      </c>
      <c r="K12" s="24">
        <v>422.0</v>
      </c>
      <c r="L12" s="5">
        <v>4.034471</v>
      </c>
      <c r="M12" s="5">
        <v>1.509048</v>
      </c>
      <c r="N12" s="5">
        <v>5.543519</v>
      </c>
      <c r="O12" s="5">
        <v>0.971756</v>
      </c>
    </row>
    <row r="13">
      <c r="A13" s="12" t="str">
        <f>IFERROR(__xludf.DUMMYFUNCTION("""COMPUTED_VALUE"""),"James Nunnally")</f>
        <v>James Nunnally</v>
      </c>
      <c r="B13" s="13" t="str">
        <f>IFERROR(__xludf.DUMMYFUNCTION("""COMPUTED_VALUE"""),"FEN")</f>
        <v>FEN</v>
      </c>
      <c r="C13" s="14">
        <f>IFERROR(__xludf.DUMMYFUNCTION("""COMPUTED_VALUE"""),524.8)</f>
        <v>524.8</v>
      </c>
      <c r="D13" s="15">
        <f>IFERROR(__xludf.DUMMYFUNCTION("""COMPUTED_VALUE"""),4.157517348202752)</f>
        <v>4.157517348</v>
      </c>
      <c r="E13" s="15">
        <f>IFERROR(__xludf.DUMMYFUNCTION("""COMPUTED_VALUE"""),1.4077578880763904)</f>
        <v>1.407757888</v>
      </c>
      <c r="F13" s="15">
        <f>IFERROR(__xludf.DUMMYFUNCTION("""COMPUTED_VALUE"""),5.565275236279143)</f>
        <v>5.565275236</v>
      </c>
      <c r="G13" s="17">
        <f>IFERROR(__xludf.DUMMYFUNCTION("""COMPUTED_VALUE"""),1.2085104211308535)</f>
        <v>1.208510421</v>
      </c>
      <c r="H13" s="4"/>
      <c r="I13" s="5" t="s">
        <v>1886</v>
      </c>
      <c r="J13" s="5" t="s">
        <v>1887</v>
      </c>
      <c r="K13" s="24">
        <v>909.0</v>
      </c>
      <c r="L13" s="5">
        <v>3.923433</v>
      </c>
      <c r="M13" s="5">
        <v>1.524003</v>
      </c>
      <c r="N13" s="5">
        <v>5.447436</v>
      </c>
      <c r="O13" s="5">
        <v>2.042381</v>
      </c>
    </row>
    <row r="14">
      <c r="A14" s="18" t="str">
        <f>IFERROR(__xludf.DUMMYFUNCTION("""COMPUTED_VALUE"""),"Alex Renfroe")</f>
        <v>Alex Renfroe</v>
      </c>
      <c r="B14" s="19" t="str">
        <f>IFERROR(__xludf.DUMMYFUNCTION("""COMPUTED_VALUE"""),"GAL")</f>
        <v>GAL</v>
      </c>
      <c r="C14" s="20">
        <f>IFERROR(__xludf.DUMMYFUNCTION("""COMPUTED_VALUE"""),705.2)</f>
        <v>705.2</v>
      </c>
      <c r="D14" s="21">
        <f>IFERROR(__xludf.DUMMYFUNCTION("""COMPUTED_VALUE"""),3.703627755526334)</f>
        <v>3.703627756</v>
      </c>
      <c r="E14" s="21">
        <f>IFERROR(__xludf.DUMMYFUNCTION("""COMPUTED_VALUE"""),1.4210575943856423)</f>
        <v>1.421057594</v>
      </c>
      <c r="F14" s="21">
        <f>IFERROR(__xludf.DUMMYFUNCTION("""COMPUTED_VALUE"""),5.124685349911976)</f>
        <v>5.12468535</v>
      </c>
      <c r="G14" s="23">
        <f>IFERROR(__xludf.DUMMYFUNCTION("""COMPUTED_VALUE"""),1.5430070094412693)</f>
        <v>1.543007009</v>
      </c>
      <c r="H14" s="4"/>
      <c r="I14" s="5" t="s">
        <v>1889</v>
      </c>
      <c r="J14" s="5" t="s">
        <v>1887</v>
      </c>
      <c r="K14" s="5">
        <v>664.0</v>
      </c>
      <c r="L14" s="5">
        <v>3.180351</v>
      </c>
      <c r="M14" s="5">
        <v>2.246833</v>
      </c>
      <c r="N14" s="5">
        <v>5.427184</v>
      </c>
      <c r="O14" s="5">
        <v>1.487417</v>
      </c>
    </row>
    <row r="15">
      <c r="A15" s="12" t="str">
        <f>IFERROR(__xludf.DUMMYFUNCTION("""COMPUTED_VALUE"""),"Josh Duncan")</f>
        <v>Josh Duncan</v>
      </c>
      <c r="B15" s="13" t="str">
        <f>IFERROR(__xludf.DUMMYFUNCTION("""COMPUTED_VALUE"""),"ESK")</f>
        <v>ESK</v>
      </c>
      <c r="C15" s="14">
        <f>IFERROR(__xludf.DUMMYFUNCTION("""COMPUTED_VALUE"""),701.4)</f>
        <v>701.4</v>
      </c>
      <c r="D15" s="15">
        <f>IFERROR(__xludf.DUMMYFUNCTION("""COMPUTED_VALUE"""),3.274352540712969)</f>
        <v>3.274352541</v>
      </c>
      <c r="E15" s="15">
        <f>IFERROR(__xludf.DUMMYFUNCTION("""COMPUTED_VALUE"""),1.8473697540546263)</f>
        <v>1.847369754</v>
      </c>
      <c r="F15" s="15">
        <f>IFERROR(__xludf.DUMMYFUNCTION("""COMPUTED_VALUE"""),5.121722294767595)</f>
        <v>5.121722295</v>
      </c>
      <c r="G15" s="17">
        <f>IFERROR(__xludf.DUMMYFUNCTION("""COMPUTED_VALUE"""),1.5409675158756058)</f>
        <v>1.540967516</v>
      </c>
      <c r="H15" s="4"/>
      <c r="I15" s="5" t="s">
        <v>1891</v>
      </c>
      <c r="J15" s="5" t="s">
        <v>1592</v>
      </c>
      <c r="K15" s="5">
        <v>705.0</v>
      </c>
      <c r="L15" s="5">
        <v>3.69031</v>
      </c>
      <c r="M15" s="5">
        <v>1.434538</v>
      </c>
      <c r="N15" s="5">
        <v>5.124848</v>
      </c>
      <c r="O15" s="5">
        <v>1.543042</v>
      </c>
    </row>
    <row r="16">
      <c r="A16" s="18" t="str">
        <f>IFERROR(__xludf.DUMMYFUNCTION("""COMPUTED_VALUE"""),"Pierria Henry")</f>
        <v>Pierria Henry</v>
      </c>
      <c r="B16" s="19" t="str">
        <f>IFERROR(__xludf.DUMMYFUNCTION("""COMPUTED_VALUE"""),"TOF")</f>
        <v>TOF</v>
      </c>
      <c r="C16" s="20">
        <f>IFERROR(__xludf.DUMMYFUNCTION("""COMPUTED_VALUE"""),1026.4)</f>
        <v>1026.4</v>
      </c>
      <c r="D16" s="21">
        <f>IFERROR(__xludf.DUMMYFUNCTION("""COMPUTED_VALUE"""),2.383927319529122)</f>
        <v>2.38392732</v>
      </c>
      <c r="E16" s="21">
        <f>IFERROR(__xludf.DUMMYFUNCTION("""COMPUTED_VALUE"""),2.7015339273184003)</f>
        <v>2.701533927</v>
      </c>
      <c r="F16" s="21">
        <f>IFERROR(__xludf.DUMMYFUNCTION("""COMPUTED_VALUE"""),5.085461246847522)</f>
        <v>5.085461247</v>
      </c>
      <c r="G16" s="23">
        <f>IFERROR(__xludf.DUMMYFUNCTION("""COMPUTED_VALUE"""),2.201499374267406)</f>
        <v>2.201499374</v>
      </c>
      <c r="H16" s="4"/>
      <c r="I16" s="5" t="s">
        <v>1893</v>
      </c>
      <c r="J16" s="5" t="s">
        <v>1894</v>
      </c>
      <c r="K16" s="24">
        <v>671.0</v>
      </c>
      <c r="L16" s="5">
        <v>2.972783</v>
      </c>
      <c r="M16" s="5">
        <v>2.019053</v>
      </c>
      <c r="N16" s="5">
        <v>4.991836</v>
      </c>
      <c r="O16" s="5">
        <v>1.407291</v>
      </c>
    </row>
    <row r="17">
      <c r="A17" s="12" t="str">
        <f>IFERROR(__xludf.DUMMYFUNCTION("""COMPUTED_VALUE"""),"Damian Kulig")</f>
        <v>Damian Kulig</v>
      </c>
      <c r="B17" s="13" t="str">
        <f>IFERROR(__xludf.DUMMYFUNCTION("""COMPUTED_VALUE"""),"BVS")</f>
        <v>BVS</v>
      </c>
      <c r="C17" s="14">
        <f>IFERROR(__xludf.DUMMYFUNCTION("""COMPUTED_VALUE"""),776.6)</f>
        <v>776.6</v>
      </c>
      <c r="D17" s="15">
        <f>IFERROR(__xludf.DUMMYFUNCTION("""COMPUTED_VALUE"""),3.232313989852866)</f>
        <v>3.23231399</v>
      </c>
      <c r="E17" s="15">
        <f>IFERROR(__xludf.DUMMYFUNCTION("""COMPUTED_VALUE"""),1.650661912265174)</f>
        <v>1.650661912</v>
      </c>
      <c r="F17" s="15">
        <f>IFERROR(__xludf.DUMMYFUNCTION("""COMPUTED_VALUE"""),4.88297590211804)</f>
        <v>4.882975902</v>
      </c>
      <c r="G17" s="17">
        <f>IFERROR(__xludf.DUMMYFUNCTION("""COMPUTED_VALUE"""),1.6088019927872053)</f>
        <v>1.608801993</v>
      </c>
      <c r="H17" s="4"/>
      <c r="I17" s="5" t="s">
        <v>1895</v>
      </c>
      <c r="J17" s="5" t="s">
        <v>1884</v>
      </c>
      <c r="K17" s="5">
        <v>780.0</v>
      </c>
      <c r="L17" s="5">
        <v>4.870912</v>
      </c>
      <c r="M17" s="5">
        <v>-0.175976</v>
      </c>
      <c r="N17" s="5">
        <v>4.694936</v>
      </c>
      <c r="O17" s="5">
        <v>1.574463</v>
      </c>
    </row>
    <row r="18">
      <c r="A18" s="18" t="str">
        <f>IFERROR(__xludf.DUMMYFUNCTION("""COMPUTED_VALUE"""),"Scottie Wilbekin")</f>
        <v>Scottie Wilbekin</v>
      </c>
      <c r="B18" s="19" t="str">
        <f>IFERROR(__xludf.DUMMYFUNCTION("""COMPUTED_VALUE"""),"DBI")</f>
        <v>DBI</v>
      </c>
      <c r="C18" s="20">
        <f>IFERROR(__xludf.DUMMYFUNCTION("""COMPUTED_VALUE"""),813.8)</f>
        <v>813.8</v>
      </c>
      <c r="D18" s="21">
        <f>IFERROR(__xludf.DUMMYFUNCTION("""COMPUTED_VALUE"""),4.986913389596479)</f>
        <v>4.98691339</v>
      </c>
      <c r="E18" s="21">
        <f>IFERROR(__xludf.DUMMYFUNCTION("""COMPUTED_VALUE"""),-0.299924854272307)</f>
        <v>-0.2999248543</v>
      </c>
      <c r="F18" s="21">
        <f>IFERROR(__xludf.DUMMYFUNCTION("""COMPUTED_VALUE"""),4.686988535324172)</f>
        <v>4.686988535</v>
      </c>
      <c r="G18" s="23">
        <f>IFERROR(__xludf.DUMMYFUNCTION("""COMPUTED_VALUE"""),1.6417405576896555)</f>
        <v>1.641740558</v>
      </c>
      <c r="H18" s="4"/>
      <c r="I18" s="5" t="s">
        <v>1897</v>
      </c>
      <c r="J18" s="5" t="s">
        <v>1878</v>
      </c>
      <c r="K18" s="24">
        <v>866.0</v>
      </c>
      <c r="L18" s="5">
        <v>1.891302</v>
      </c>
      <c r="M18" s="5">
        <v>2.66534</v>
      </c>
      <c r="N18" s="5">
        <v>4.556642</v>
      </c>
      <c r="O18" s="5">
        <v>1.722518</v>
      </c>
    </row>
    <row r="19">
      <c r="A19" s="12" t="str">
        <f>IFERROR(__xludf.DUMMYFUNCTION("""COMPUTED_VALUE"""),"Brad Wanamaker")</f>
        <v>Brad Wanamaker</v>
      </c>
      <c r="B19" s="13" t="str">
        <f>IFERROR(__xludf.DUMMYFUNCTION("""COMPUTED_VALUE"""),"FEN")</f>
        <v>FEN</v>
      </c>
      <c r="C19" s="14">
        <f>IFERROR(__xludf.DUMMYFUNCTION("""COMPUTED_VALUE"""),564.3)</f>
        <v>564.3</v>
      </c>
      <c r="D19" s="15">
        <f>IFERROR(__xludf.DUMMYFUNCTION("""COMPUTED_VALUE"""),3.5097431938471475)</f>
        <v>3.509743194</v>
      </c>
      <c r="E19" s="15">
        <f>IFERROR(__xludf.DUMMYFUNCTION("""COMPUTED_VALUE"""),0.8172821481226675)</f>
        <v>0.8172821481</v>
      </c>
      <c r="F19" s="15">
        <f>IFERROR(__xludf.DUMMYFUNCTION("""COMPUTED_VALUE"""),4.327025341969815)</f>
        <v>4.327025342</v>
      </c>
      <c r="G19" s="17">
        <f>IFERROR(__xludf.DUMMYFUNCTION("""COMPUTED_VALUE"""),1.0867795674705736)</f>
        <v>1.086779567</v>
      </c>
      <c r="H19" s="4"/>
      <c r="I19" s="5" t="s">
        <v>1899</v>
      </c>
      <c r="J19" s="5" t="s">
        <v>1900</v>
      </c>
      <c r="K19" s="5">
        <v>789.0</v>
      </c>
      <c r="L19" s="5">
        <v>0.949886</v>
      </c>
      <c r="M19" s="5">
        <v>3.520687</v>
      </c>
      <c r="N19" s="5">
        <v>4.470573</v>
      </c>
      <c r="O19" s="5">
        <v>1.675321</v>
      </c>
    </row>
    <row r="20">
      <c r="A20" s="18" t="str">
        <f>IFERROR(__xludf.DUMMYFUNCTION("""COMPUTED_VALUE"""),"Richard Hendrix")</f>
        <v>Richard Hendrix</v>
      </c>
      <c r="B20" s="19" t="str">
        <f>IFERROR(__xludf.DUMMYFUNCTION("""COMPUTED_VALUE"""),"GAL")</f>
        <v>GAL</v>
      </c>
      <c r="C20" s="20">
        <f>IFERROR(__xludf.DUMMYFUNCTION("""COMPUTED_VALUE"""),613.5)</f>
        <v>613.5</v>
      </c>
      <c r="D20" s="21">
        <f>IFERROR(__xludf.DUMMYFUNCTION("""COMPUTED_VALUE"""),0.006824735261424519)</f>
        <v>0.006824735261</v>
      </c>
      <c r="E20" s="21">
        <f>IFERROR(__xludf.DUMMYFUNCTION("""COMPUTED_VALUE"""),4.244356426115195)</f>
        <v>4.244356426</v>
      </c>
      <c r="F20" s="21">
        <f>IFERROR(__xludf.DUMMYFUNCTION("""COMPUTED_VALUE"""),4.2511811613766195)</f>
        <v>4.251181161</v>
      </c>
      <c r="G20" s="23">
        <f>IFERROR(__xludf.DUMMYFUNCTION("""COMPUTED_VALUE"""),1.177786462626768)</f>
        <v>1.177786463</v>
      </c>
      <c r="H20" s="4"/>
      <c r="I20" s="5" t="s">
        <v>1902</v>
      </c>
      <c r="J20" s="5" t="s">
        <v>1884</v>
      </c>
      <c r="K20" s="5">
        <v>412.0</v>
      </c>
      <c r="L20" s="5">
        <v>1.310581</v>
      </c>
      <c r="M20" s="5">
        <v>3.121416</v>
      </c>
      <c r="N20" s="5">
        <v>4.431997</v>
      </c>
      <c r="O20" s="5">
        <v>0.798988</v>
      </c>
    </row>
    <row r="21">
      <c r="A21" s="12" t="str">
        <f>IFERROR(__xludf.DUMMYFUNCTION("""COMPUTED_VALUE"""),"Sertac Sanli")</f>
        <v>Sertac Sanli</v>
      </c>
      <c r="B21" s="13" t="str">
        <f>IFERROR(__xludf.DUMMYFUNCTION("""COMPUTED_VALUE"""),"BES")</f>
        <v>BES</v>
      </c>
      <c r="C21" s="14">
        <f>IFERROR(__xludf.DUMMYFUNCTION("""COMPUTED_VALUE"""),572.8)</f>
        <v>572.8</v>
      </c>
      <c r="D21" s="15">
        <f>IFERROR(__xludf.DUMMYFUNCTION("""COMPUTED_VALUE"""),0.27724959110689484)</f>
        <v>0.2772495911</v>
      </c>
      <c r="E21" s="15">
        <f>IFERROR(__xludf.DUMMYFUNCTION("""COMPUTED_VALUE"""),3.9167366831098573)</f>
        <v>3.916736683</v>
      </c>
      <c r="F21" s="15">
        <f>IFERROR(__xludf.DUMMYFUNCTION("""COMPUTED_VALUE"""),4.193986274216752)</f>
        <v>4.193986274</v>
      </c>
      <c r="G21" s="17">
        <f>IFERROR(__xludf.DUMMYFUNCTION("""COMPUTED_VALUE"""),1.1718002699602117)</f>
        <v>1.17180027</v>
      </c>
      <c r="H21" s="4"/>
      <c r="I21" s="5" t="s">
        <v>83</v>
      </c>
      <c r="J21" s="5" t="s">
        <v>36</v>
      </c>
      <c r="K21" s="5">
        <v>381.0</v>
      </c>
      <c r="L21" s="5">
        <v>3.728049</v>
      </c>
      <c r="M21" s="5">
        <v>0.655122</v>
      </c>
      <c r="N21" s="5">
        <v>4.383171</v>
      </c>
      <c r="O21" s="5">
        <v>0.742119</v>
      </c>
    </row>
    <row r="22">
      <c r="A22" s="18" t="str">
        <f>IFERROR(__xludf.DUMMYFUNCTION("""COMPUTED_VALUE"""),"Furkan Aldemir")</f>
        <v>Furkan Aldemir</v>
      </c>
      <c r="B22" s="19" t="str">
        <f>IFERROR(__xludf.DUMMYFUNCTION("""COMPUTED_VALUE"""),"DBI")</f>
        <v>DBI</v>
      </c>
      <c r="C22" s="20">
        <f>IFERROR(__xludf.DUMMYFUNCTION("""COMPUTED_VALUE"""),418.5)</f>
        <v>418.5</v>
      </c>
      <c r="D22" s="21">
        <f>IFERROR(__xludf.DUMMYFUNCTION("""COMPUTED_VALUE"""),1.2243102705306177)</f>
        <v>1.224310271</v>
      </c>
      <c r="E22" s="21">
        <f>IFERROR(__xludf.DUMMYFUNCTION("""COMPUTED_VALUE"""),2.966337570286707)</f>
        <v>2.96633757</v>
      </c>
      <c r="F22" s="21">
        <f>IFERROR(__xludf.DUMMYFUNCTION("""COMPUTED_VALUE"""),4.190647840817324)</f>
        <v>4.190647841</v>
      </c>
      <c r="G22" s="23">
        <f>IFERROR(__xludf.DUMMYFUNCTION("""COMPUTED_VALUE"""),0.7816058926612206)</f>
        <v>0.7816058927</v>
      </c>
      <c r="H22" s="4"/>
      <c r="I22" s="5" t="s">
        <v>489</v>
      </c>
      <c r="J22" s="5" t="s">
        <v>36</v>
      </c>
      <c r="K22" s="5">
        <v>645.0</v>
      </c>
      <c r="L22" s="5">
        <v>4.842734</v>
      </c>
      <c r="M22" s="5">
        <v>-0.547933</v>
      </c>
      <c r="N22" s="5">
        <v>4.294801</v>
      </c>
      <c r="O22" s="5">
        <v>1.240002</v>
      </c>
    </row>
    <row r="23">
      <c r="A23" s="12" t="str">
        <f>IFERROR(__xludf.DUMMYFUNCTION("""COMPUTED_VALUE"""),"Tony Crocker")</f>
        <v>Tony Crocker</v>
      </c>
      <c r="B23" s="13" t="str">
        <f>IFERROR(__xludf.DUMMYFUNCTION("""COMPUTED_VALUE"""),"TOF")</f>
        <v>TOF</v>
      </c>
      <c r="C23" s="14">
        <f>IFERROR(__xludf.DUMMYFUNCTION("""COMPUTED_VALUE"""),887.8)</f>
        <v>887.8</v>
      </c>
      <c r="D23" s="15">
        <f>IFERROR(__xludf.DUMMYFUNCTION("""COMPUTED_VALUE"""),3.9924799729590914)</f>
        <v>3.992479973</v>
      </c>
      <c r="E23" s="15">
        <f>IFERROR(__xludf.DUMMYFUNCTION("""COMPUTED_VALUE"""),-0.0878399015547573)</f>
        <v>-0.08783990155</v>
      </c>
      <c r="F23" s="15">
        <f>IFERROR(__xludf.DUMMYFUNCTION("""COMPUTED_VALUE"""),3.904640071404334)</f>
        <v>3.904640071</v>
      </c>
      <c r="G23" s="17">
        <f>IFERROR(__xludf.DUMMYFUNCTION("""COMPUTED_VALUE"""),1.586873713517512)</f>
        <v>1.586873714</v>
      </c>
      <c r="H23" s="4"/>
      <c r="I23" s="5" t="s">
        <v>1905</v>
      </c>
      <c r="J23" s="5" t="s">
        <v>1592</v>
      </c>
      <c r="K23" s="24">
        <v>614.0</v>
      </c>
      <c r="L23" s="5">
        <v>-0.007005</v>
      </c>
      <c r="M23" s="5">
        <v>4.257928</v>
      </c>
      <c r="N23" s="5">
        <v>4.250923</v>
      </c>
      <c r="O23" s="5">
        <v>1.177738</v>
      </c>
    </row>
    <row r="24">
      <c r="A24" s="18" t="str">
        <f>IFERROR(__xludf.DUMMYFUNCTION("""COMPUTED_VALUE"""),"Melih Mahmutoglu")</f>
        <v>Melih Mahmutoglu</v>
      </c>
      <c r="B24" s="19" t="str">
        <f>IFERROR(__xludf.DUMMYFUNCTION("""COMPUTED_VALUE"""),"FEN")</f>
        <v>FEN</v>
      </c>
      <c r="C24" s="20">
        <f>IFERROR(__xludf.DUMMYFUNCTION("""COMPUTED_VALUE"""),694.6)</f>
        <v>694.6</v>
      </c>
      <c r="D24" s="21">
        <f>IFERROR(__xludf.DUMMYFUNCTION("""COMPUTED_VALUE"""),4.566701371490163)</f>
        <v>4.566701371</v>
      </c>
      <c r="E24" s="21">
        <f>IFERROR(__xludf.DUMMYFUNCTION("""COMPUTED_VALUE"""),-0.6688283288904868)</f>
        <v>-0.6688283289</v>
      </c>
      <c r="F24" s="21">
        <f>IFERROR(__xludf.DUMMYFUNCTION("""COMPUTED_VALUE"""),3.8978730425996764)</f>
        <v>3.897873043</v>
      </c>
      <c r="G24" s="23">
        <f>IFERROR(__xludf.DUMMYFUNCTION("""COMPUTED_VALUE"""),1.2469873249720371)</f>
        <v>1.246987325</v>
      </c>
      <c r="H24" s="4"/>
      <c r="I24" s="5" t="s">
        <v>1906</v>
      </c>
      <c r="J24" s="5" t="s">
        <v>1878</v>
      </c>
      <c r="K24" s="24">
        <v>741.0</v>
      </c>
      <c r="L24" s="5">
        <v>3.64492</v>
      </c>
      <c r="M24" s="5">
        <v>0.586428</v>
      </c>
      <c r="N24" s="5">
        <v>4.231348</v>
      </c>
      <c r="O24" s="5">
        <v>1.401086</v>
      </c>
    </row>
    <row r="25">
      <c r="A25" s="12" t="str">
        <f>IFERROR(__xludf.DUMMYFUNCTION("""COMPUTED_VALUE"""),"Kyle Weems")</f>
        <v>Kyle Weems</v>
      </c>
      <c r="B25" s="13" t="str">
        <f>IFERROR(__xludf.DUMMYFUNCTION("""COMPUTED_VALUE"""),"BES")</f>
        <v>BES</v>
      </c>
      <c r="C25" s="14">
        <f>IFERROR(__xludf.DUMMYFUNCTION("""COMPUTED_VALUE"""),839.3)</f>
        <v>839.3</v>
      </c>
      <c r="D25" s="15">
        <f>IFERROR(__xludf.DUMMYFUNCTION("""COMPUTED_VALUE"""),0.5338466359409919)</f>
        <v>0.5338466359</v>
      </c>
      <c r="E25" s="15">
        <f>IFERROR(__xludf.DUMMYFUNCTION("""COMPUTED_VALUE"""),3.2273839066416627)</f>
        <v>3.227383907</v>
      </c>
      <c r="F25" s="15">
        <f>IFERROR(__xludf.DUMMYFUNCTION("""COMPUTED_VALUE"""),3.7612305425826547)</f>
        <v>3.761230543</v>
      </c>
      <c r="G25" s="17">
        <f>IFERROR(__xludf.DUMMYFUNCTION("""COMPUTED_VALUE"""),1.5970290766946789)</f>
        <v>1.597029077</v>
      </c>
      <c r="H25" s="4"/>
      <c r="I25" s="5" t="s">
        <v>391</v>
      </c>
      <c r="J25" s="5" t="s">
        <v>36</v>
      </c>
      <c r="K25" s="5">
        <v>401.0</v>
      </c>
      <c r="L25" s="5">
        <v>0.743361</v>
      </c>
      <c r="M25" s="5">
        <v>3.413068</v>
      </c>
      <c r="N25" s="5">
        <v>4.156429</v>
      </c>
      <c r="O25" s="5">
        <v>0.755073</v>
      </c>
    </row>
    <row r="26">
      <c r="A26" s="18" t="str">
        <f>IFERROR(__xludf.DUMMYFUNCTION("""COMPUTED_VALUE"""),"Robert Carter, Jr.")</f>
        <v>Robert Carter, Jr.</v>
      </c>
      <c r="B26" s="19" t="str">
        <f>IFERROR(__xludf.DUMMYFUNCTION("""COMPUTED_VALUE"""),"GAZ")</f>
        <v>GAZ</v>
      </c>
      <c r="C26" s="20">
        <f>IFERROR(__xludf.DUMMYFUNCTION("""COMPUTED_VALUE"""),559.7)</f>
        <v>559.7</v>
      </c>
      <c r="D26" s="21">
        <f>IFERROR(__xludf.DUMMYFUNCTION("""COMPUTED_VALUE"""),1.888289150727824)</f>
        <v>1.888289151</v>
      </c>
      <c r="E26" s="21">
        <f>IFERROR(__xludf.DUMMYFUNCTION("""COMPUTED_VALUE"""),1.864054016387126)</f>
        <v>1.864054016</v>
      </c>
      <c r="F26" s="21">
        <f>IFERROR(__xludf.DUMMYFUNCTION("""COMPUTED_VALUE"""),3.75234316711495)</f>
        <v>3.752343167</v>
      </c>
      <c r="G26" s="23">
        <f>IFERROR(__xludf.DUMMYFUNCTION("""COMPUTED_VALUE"""),0.9675120039890166)</f>
        <v>0.967512004</v>
      </c>
      <c r="H26" s="4"/>
      <c r="I26" s="5" t="s">
        <v>1909</v>
      </c>
      <c r="J26" s="5" t="s">
        <v>1900</v>
      </c>
      <c r="K26" s="24">
        <v>533.0</v>
      </c>
      <c r="L26" s="5">
        <v>-0.103598</v>
      </c>
      <c r="M26" s="5">
        <v>4.183911</v>
      </c>
      <c r="N26" s="5">
        <v>4.080313</v>
      </c>
      <c r="O26" s="5">
        <v>1.064154</v>
      </c>
    </row>
    <row r="27">
      <c r="A27" s="12" t="str">
        <f>IFERROR(__xludf.DUMMYFUNCTION("""COMPUTED_VALUE"""),"Jon Diebler")</f>
        <v>Jon Diebler</v>
      </c>
      <c r="B27" s="13" t="str">
        <f>IFERROR(__xludf.DUMMYFUNCTION("""COMPUTED_VALUE"""),"BES")</f>
        <v>BES</v>
      </c>
      <c r="C27" s="14">
        <f>IFERROR(__xludf.DUMMYFUNCTION("""COMPUTED_VALUE"""),741.3)</f>
        <v>741.3</v>
      </c>
      <c r="D27" s="15">
        <f>IFERROR(__xludf.DUMMYFUNCTION("""COMPUTED_VALUE"""),2.1135799302865577)</f>
        <v>2.11357993</v>
      </c>
      <c r="E27" s="15">
        <f>IFERROR(__xludf.DUMMYFUNCTION("""COMPUTED_VALUE"""),1.5593584874487476)</f>
        <v>1.559358487</v>
      </c>
      <c r="F27" s="15">
        <f>IFERROR(__xludf.DUMMYFUNCTION("""COMPUTED_VALUE"""),3.6729384177353053)</f>
        <v>3.672938418</v>
      </c>
      <c r="G27" s="17">
        <f>IFERROR(__xludf.DUMMYFUNCTION("""COMPUTED_VALUE"""),1.3889365771310789)</f>
        <v>1.388936577</v>
      </c>
      <c r="H27" s="4"/>
      <c r="I27" s="5" t="s">
        <v>1910</v>
      </c>
      <c r="J27" s="5" t="s">
        <v>1900</v>
      </c>
      <c r="K27" s="24">
        <v>741.0</v>
      </c>
      <c r="L27" s="5">
        <v>2.104307</v>
      </c>
      <c r="M27" s="5">
        <v>1.761542</v>
      </c>
      <c r="N27" s="5">
        <v>3.865849</v>
      </c>
      <c r="O27" s="5">
        <v>1.427293</v>
      </c>
    </row>
    <row r="28">
      <c r="A28" s="18" t="str">
        <f>IFERROR(__xludf.DUMMYFUNCTION("""COMPUTED_VALUE"""),"D.J. Kennedy")</f>
        <v>D.J. Kennedy</v>
      </c>
      <c r="B28" s="19" t="str">
        <f>IFERROR(__xludf.DUMMYFUNCTION("""COMPUTED_VALUE"""),"PIN")</f>
        <v>PIN</v>
      </c>
      <c r="C28" s="20">
        <f>IFERROR(__xludf.DUMMYFUNCTION("""COMPUTED_VALUE"""),976.4)</f>
        <v>976.4</v>
      </c>
      <c r="D28" s="21">
        <f>IFERROR(__xludf.DUMMYFUNCTION("""COMPUTED_VALUE"""),2.4246434570393283)</f>
        <v>2.424643457</v>
      </c>
      <c r="E28" s="21">
        <f>IFERROR(__xludf.DUMMYFUNCTION("""COMPUTED_VALUE"""),1.0832879092592225)</f>
        <v>1.083287909</v>
      </c>
      <c r="F28" s="21">
        <f>IFERROR(__xludf.DUMMYFUNCTION("""COMPUTED_VALUE"""),3.5079313662985507)</f>
        <v>3.507931366</v>
      </c>
      <c r="G28" s="23">
        <f>IFERROR(__xludf.DUMMYFUNCTION("""COMPUTED_VALUE"""),1.6333559321545574)</f>
        <v>1.633355932</v>
      </c>
      <c r="H28" s="4"/>
      <c r="I28" s="5" t="s">
        <v>1911</v>
      </c>
      <c r="J28" s="5" t="s">
        <v>1912</v>
      </c>
      <c r="K28" s="5">
        <v>560.0</v>
      </c>
      <c r="L28" s="5">
        <v>1.874155</v>
      </c>
      <c r="M28" s="5">
        <v>1.877681</v>
      </c>
      <c r="N28" s="5">
        <v>3.751836</v>
      </c>
      <c r="O28" s="5">
        <v>0.967427</v>
      </c>
    </row>
    <row r="29">
      <c r="A29" s="12" t="str">
        <f>IFERROR(__xludf.DUMMYFUNCTION("""COMPUTED_VALUE"""),"Howard Sant-Roos")</f>
        <v>Howard Sant-Roos</v>
      </c>
      <c r="B29" s="13" t="str">
        <f>IFERROR(__xludf.DUMMYFUNCTION("""COMPUTED_VALUE"""),"DBI")</f>
        <v>DBI</v>
      </c>
      <c r="C29" s="14">
        <f>IFERROR(__xludf.DUMMYFUNCTION("""COMPUTED_VALUE"""),836.0)</f>
        <v>836</v>
      </c>
      <c r="D29" s="15">
        <f>IFERROR(__xludf.DUMMYFUNCTION("""COMPUTED_VALUE"""),-1.2837780654940973)</f>
        <v>-1.283778065</v>
      </c>
      <c r="E29" s="15">
        <f>IFERROR(__xludf.DUMMYFUNCTION("""COMPUTED_VALUE"""),4.758234220808045)</f>
        <v>4.758234221</v>
      </c>
      <c r="F29" s="15">
        <f>IFERROR(__xludf.DUMMYFUNCTION("""COMPUTED_VALUE"""),3.4744561553139475)</f>
        <v>3.474456155</v>
      </c>
      <c r="G29" s="17">
        <f>IFERROR(__xludf.DUMMYFUNCTION("""COMPUTED_VALUE"""),1.3807133446518545)</f>
        <v>1.380713345</v>
      </c>
      <c r="H29" s="4"/>
      <c r="I29" s="5" t="s">
        <v>1914</v>
      </c>
      <c r="J29" s="5" t="s">
        <v>1915</v>
      </c>
      <c r="K29" s="5">
        <v>976.0</v>
      </c>
      <c r="L29" s="5">
        <v>2.410753</v>
      </c>
      <c r="M29" s="5">
        <v>1.096887</v>
      </c>
      <c r="N29" s="5">
        <v>3.50764</v>
      </c>
      <c r="O29" s="5">
        <v>1.63327</v>
      </c>
    </row>
    <row r="30">
      <c r="A30" s="18" t="str">
        <f>IFERROR(__xludf.DUMMYFUNCTION("""COMPUTED_VALUE"""),"Kostas Sloukas")</f>
        <v>Kostas Sloukas</v>
      </c>
      <c r="B30" s="19" t="str">
        <f>IFERROR(__xludf.DUMMYFUNCTION("""COMPUTED_VALUE"""),"FEN")</f>
        <v>FEN</v>
      </c>
      <c r="C30" s="20">
        <f>IFERROR(__xludf.DUMMYFUNCTION("""COMPUTED_VALUE"""),474.2)</f>
        <v>474.2</v>
      </c>
      <c r="D30" s="21">
        <f>IFERROR(__xludf.DUMMYFUNCTION("""COMPUTED_VALUE"""),3.8477738357320153)</f>
        <v>3.847773836</v>
      </c>
      <c r="E30" s="21">
        <f>IFERROR(__xludf.DUMMYFUNCTION("""COMPUTED_VALUE"""),-0.6180531968712941)</f>
        <v>-0.6180531969</v>
      </c>
      <c r="F30" s="21">
        <f>IFERROR(__xludf.DUMMYFUNCTION("""COMPUTED_VALUE"""),3.229720638860721)</f>
        <v>3.229720639</v>
      </c>
      <c r="G30" s="23">
        <f>IFERROR(__xludf.DUMMYFUNCTION("""COMPUTED_VALUE"""),0.7548695035953918)</f>
        <v>0.7548695036</v>
      </c>
      <c r="H30" s="4"/>
      <c r="I30" s="5" t="s">
        <v>111</v>
      </c>
      <c r="J30" s="5" t="s">
        <v>36</v>
      </c>
      <c r="K30" s="5">
        <v>486.0</v>
      </c>
      <c r="L30" s="5">
        <v>3.013987</v>
      </c>
      <c r="M30" s="5">
        <v>0.428855</v>
      </c>
      <c r="N30" s="5">
        <v>3.442842</v>
      </c>
      <c r="O30" s="5">
        <v>0.808747</v>
      </c>
    </row>
    <row r="31">
      <c r="A31" s="12" t="str">
        <f>IFERROR(__xludf.DUMMYFUNCTION("""COMPUTED_VALUE"""),"Adas Juskevicius")</f>
        <v>Adas Juskevicius</v>
      </c>
      <c r="B31" s="13" t="str">
        <f>IFERROR(__xludf.DUMMYFUNCTION("""COMPUTED_VALUE"""),"GAL")</f>
        <v>GAL</v>
      </c>
      <c r="C31" s="14">
        <f>IFERROR(__xludf.DUMMYFUNCTION("""COMPUTED_VALUE"""),312.2)</f>
        <v>312.2</v>
      </c>
      <c r="D31" s="15">
        <f>IFERROR(__xludf.DUMMYFUNCTION("""COMPUTED_VALUE"""),5.220979964159713)</f>
        <v>5.220979964</v>
      </c>
      <c r="E31" s="15">
        <f>IFERROR(__xludf.DUMMYFUNCTION("""COMPUTED_VALUE"""),-2.047032597123105)</f>
        <v>-2.047032597</v>
      </c>
      <c r="F31" s="15">
        <f>IFERROR(__xludf.DUMMYFUNCTION("""COMPUTED_VALUE"""),3.173947367036608)</f>
        <v>3.173947367</v>
      </c>
      <c r="G31" s="17">
        <f>IFERROR(__xludf.DUMMYFUNCTION("""COMPUTED_VALUE"""),0.49607211038970944)</f>
        <v>0.4960721104</v>
      </c>
      <c r="H31" s="4"/>
      <c r="I31" s="5" t="s">
        <v>197</v>
      </c>
      <c r="J31" s="5" t="s">
        <v>36</v>
      </c>
      <c r="K31" s="24">
        <v>368.0</v>
      </c>
      <c r="L31" s="5">
        <v>4.097038</v>
      </c>
      <c r="M31" s="5">
        <v>-0.728001</v>
      </c>
      <c r="N31" s="5">
        <v>3.369038</v>
      </c>
      <c r="O31" s="5">
        <v>0.603872</v>
      </c>
    </row>
    <row r="32">
      <c r="A32" s="18" t="str">
        <f>IFERROR(__xludf.DUMMYFUNCTION("""COMPUTED_VALUE"""),"Sinan Guler")</f>
        <v>Sinan Guler</v>
      </c>
      <c r="B32" s="19" t="str">
        <f>IFERROR(__xludf.DUMMYFUNCTION("""COMPUTED_VALUE"""),"FEN")</f>
        <v>FEN</v>
      </c>
      <c r="C32" s="20">
        <f>IFERROR(__xludf.DUMMYFUNCTION("""COMPUTED_VALUE"""),435.5)</f>
        <v>435.5</v>
      </c>
      <c r="D32" s="21">
        <f>IFERROR(__xludf.DUMMYFUNCTION("""COMPUTED_VALUE"""),-0.029866036319841527)</f>
        <v>-0.02986603632</v>
      </c>
      <c r="E32" s="21">
        <f>IFERROR(__xludf.DUMMYFUNCTION("""COMPUTED_VALUE"""),3.1837070894744124)</f>
        <v>3.183707089</v>
      </c>
      <c r="F32" s="21">
        <f>IFERROR(__xludf.DUMMYFUNCTION("""COMPUTED_VALUE"""),3.153841053154571)</f>
        <v>3.153841053</v>
      </c>
      <c r="G32" s="23">
        <f>IFERROR(__xludf.DUMMYFUNCTION("""COMPUTED_VALUE"""),0.6832049752861323)</f>
        <v>0.6832049753</v>
      </c>
      <c r="H32" s="4"/>
      <c r="I32" s="5" t="s">
        <v>1918</v>
      </c>
      <c r="J32" s="5" t="s">
        <v>1884</v>
      </c>
      <c r="K32" s="24">
        <v>810.0</v>
      </c>
      <c r="L32" s="5">
        <v>-1.336287</v>
      </c>
      <c r="M32" s="5">
        <v>4.657882</v>
      </c>
      <c r="N32" s="5">
        <v>3.321595</v>
      </c>
      <c r="O32" s="5">
        <v>1.299156</v>
      </c>
    </row>
    <row r="33">
      <c r="A33" s="12" t="str">
        <f>IFERROR(__xludf.DUMMYFUNCTION("""COMPUTED_VALUE"""),"Chris Obekpa")</f>
        <v>Chris Obekpa</v>
      </c>
      <c r="B33" s="13" t="str">
        <f>IFERROR(__xludf.DUMMYFUNCTION("""COMPUTED_VALUE"""),"TRA")</f>
        <v>TRA</v>
      </c>
      <c r="C33" s="14">
        <f>IFERROR(__xludf.DUMMYFUNCTION("""COMPUTED_VALUE"""),604.4)</f>
        <v>604.4</v>
      </c>
      <c r="D33" s="15">
        <f>IFERROR(__xludf.DUMMYFUNCTION("""COMPUTED_VALUE"""),-0.5186161275465218)</f>
        <v>-0.5186161275</v>
      </c>
      <c r="E33" s="15">
        <f>IFERROR(__xludf.DUMMYFUNCTION("""COMPUTED_VALUE"""),3.5481338894840553)</f>
        <v>3.548133889</v>
      </c>
      <c r="F33" s="15">
        <f>IFERROR(__xludf.DUMMYFUNCTION("""COMPUTED_VALUE"""),3.0295177619375337)</f>
        <v>3.029517762</v>
      </c>
      <c r="G33" s="17">
        <f>IFERROR(__xludf.DUMMYFUNCTION("""COMPUTED_VALUE"""),0.9209479804677224)</f>
        <v>0.9209479805</v>
      </c>
      <c r="H33" s="4"/>
      <c r="I33" s="5" t="s">
        <v>1920</v>
      </c>
      <c r="J33" s="5" t="s">
        <v>1592</v>
      </c>
      <c r="K33" s="24">
        <v>312.0</v>
      </c>
      <c r="L33" s="5">
        <v>5.206927</v>
      </c>
      <c r="M33" s="5">
        <v>-2.033421</v>
      </c>
      <c r="N33" s="5">
        <v>3.173506</v>
      </c>
      <c r="O33" s="5">
        <v>0.49603</v>
      </c>
    </row>
    <row r="34">
      <c r="A34" s="18" t="str">
        <f>IFERROR(__xludf.DUMMYFUNCTION("""COMPUTED_VALUE"""),"Eric Buckner")</f>
        <v>Eric Buckner</v>
      </c>
      <c r="B34" s="19" t="str">
        <f>IFERROR(__xludf.DUMMYFUNCTION("""COMPUTED_VALUE"""),"IBB")</f>
        <v>IBB</v>
      </c>
      <c r="C34" s="20">
        <f>IFERROR(__xludf.DUMMYFUNCTION("""COMPUTED_VALUE"""),540.7)</f>
        <v>540.7</v>
      </c>
      <c r="D34" s="21">
        <f>IFERROR(__xludf.DUMMYFUNCTION("""COMPUTED_VALUE"""),2.9871056811272805)</f>
        <v>2.987105681</v>
      </c>
      <c r="E34" s="21">
        <f>IFERROR(__xludf.DUMMYFUNCTION("""COMPUTED_VALUE"""),0.015009466494129153)</f>
        <v>0.01500946649</v>
      </c>
      <c r="F34" s="21">
        <f>IFERROR(__xludf.DUMMYFUNCTION("""COMPUTED_VALUE"""),3.0021151476214096)</f>
        <v>3.002115148</v>
      </c>
      <c r="G34" s="23">
        <f>IFERROR(__xludf.DUMMYFUNCTION("""COMPUTED_VALUE"""),0.8303156598575587)</f>
        <v>0.8303156599</v>
      </c>
      <c r="H34" s="4"/>
      <c r="I34" s="5" t="s">
        <v>1922</v>
      </c>
      <c r="J34" s="5" t="s">
        <v>1923</v>
      </c>
      <c r="K34" s="24">
        <v>604.0</v>
      </c>
      <c r="L34" s="5">
        <v>-0.531449</v>
      </c>
      <c r="M34" s="5">
        <v>3.561545</v>
      </c>
      <c r="N34" s="5">
        <v>3.030096</v>
      </c>
      <c r="O34" s="5">
        <v>0.921054</v>
      </c>
    </row>
    <row r="35">
      <c r="A35" s="12" t="str">
        <f>IFERROR(__xludf.DUMMYFUNCTION("""COMPUTED_VALUE"""),"Emir Preldzic")</f>
        <v>Emir Preldzic</v>
      </c>
      <c r="B35" s="13" t="str">
        <f>IFERROR(__xludf.DUMMYFUNCTION("""COMPUTED_VALUE"""),"GAL")</f>
        <v>GAL</v>
      </c>
      <c r="C35" s="14">
        <f>IFERROR(__xludf.DUMMYFUNCTION("""COMPUTED_VALUE"""),492.9)</f>
        <v>492.9</v>
      </c>
      <c r="D35" s="15">
        <f>IFERROR(__xludf.DUMMYFUNCTION("""COMPUTED_VALUE"""),3.033239448859759)</f>
        <v>3.033239449</v>
      </c>
      <c r="E35" s="15">
        <f>IFERROR(__xludf.DUMMYFUNCTION("""COMPUTED_VALUE"""),-0.08033481530171738)</f>
        <v>-0.0803348153</v>
      </c>
      <c r="F35" s="15">
        <f>IFERROR(__xludf.DUMMYFUNCTION("""COMPUTED_VALUE"""),2.952904633558042)</f>
        <v>2.952904634</v>
      </c>
      <c r="G35" s="17">
        <f>IFERROR(__xludf.DUMMYFUNCTION("""COMPUTED_VALUE"""),0.7497365616205631)</f>
        <v>0.7497365616</v>
      </c>
      <c r="H35" s="4"/>
      <c r="I35" s="5" t="s">
        <v>1925</v>
      </c>
      <c r="J35" s="5" t="s">
        <v>1926</v>
      </c>
      <c r="K35" s="5">
        <v>541.0</v>
      </c>
      <c r="L35" s="5">
        <v>2.973069</v>
      </c>
      <c r="M35" s="5">
        <v>0.028635</v>
      </c>
      <c r="N35" s="5">
        <v>3.001703</v>
      </c>
      <c r="O35" s="5">
        <v>0.830247</v>
      </c>
    </row>
    <row r="36">
      <c r="A36" s="18" t="str">
        <f>IFERROR(__xludf.DUMMYFUNCTION("""COMPUTED_VALUE"""),"Scotty Hopson")</f>
        <v>Scotty Hopson</v>
      </c>
      <c r="B36" s="19" t="str">
        <f>IFERROR(__xludf.DUMMYFUNCTION("""COMPUTED_VALUE"""),"GAL")</f>
        <v>GAL</v>
      </c>
      <c r="C36" s="20">
        <f>IFERROR(__xludf.DUMMYFUNCTION("""COMPUTED_VALUE"""),282.7)</f>
        <v>282.7</v>
      </c>
      <c r="D36" s="21">
        <f>IFERROR(__xludf.DUMMYFUNCTION("""COMPUTED_VALUE"""),2.252541397875738)</f>
        <v>2.252541398</v>
      </c>
      <c r="E36" s="21">
        <f>IFERROR(__xludf.DUMMYFUNCTION("""COMPUTED_VALUE"""),0.42727729003292314)</f>
        <v>0.42727729</v>
      </c>
      <c r="F36" s="21">
        <f>IFERROR(__xludf.DUMMYFUNCTION("""COMPUTED_VALUE"""),2.679818687908661)</f>
        <v>2.679818688</v>
      </c>
      <c r="G36" s="23">
        <f>IFERROR(__xludf.DUMMYFUNCTION("""COMPUTED_VALUE"""),0.40629805374081424)</f>
        <v>0.4062980537</v>
      </c>
      <c r="H36" s="4"/>
      <c r="I36" s="5" t="s">
        <v>1927</v>
      </c>
      <c r="J36" s="5" t="s">
        <v>1592</v>
      </c>
      <c r="K36" s="5">
        <v>493.0</v>
      </c>
      <c r="L36" s="5">
        <v>3.0198</v>
      </c>
      <c r="M36" s="5">
        <v>-0.066832</v>
      </c>
      <c r="N36" s="5">
        <v>2.952968</v>
      </c>
      <c r="O36" s="5">
        <v>0.749746</v>
      </c>
    </row>
    <row r="37">
      <c r="A37" s="12" t="str">
        <f>IFERROR(__xludf.DUMMYFUNCTION("""COMPUTED_VALUE"""),"Micheal Eric")</f>
        <v>Micheal Eric</v>
      </c>
      <c r="B37" s="13" t="str">
        <f>IFERROR(__xludf.DUMMYFUNCTION("""COMPUTED_VALUE"""),"DBI")</f>
        <v>DBI</v>
      </c>
      <c r="C37" s="14">
        <f>IFERROR(__xludf.DUMMYFUNCTION("""COMPUTED_VALUE"""),567.6)</f>
        <v>567.6</v>
      </c>
      <c r="D37" s="15">
        <f>IFERROR(__xludf.DUMMYFUNCTION("""COMPUTED_VALUE"""),0.9281056831437207)</f>
        <v>0.9281056831</v>
      </c>
      <c r="E37" s="15">
        <f>IFERROR(__xludf.DUMMYFUNCTION("""COMPUTED_VALUE"""),1.732709259162347)</f>
        <v>1.732709259</v>
      </c>
      <c r="F37" s="15">
        <f>IFERROR(__xludf.DUMMYFUNCTION("""COMPUTED_VALUE"""),2.6608149423060676)</f>
        <v>2.660814942</v>
      </c>
      <c r="G37" s="17">
        <f>IFERROR(__xludf.DUMMYFUNCTION("""COMPUTED_VALUE"""),0.7981058781035892)</f>
        <v>0.7981058781</v>
      </c>
      <c r="H37" s="4"/>
      <c r="I37" s="5" t="s">
        <v>409</v>
      </c>
      <c r="J37" s="5" t="s">
        <v>36</v>
      </c>
      <c r="K37" s="5">
        <v>466.0</v>
      </c>
      <c r="L37" s="5">
        <v>-0.839725</v>
      </c>
      <c r="M37" s="5">
        <v>3.582706</v>
      </c>
      <c r="N37" s="5">
        <v>2.74298</v>
      </c>
      <c r="O37" s="5">
        <v>0.674901</v>
      </c>
    </row>
    <row r="38">
      <c r="A38" s="18" t="str">
        <f>IFERROR(__xludf.DUMMYFUNCTION("""COMPUTED_VALUE"""),"D.J. Strawberry")</f>
        <v>D.J. Strawberry</v>
      </c>
      <c r="B38" s="19" t="str">
        <f>IFERROR(__xludf.DUMMYFUNCTION("""COMPUTED_VALUE"""),"BES")</f>
        <v>BES</v>
      </c>
      <c r="C38" s="20">
        <f>IFERROR(__xludf.DUMMYFUNCTION("""COMPUTED_VALUE"""),954.6)</f>
        <v>954.6</v>
      </c>
      <c r="D38" s="21">
        <f>IFERROR(__xludf.DUMMYFUNCTION("""COMPUTED_VALUE"""),0.30462187957402187)</f>
        <v>0.3046218796</v>
      </c>
      <c r="E38" s="21">
        <f>IFERROR(__xludf.DUMMYFUNCTION("""COMPUTED_VALUE"""),2.341359238960708)</f>
        <v>2.341359239</v>
      </c>
      <c r="F38" s="21">
        <f>IFERROR(__xludf.DUMMYFUNCTION("""COMPUTED_VALUE"""),2.6459811185347295)</f>
        <v>2.645981119</v>
      </c>
      <c r="G38" s="23">
        <f>IFERROR(__xludf.DUMMYFUNCTION("""COMPUTED_VALUE"""),1.4648029849758781)</f>
        <v>1.464802985</v>
      </c>
      <c r="H38" s="4"/>
      <c r="I38" s="5" t="s">
        <v>143</v>
      </c>
      <c r="J38" s="5" t="s">
        <v>60</v>
      </c>
      <c r="K38" s="5">
        <v>444.0</v>
      </c>
      <c r="L38" s="5">
        <v>2.962488</v>
      </c>
      <c r="M38" s="5">
        <v>-0.237402</v>
      </c>
      <c r="N38" s="5">
        <v>2.725086</v>
      </c>
      <c r="O38" s="5">
        <v>0.621711</v>
      </c>
    </row>
    <row r="39">
      <c r="A39" s="12" t="str">
        <f>IFERROR(__xludf.DUMMYFUNCTION("""COMPUTED_VALUE"""),"Ali Muhammed")</f>
        <v>Ali Muhammed</v>
      </c>
      <c r="B39" s="13" t="str">
        <f>IFERROR(__xludf.DUMMYFUNCTION("""COMPUTED_VALUE"""),"FEN")</f>
        <v>FEN</v>
      </c>
      <c r="C39" s="14">
        <f>IFERROR(__xludf.DUMMYFUNCTION("""COMPUTED_VALUE"""),470.6)</f>
        <v>470.6</v>
      </c>
      <c r="D39" s="15">
        <f>IFERROR(__xludf.DUMMYFUNCTION("""COMPUTED_VALUE"""),1.9406227643485994)</f>
        <v>1.940622764</v>
      </c>
      <c r="E39" s="15">
        <f>IFERROR(__xludf.DUMMYFUNCTION("""COMPUTED_VALUE"""),0.6574957834428314)</f>
        <v>0.6574957834</v>
      </c>
      <c r="F39" s="15">
        <f>IFERROR(__xludf.DUMMYFUNCTION("""COMPUTED_VALUE"""),2.598118547791431)</f>
        <v>2.598118548</v>
      </c>
      <c r="G39" s="17">
        <f>IFERROR(__xludf.DUMMYFUNCTION("""COMPUTED_VALUE"""),0.6586639999752371)</f>
        <v>0.658664</v>
      </c>
      <c r="H39" s="4"/>
      <c r="I39" s="5" t="s">
        <v>1930</v>
      </c>
      <c r="J39" s="5" t="s">
        <v>1592</v>
      </c>
      <c r="K39" s="5">
        <v>283.0</v>
      </c>
      <c r="L39" s="5">
        <v>2.239189</v>
      </c>
      <c r="M39" s="5">
        <v>0.440124</v>
      </c>
      <c r="N39" s="5">
        <v>2.679312</v>
      </c>
      <c r="O39" s="5">
        <v>0.406254</v>
      </c>
    </row>
    <row r="40">
      <c r="A40" s="18" t="str">
        <f>IFERROR(__xludf.DUMMYFUNCTION("""COMPUTED_VALUE"""),"Billy Baron")</f>
        <v>Billy Baron</v>
      </c>
      <c r="B40" s="19" t="str">
        <f>IFERROR(__xludf.DUMMYFUNCTION("""COMPUTED_VALUE"""),"ESK")</f>
        <v>ESK</v>
      </c>
      <c r="C40" s="20">
        <f>IFERROR(__xludf.DUMMYFUNCTION("""COMPUTED_VALUE"""),994.7)</f>
        <v>994.7</v>
      </c>
      <c r="D40" s="21">
        <f>IFERROR(__xludf.DUMMYFUNCTION("""COMPUTED_VALUE"""),3.761199656442887)</f>
        <v>3.761199656</v>
      </c>
      <c r="E40" s="21">
        <f>IFERROR(__xludf.DUMMYFUNCTION("""COMPUTED_VALUE"""),-1.276711528308467)</f>
        <v>-1.276711528</v>
      </c>
      <c r="F40" s="21">
        <f>IFERROR(__xludf.DUMMYFUNCTION("""COMPUTED_VALUE"""),2.48448812813442)</f>
        <v>2.484488128</v>
      </c>
      <c r="G40" s="23">
        <f>IFERROR(__xludf.DUMMYFUNCTION("""COMPUTED_VALUE"""),1.3760926779799887)</f>
        <v>1.376092678</v>
      </c>
      <c r="H40" s="4"/>
      <c r="I40" s="5" t="s">
        <v>1931</v>
      </c>
      <c r="J40" s="5" t="s">
        <v>1887</v>
      </c>
      <c r="K40" s="5">
        <v>723.0</v>
      </c>
      <c r="L40" s="5">
        <v>-1.105431</v>
      </c>
      <c r="M40" s="5">
        <v>3.715467</v>
      </c>
      <c r="N40" s="5">
        <v>2.610036</v>
      </c>
      <c r="O40" s="5">
        <v>1.004841</v>
      </c>
    </row>
    <row r="41">
      <c r="A41" s="12" t="str">
        <f>IFERROR(__xludf.DUMMYFUNCTION("""COMPUTED_VALUE"""),"Jake Odum")</f>
        <v>Jake Odum</v>
      </c>
      <c r="B41" s="13" t="str">
        <f>IFERROR(__xludf.DUMMYFUNCTION("""COMPUTED_VALUE"""),"BVS")</f>
        <v>BVS</v>
      </c>
      <c r="C41" s="14">
        <f>IFERROR(__xludf.DUMMYFUNCTION("""COMPUTED_VALUE"""),77.4)</f>
        <v>77.4</v>
      </c>
      <c r="D41" s="15">
        <f>IFERROR(__xludf.DUMMYFUNCTION("""COMPUTED_VALUE"""),2.0342304145691816)</f>
        <v>2.034230415</v>
      </c>
      <c r="E41" s="15">
        <f>IFERROR(__xludf.DUMMYFUNCTION("""COMPUTED_VALUE"""),0.3122235864574474)</f>
        <v>0.3122235865</v>
      </c>
      <c r="F41" s="15">
        <f>IFERROR(__xludf.DUMMYFUNCTION("""COMPUTED_VALUE"""),2.346454001026629)</f>
        <v>2.346454001</v>
      </c>
      <c r="G41" s="17">
        <f>IFERROR(__xludf.DUMMYFUNCTION("""COMPUTED_VALUE"""),0.10125232600247674)</f>
        <v>0.101252326</v>
      </c>
      <c r="H41" s="4"/>
      <c r="I41" s="5" t="s">
        <v>403</v>
      </c>
      <c r="J41" s="5" t="s">
        <v>60</v>
      </c>
      <c r="K41" s="5">
        <v>481.0</v>
      </c>
      <c r="L41" s="5">
        <v>-0.203901</v>
      </c>
      <c r="M41" s="5">
        <v>2.781144</v>
      </c>
      <c r="N41" s="5">
        <v>2.577242</v>
      </c>
      <c r="O41" s="5">
        <v>0.651859</v>
      </c>
    </row>
    <row r="42">
      <c r="A42" s="18" t="str">
        <f>IFERROR(__xludf.DUMMYFUNCTION("""COMPUTED_VALUE"""),"Jason Thompson")</f>
        <v>Jason Thompson</v>
      </c>
      <c r="B42" s="19" t="str">
        <f>IFERROR(__xludf.DUMMYFUNCTION("""COMPUTED_VALUE"""),"FEN")</f>
        <v>FEN</v>
      </c>
      <c r="C42" s="20">
        <f>IFERROR(__xludf.DUMMYFUNCTION("""COMPUTED_VALUE"""),535.6)</f>
        <v>535.6</v>
      </c>
      <c r="D42" s="21">
        <f>IFERROR(__xludf.DUMMYFUNCTION("""COMPUTED_VALUE"""),-1.0202685278681898)</f>
        <v>-1.020268528</v>
      </c>
      <c r="E42" s="21">
        <f>IFERROR(__xludf.DUMMYFUNCTION("""COMPUTED_VALUE"""),3.190258998982668)</f>
        <v>3.190258999</v>
      </c>
      <c r="F42" s="21">
        <f>IFERROR(__xludf.DUMMYFUNCTION("""COMPUTED_VALUE"""),2.1699904711144784)</f>
        <v>2.169990471</v>
      </c>
      <c r="G42" s="23">
        <f>IFERROR(__xludf.DUMMYFUNCTION("""COMPUTED_VALUE"""),0.6798411859101396)</f>
        <v>0.6798411859</v>
      </c>
      <c r="H42" s="4"/>
      <c r="I42" s="5" t="s">
        <v>466</v>
      </c>
      <c r="J42" s="5" t="s">
        <v>60</v>
      </c>
      <c r="K42" s="5">
        <v>874.0</v>
      </c>
      <c r="L42" s="5">
        <v>2.661784</v>
      </c>
      <c r="M42" s="5">
        <v>-0.087365</v>
      </c>
      <c r="N42" s="5">
        <v>2.574419</v>
      </c>
      <c r="O42" s="5">
        <v>1.183999</v>
      </c>
    </row>
    <row r="43">
      <c r="A43" s="12" t="str">
        <f>IFERROR(__xludf.DUMMYFUNCTION("""COMPUTED_VALUE"""),"Patrick Miller")</f>
        <v>Patrick Miller</v>
      </c>
      <c r="B43" s="13" t="str">
        <f>IFERROR(__xludf.DUMMYFUNCTION("""COMPUTED_VALUE"""),"GAZ")</f>
        <v>GAZ</v>
      </c>
      <c r="C43" s="14">
        <f>IFERROR(__xludf.DUMMYFUNCTION("""COMPUTED_VALUE"""),504.0)</f>
        <v>504</v>
      </c>
      <c r="D43" s="15">
        <f>IFERROR(__xludf.DUMMYFUNCTION("""COMPUTED_VALUE"""),1.8443563234357352)</f>
        <v>1.844356323</v>
      </c>
      <c r="E43" s="15">
        <f>IFERROR(__xludf.DUMMYFUNCTION("""COMPUTED_VALUE"""),0.3128010139922186)</f>
        <v>0.312801014</v>
      </c>
      <c r="F43" s="15">
        <f>IFERROR(__xludf.DUMMYFUNCTION("""COMPUTED_VALUE"""),2.157157337427954)</f>
        <v>2.157157337</v>
      </c>
      <c r="G43" s="17">
        <f>IFERROR(__xludf.DUMMYFUNCTION("""COMPUTED_VALUE"""),0.6296268884875389)</f>
        <v>0.6296268885</v>
      </c>
      <c r="H43" s="4"/>
      <c r="I43" s="5" t="s">
        <v>1932</v>
      </c>
      <c r="J43" s="5" t="s">
        <v>1887</v>
      </c>
      <c r="K43" s="5">
        <v>77.0</v>
      </c>
      <c r="L43" s="5">
        <v>2.090459</v>
      </c>
      <c r="M43" s="5">
        <v>0.40086</v>
      </c>
      <c r="N43" s="5">
        <v>2.491319</v>
      </c>
      <c r="O43" s="5">
        <v>0.104831</v>
      </c>
    </row>
    <row r="44">
      <c r="A44" s="18" t="str">
        <f>IFERROR(__xludf.DUMMYFUNCTION("""COMPUTED_VALUE"""),"Ivan Buva")</f>
        <v>Ivan Buva</v>
      </c>
      <c r="B44" s="19" t="str">
        <f>IFERROR(__xludf.DUMMYFUNCTION("""COMPUTED_VALUE"""),"IBB")</f>
        <v>IBB</v>
      </c>
      <c r="C44" s="20">
        <f>IFERROR(__xludf.DUMMYFUNCTION("""COMPUTED_VALUE"""),748.2)</f>
        <v>748.2</v>
      </c>
      <c r="D44" s="21">
        <f>IFERROR(__xludf.DUMMYFUNCTION("""COMPUTED_VALUE"""),3.169522369716847)</f>
        <v>3.16952237</v>
      </c>
      <c r="E44" s="21">
        <f>IFERROR(__xludf.DUMMYFUNCTION("""COMPUTED_VALUE"""),-1.029852057967151)</f>
        <v>-1.029852058</v>
      </c>
      <c r="F44" s="21">
        <f>IFERROR(__xludf.DUMMYFUNCTION("""COMPUTED_VALUE"""),2.139670311749696)</f>
        <v>2.139670312</v>
      </c>
      <c r="G44" s="23">
        <f>IFERROR(__xludf.DUMMYFUNCTION("""COMPUTED_VALUE"""),0.950860119965298)</f>
        <v>0.95086012</v>
      </c>
      <c r="H44" s="4"/>
      <c r="I44" s="5" t="s">
        <v>1933</v>
      </c>
      <c r="J44" s="5" t="s">
        <v>1894</v>
      </c>
      <c r="K44" s="5">
        <v>952.0</v>
      </c>
      <c r="L44" s="5">
        <v>3.532975</v>
      </c>
      <c r="M44" s="5">
        <v>-1.161666</v>
      </c>
      <c r="N44" s="5">
        <v>2.37131</v>
      </c>
      <c r="O44" s="5">
        <v>1.249306</v>
      </c>
    </row>
    <row r="45">
      <c r="A45" s="12" t="str">
        <f>IFERROR(__xludf.DUMMYFUNCTION("""COMPUTED_VALUE"""),"Muhsin Yasar")</f>
        <v>Muhsin Yasar</v>
      </c>
      <c r="B45" s="13" t="str">
        <f>IFERROR(__xludf.DUMMYFUNCTION("""COMPUTED_VALUE"""),"TOF")</f>
        <v>TOF</v>
      </c>
      <c r="C45" s="14">
        <f>IFERROR(__xludf.DUMMYFUNCTION("""COMPUTED_VALUE"""),217.1)</f>
        <v>217.1</v>
      </c>
      <c r="D45" s="15">
        <f>IFERROR(__xludf.DUMMYFUNCTION("""COMPUTED_VALUE"""),0.7045787984558897)</f>
        <v>0.7045787985</v>
      </c>
      <c r="E45" s="15">
        <f>IFERROR(__xludf.DUMMYFUNCTION("""COMPUTED_VALUE"""),1.4063737687047833)</f>
        <v>1.406373769</v>
      </c>
      <c r="F45" s="15">
        <f>IFERROR(__xludf.DUMMYFUNCTION("""COMPUTED_VALUE"""),2.110952567160673)</f>
        <v>2.110952567</v>
      </c>
      <c r="G45" s="17">
        <f>IFERROR(__xludf.DUMMYFUNCTION("""COMPUTED_VALUE"""),0.27016935455550567)</f>
        <v>0.2701693546</v>
      </c>
      <c r="H45" s="4"/>
      <c r="I45" s="5" t="s">
        <v>1934</v>
      </c>
      <c r="J45" s="5" t="s">
        <v>1874</v>
      </c>
      <c r="K45" s="24">
        <v>696.0</v>
      </c>
      <c r="L45" s="5">
        <v>1.306281</v>
      </c>
      <c r="M45" s="5">
        <v>1.022181</v>
      </c>
      <c r="N45" s="5">
        <v>2.328462</v>
      </c>
      <c r="O45" s="5">
        <v>0.919196</v>
      </c>
    </row>
    <row r="46">
      <c r="A46" s="18" t="str">
        <f>IFERROR(__xludf.DUMMYFUNCTION("""COMPUTED_VALUE"""),"Kartal Ozmizrak")</f>
        <v>Kartal Ozmizrak</v>
      </c>
      <c r="B46" s="19" t="str">
        <f>IFERROR(__xludf.DUMMYFUNCTION("""COMPUTED_VALUE"""),"DBI")</f>
        <v>DBI</v>
      </c>
      <c r="C46" s="20">
        <f>IFERROR(__xludf.DUMMYFUNCTION("""COMPUTED_VALUE"""),358.2)</f>
        <v>358.2</v>
      </c>
      <c r="D46" s="21">
        <f>IFERROR(__xludf.DUMMYFUNCTION("""COMPUTED_VALUE"""),1.9784286045897823)</f>
        <v>1.978428605</v>
      </c>
      <c r="E46" s="21">
        <f>IFERROR(__xludf.DUMMYFUNCTION("""COMPUTED_VALUE"""),0.1208935115510692)</f>
        <v>0.1208935116</v>
      </c>
      <c r="F46" s="21">
        <f>IFERROR(__xludf.DUMMYFUNCTION("""COMPUTED_VALUE"""),2.0993221161408515)</f>
        <v>2.099322116</v>
      </c>
      <c r="G46" s="23">
        <f>IFERROR(__xludf.DUMMYFUNCTION("""COMPUTED_VALUE"""),0.44298996687906256)</f>
        <v>0.4429899669</v>
      </c>
      <c r="H46" s="4"/>
      <c r="I46" s="5" t="s">
        <v>1935</v>
      </c>
      <c r="J46" s="5" t="s">
        <v>1900</v>
      </c>
      <c r="K46" s="5">
        <v>891.0</v>
      </c>
      <c r="L46" s="5">
        <v>-0.134795</v>
      </c>
      <c r="M46" s="5">
        <v>2.452741</v>
      </c>
      <c r="N46" s="5">
        <v>2.317946</v>
      </c>
      <c r="O46" s="5">
        <v>1.263392</v>
      </c>
    </row>
    <row r="47">
      <c r="A47" s="12" t="str">
        <f>IFERROR(__xludf.DUMMYFUNCTION("""COMPUTED_VALUE"""),"Dogus Balbay")</f>
        <v>Dogus Balbay</v>
      </c>
      <c r="B47" s="13" t="str">
        <f>IFERROR(__xludf.DUMMYFUNCTION("""COMPUTED_VALUE"""),"EFE")</f>
        <v>EFE</v>
      </c>
      <c r="C47" s="14">
        <f>IFERROR(__xludf.DUMMYFUNCTION("""COMPUTED_VALUE"""),593.4)</f>
        <v>593.4</v>
      </c>
      <c r="D47" s="15">
        <f>IFERROR(__xludf.DUMMYFUNCTION("""COMPUTED_VALUE"""),-0.0762805268573223)</f>
        <v>-0.07628052686</v>
      </c>
      <c r="E47" s="15">
        <f>IFERROR(__xludf.DUMMYFUNCTION("""COMPUTED_VALUE"""),2.0940016425404644)</f>
        <v>2.094001643</v>
      </c>
      <c r="F47" s="15">
        <f>IFERROR(__xludf.DUMMYFUNCTION("""COMPUTED_VALUE"""),2.017721115683142)</f>
        <v>2.017721116</v>
      </c>
      <c r="G47" s="17">
        <f>IFERROR(__xludf.DUMMYFUNCTION("""COMPUTED_VALUE"""),0.7056366433905152)</f>
        <v>0.7056366434</v>
      </c>
      <c r="H47" s="4"/>
      <c r="I47" s="5" t="s">
        <v>1936</v>
      </c>
      <c r="J47" s="5" t="s">
        <v>1878</v>
      </c>
      <c r="K47" s="24">
        <v>192.0</v>
      </c>
      <c r="L47" s="5">
        <v>0.300284</v>
      </c>
      <c r="M47" s="5">
        <v>1.990077</v>
      </c>
      <c r="N47" s="5">
        <v>2.290361</v>
      </c>
      <c r="O47" s="5">
        <v>0.250475</v>
      </c>
    </row>
    <row r="48">
      <c r="A48" s="18" t="str">
        <f>IFERROR(__xludf.DUMMYFUNCTION("""COMPUTED_VALUE"""),"Gasper Vidmar")</f>
        <v>Gasper Vidmar</v>
      </c>
      <c r="B48" s="19" t="str">
        <f>IFERROR(__xludf.DUMMYFUNCTION("""COMPUTED_VALUE"""),"BVS")</f>
        <v>BVS</v>
      </c>
      <c r="C48" s="20">
        <f>IFERROR(__xludf.DUMMYFUNCTION("""COMPUTED_VALUE"""),817.1)</f>
        <v>817.1</v>
      </c>
      <c r="D48" s="21">
        <f>IFERROR(__xludf.DUMMYFUNCTION("""COMPUTED_VALUE"""),-1.4815024735264357)</f>
        <v>-1.481502474</v>
      </c>
      <c r="E48" s="21">
        <f>IFERROR(__xludf.DUMMYFUNCTION("""COMPUTED_VALUE"""),3.4894298593854733)</f>
        <v>3.489429859</v>
      </c>
      <c r="F48" s="21">
        <f>IFERROR(__xludf.DUMMYFUNCTION("""COMPUTED_VALUE"""),2.0079273858590376)</f>
        <v>2.007927386</v>
      </c>
      <c r="G48" s="23">
        <f>IFERROR(__xludf.DUMMYFUNCTION("""COMPUTED_VALUE"""),0.985652925608945)</f>
        <v>0.9856529256</v>
      </c>
      <c r="H48" s="4"/>
      <c r="I48" s="5" t="s">
        <v>1937</v>
      </c>
      <c r="J48" s="5" t="s">
        <v>1884</v>
      </c>
      <c r="K48" s="24">
        <v>341.0</v>
      </c>
      <c r="L48" s="5">
        <v>2.160285</v>
      </c>
      <c r="M48" s="5">
        <v>0.129898</v>
      </c>
      <c r="N48" s="5">
        <v>2.290183</v>
      </c>
      <c r="O48" s="5">
        <v>0.441586</v>
      </c>
    </row>
    <row r="49">
      <c r="A49" s="12" t="str">
        <f>IFERROR(__xludf.DUMMYFUNCTION("""COMPUTED_VALUE"""),"Errick McCollum")</f>
        <v>Errick McCollum</v>
      </c>
      <c r="B49" s="13" t="str">
        <f>IFERROR(__xludf.DUMMYFUNCTION("""COMPUTED_VALUE"""),"EFE")</f>
        <v>EFE</v>
      </c>
      <c r="C49" s="14">
        <f>IFERROR(__xludf.DUMMYFUNCTION("""COMPUTED_VALUE"""),994.6)</f>
        <v>994.6</v>
      </c>
      <c r="D49" s="15">
        <f>IFERROR(__xludf.DUMMYFUNCTION("""COMPUTED_VALUE"""),2.6089163284578465)</f>
        <v>2.608916328</v>
      </c>
      <c r="E49" s="15">
        <f>IFERROR(__xludf.DUMMYFUNCTION("""COMPUTED_VALUE"""),-0.6178366876863777)</f>
        <v>-0.6178366877</v>
      </c>
      <c r="F49" s="15">
        <f>IFERROR(__xludf.DUMMYFUNCTION("""COMPUTED_VALUE"""),1.9910796407714688)</f>
        <v>1.991079641</v>
      </c>
      <c r="G49" s="17">
        <f>IFERROR(__xludf.DUMMYFUNCTION("""COMPUTED_VALUE"""),1.174877657318544)</f>
        <v>1.174877657</v>
      </c>
      <c r="H49" s="4"/>
      <c r="I49" s="5" t="s">
        <v>429</v>
      </c>
      <c r="J49" s="5" t="s">
        <v>60</v>
      </c>
      <c r="K49" s="5">
        <v>309.0</v>
      </c>
      <c r="L49" s="5">
        <v>-0.238434</v>
      </c>
      <c r="M49" s="5">
        <v>2.500142</v>
      </c>
      <c r="N49" s="5">
        <v>2.261708</v>
      </c>
      <c r="O49" s="5">
        <v>0.389263</v>
      </c>
    </row>
    <row r="50">
      <c r="A50" s="18" t="str">
        <f>IFERROR(__xludf.DUMMYFUNCTION("""COMPUTED_VALUE"""),"Mark Lyons")</f>
        <v>Mark Lyons</v>
      </c>
      <c r="B50" s="19" t="str">
        <f>IFERROR(__xludf.DUMMYFUNCTION("""COMPUTED_VALUE"""),"GAZ")</f>
        <v>GAZ</v>
      </c>
      <c r="C50" s="20">
        <f>IFERROR(__xludf.DUMMYFUNCTION("""COMPUTED_VALUE"""),443.1)</f>
        <v>443.1</v>
      </c>
      <c r="D50" s="21">
        <f>IFERROR(__xludf.DUMMYFUNCTION("""COMPUTED_VALUE"""),4.260390443821587)</f>
        <v>4.260390444</v>
      </c>
      <c r="E50" s="21">
        <f>IFERROR(__xludf.DUMMYFUNCTION("""COMPUTED_VALUE"""),-2.288713652370852)</f>
        <v>-2.288713652</v>
      </c>
      <c r="F50" s="21">
        <f>IFERROR(__xludf.DUMMYFUNCTION("""COMPUTED_VALUE"""),1.971676791450735)</f>
        <v>1.971676791</v>
      </c>
      <c r="G50" s="23">
        <f>IFERROR(__xludf.DUMMYFUNCTION("""COMPUTED_VALUE"""),0.5288492800200599)</f>
        <v>0.52884928</v>
      </c>
      <c r="H50" s="4"/>
      <c r="I50" s="5" t="s">
        <v>1938</v>
      </c>
      <c r="J50" s="5" t="s">
        <v>1884</v>
      </c>
      <c r="K50" s="5">
        <v>537.0</v>
      </c>
      <c r="L50" s="5">
        <v>0.399391</v>
      </c>
      <c r="M50" s="5">
        <v>1.796564</v>
      </c>
      <c r="N50" s="5">
        <v>2.195955</v>
      </c>
      <c r="O50" s="5">
        <v>0.678896</v>
      </c>
    </row>
    <row r="51">
      <c r="A51" s="12" t="str">
        <f>IFERROR(__xludf.DUMMYFUNCTION("""COMPUTED_VALUE"""),"Evaldas Kairys")</f>
        <v>Evaldas Kairys</v>
      </c>
      <c r="B51" s="13" t="str">
        <f>IFERROR(__xludf.DUMMYFUNCTION("""COMPUTED_VALUE"""),"DEM")</f>
        <v>DEM</v>
      </c>
      <c r="C51" s="14">
        <f>IFERROR(__xludf.DUMMYFUNCTION("""COMPUTED_VALUE"""),549.4)</f>
        <v>549.4</v>
      </c>
      <c r="D51" s="15">
        <f>IFERROR(__xludf.DUMMYFUNCTION("""COMPUTED_VALUE"""),-0.37001666980194303)</f>
        <v>-0.3700166698</v>
      </c>
      <c r="E51" s="15">
        <f>IFERROR(__xludf.DUMMYFUNCTION("""COMPUTED_VALUE"""),2.2772909009516256)</f>
        <v>2.277290901</v>
      </c>
      <c r="F51" s="15">
        <f>IFERROR(__xludf.DUMMYFUNCTION("""COMPUTED_VALUE"""),1.9072742311496826)</f>
        <v>1.907274231</v>
      </c>
      <c r="G51" s="17">
        <f>IFERROR(__xludf.DUMMYFUNCTION("""COMPUTED_VALUE"""),0.665561119034819)</f>
        <v>0.665561119</v>
      </c>
      <c r="H51" s="4"/>
      <c r="I51" s="5" t="s">
        <v>990</v>
      </c>
      <c r="J51" s="5" t="s">
        <v>1912</v>
      </c>
      <c r="K51" s="5">
        <v>504.0</v>
      </c>
      <c r="L51" s="5">
        <v>1.830081</v>
      </c>
      <c r="M51" s="5">
        <v>0.326454</v>
      </c>
      <c r="N51" s="5">
        <v>2.156535</v>
      </c>
      <c r="O51" s="5">
        <v>0.629533</v>
      </c>
    </row>
    <row r="52">
      <c r="A52" s="18" t="str">
        <f>IFERROR(__xludf.DUMMYFUNCTION("""COMPUTED_VALUE"""),"Nathan Boothe")</f>
        <v>Nathan Boothe</v>
      </c>
      <c r="B52" s="19" t="str">
        <f>IFERROR(__xludf.DUMMYFUNCTION("""COMPUTED_VALUE"""),"SAK")</f>
        <v>SAK</v>
      </c>
      <c r="C52" s="20">
        <f>IFERROR(__xludf.DUMMYFUNCTION("""COMPUTED_VALUE"""),751.7)</f>
        <v>751.7</v>
      </c>
      <c r="D52" s="21">
        <f>IFERROR(__xludf.DUMMYFUNCTION("""COMPUTED_VALUE"""),0.7958233521288646)</f>
        <v>0.7958233521</v>
      </c>
      <c r="E52" s="21">
        <f>IFERROR(__xludf.DUMMYFUNCTION("""COMPUTED_VALUE"""),1.1000272650068723)</f>
        <v>1.100027265</v>
      </c>
      <c r="F52" s="21">
        <f>IFERROR(__xludf.DUMMYFUNCTION("""COMPUTED_VALUE"""),1.895850617135737)</f>
        <v>1.895850617</v>
      </c>
      <c r="G52" s="23">
        <f>IFERROR(__xludf.DUMMYFUNCTION("""COMPUTED_VALUE"""),0.893131750593753)</f>
        <v>0.8931317506</v>
      </c>
      <c r="H52" s="4"/>
      <c r="I52" s="5" t="s">
        <v>548</v>
      </c>
      <c r="J52" s="5" t="s">
        <v>1926</v>
      </c>
      <c r="K52" s="5">
        <v>748.0</v>
      </c>
      <c r="L52" s="5">
        <v>3.154831</v>
      </c>
      <c r="M52" s="5">
        <v>-1.01611</v>
      </c>
      <c r="N52" s="5">
        <v>2.138721</v>
      </c>
      <c r="O52" s="5">
        <v>0.950642</v>
      </c>
    </row>
    <row r="53">
      <c r="A53" s="12" t="str">
        <f>IFERROR(__xludf.DUMMYFUNCTION("""COMPUTED_VALUE"""),"Viacheslav Kravtsov")</f>
        <v>Viacheslav Kravtsov</v>
      </c>
      <c r="B53" s="13" t="str">
        <f>IFERROR(__xludf.DUMMYFUNCTION("""COMPUTED_VALUE"""),"ESK")</f>
        <v>ESK</v>
      </c>
      <c r="C53" s="14">
        <f>IFERROR(__xludf.DUMMYFUNCTION("""COMPUTED_VALUE"""),597.4)</f>
        <v>597.4</v>
      </c>
      <c r="D53" s="15">
        <f>IFERROR(__xludf.DUMMYFUNCTION("""COMPUTED_VALUE"""),0.5159724699551053)</f>
        <v>0.51597247</v>
      </c>
      <c r="E53" s="15">
        <f>IFERROR(__xludf.DUMMYFUNCTION("""COMPUTED_VALUE"""),1.3700516015655966)</f>
        <v>1.370051602</v>
      </c>
      <c r="F53" s="15">
        <f>IFERROR(__xludf.DUMMYFUNCTION("""COMPUTED_VALUE"""),1.8860240715207017)</f>
        <v>1.886024072</v>
      </c>
      <c r="G53" s="17">
        <f>IFERROR(__xludf.DUMMYFUNCTION("""COMPUTED_VALUE"""),0.7161654940024971)</f>
        <v>0.716165494</v>
      </c>
      <c r="H53" s="4"/>
      <c r="I53" s="5" t="s">
        <v>425</v>
      </c>
      <c r="J53" s="5" t="s">
        <v>60</v>
      </c>
      <c r="K53" s="24">
        <v>679.0</v>
      </c>
      <c r="L53" s="5">
        <v>1.409673</v>
      </c>
      <c r="M53" s="5">
        <v>0.675915</v>
      </c>
      <c r="N53" s="5">
        <v>2.085589</v>
      </c>
      <c r="O53" s="5">
        <v>0.821351</v>
      </c>
    </row>
    <row r="54">
      <c r="A54" s="18" t="str">
        <f>IFERROR(__xludf.DUMMYFUNCTION("""COMPUTED_VALUE"""),"Davon Jefferson")</f>
        <v>Davon Jefferson</v>
      </c>
      <c r="B54" s="19" t="str">
        <f>IFERROR(__xludf.DUMMYFUNCTION("""COMPUTED_VALUE"""),"YES")</f>
        <v>YES</v>
      </c>
      <c r="C54" s="20">
        <f>IFERROR(__xludf.DUMMYFUNCTION("""COMPUTED_VALUE"""),460.3)</f>
        <v>460.3</v>
      </c>
      <c r="D54" s="21">
        <f>IFERROR(__xludf.DUMMYFUNCTION("""COMPUTED_VALUE"""),2.2428353619288472)</f>
        <v>2.242835362</v>
      </c>
      <c r="E54" s="21">
        <f>IFERROR(__xludf.DUMMYFUNCTION("""COMPUTED_VALUE"""),-0.4633276315881698)</f>
        <v>-0.4633276316</v>
      </c>
      <c r="F54" s="21">
        <f>IFERROR(__xludf.DUMMYFUNCTION("""COMPUTED_VALUE"""),1.7795077303406774)</f>
        <v>1.77950773</v>
      </c>
      <c r="G54" s="23">
        <f>IFERROR(__xludf.DUMMYFUNCTION("""COMPUTED_VALUE"""),0.5345682322959984)</f>
        <v>0.5345682323</v>
      </c>
      <c r="H54" s="4"/>
      <c r="I54" s="5" t="s">
        <v>1939</v>
      </c>
      <c r="J54" s="5" t="s">
        <v>1894</v>
      </c>
      <c r="K54" s="5">
        <v>580.0</v>
      </c>
      <c r="L54" s="5">
        <v>0.455828</v>
      </c>
      <c r="M54" s="5">
        <v>1.586297</v>
      </c>
      <c r="N54" s="5">
        <v>2.042126</v>
      </c>
      <c r="O54" s="5">
        <v>0.703545</v>
      </c>
    </row>
    <row r="55">
      <c r="A55" s="12" t="str">
        <f>IFERROR(__xludf.DUMMYFUNCTION("""COMPUTED_VALUE"""),"Josh Owens")</f>
        <v>Josh Owens</v>
      </c>
      <c r="B55" s="13" t="str">
        <f>IFERROR(__xludf.DUMMYFUNCTION("""COMPUTED_VALUE"""),"TOF")</f>
        <v>TOF</v>
      </c>
      <c r="C55" s="14">
        <f>IFERROR(__xludf.DUMMYFUNCTION("""COMPUTED_VALUE"""),744.4)</f>
        <v>744.4</v>
      </c>
      <c r="D55" s="15">
        <f>IFERROR(__xludf.DUMMYFUNCTION("""COMPUTED_VALUE"""),1.102300129059048)</f>
        <v>1.102300129</v>
      </c>
      <c r="E55" s="15">
        <f>IFERROR(__xludf.DUMMYFUNCTION("""COMPUTED_VALUE"""),0.6502731710276386)</f>
        <v>0.650273171</v>
      </c>
      <c r="F55" s="15">
        <f>IFERROR(__xludf.DUMMYFUNCTION("""COMPUTED_VALUE"""),1.7525733000866865)</f>
        <v>1.7525733</v>
      </c>
      <c r="G55" s="17">
        <f>IFERROR(__xludf.DUMMYFUNCTION("""COMPUTED_VALUE"""),0.8456085092909346)</f>
        <v>0.8456085093</v>
      </c>
      <c r="H55" s="4"/>
      <c r="I55" s="5" t="s">
        <v>1940</v>
      </c>
      <c r="J55" s="5" t="s">
        <v>1912</v>
      </c>
      <c r="K55" s="5">
        <v>443.0</v>
      </c>
      <c r="L55" s="5">
        <v>4.246223</v>
      </c>
      <c r="M55" s="5">
        <v>-2.27508</v>
      </c>
      <c r="N55" s="5">
        <v>1.971143</v>
      </c>
      <c r="O55" s="5">
        <v>0.528778</v>
      </c>
    </row>
    <row r="56">
      <c r="A56" s="18" t="str">
        <f>IFERROR(__xludf.DUMMYFUNCTION("""COMPUTED_VALUE"""),"Raymar Morgan")</f>
        <v>Raymar Morgan</v>
      </c>
      <c r="B56" s="19" t="str">
        <f>IFERROR(__xludf.DUMMYFUNCTION("""COMPUTED_VALUE"""),"TOF")</f>
        <v>TOF</v>
      </c>
      <c r="C56" s="20">
        <f>IFERROR(__xludf.DUMMYFUNCTION("""COMPUTED_VALUE"""),996.6)</f>
        <v>996.6</v>
      </c>
      <c r="D56" s="21">
        <f>IFERROR(__xludf.DUMMYFUNCTION("""COMPUTED_VALUE"""),1.7267354488931768)</f>
        <v>1.726735449</v>
      </c>
      <c r="E56" s="21">
        <f>IFERROR(__xludf.DUMMYFUNCTION("""COMPUTED_VALUE"""),-0.015479283761993257)</f>
        <v>-0.01547928376</v>
      </c>
      <c r="F56" s="21">
        <f>IFERROR(__xludf.DUMMYFUNCTION("""COMPUTED_VALUE"""),1.7112561651311835)</f>
        <v>1.711256165</v>
      </c>
      <c r="G56" s="23">
        <f>IFERROR(__xludf.DUMMYFUNCTION("""COMPUTED_VALUE"""),1.1196327949726332)</f>
        <v>1.119632795</v>
      </c>
      <c r="H56" s="4"/>
      <c r="I56" s="5" t="s">
        <v>1941</v>
      </c>
      <c r="J56" s="5" t="s">
        <v>1942</v>
      </c>
      <c r="K56" s="5">
        <v>549.0</v>
      </c>
      <c r="L56" s="5">
        <v>-0.383253</v>
      </c>
      <c r="M56" s="5">
        <v>2.290774</v>
      </c>
      <c r="N56" s="5">
        <v>1.90752</v>
      </c>
      <c r="O56" s="5">
        <v>0.665603</v>
      </c>
    </row>
    <row r="57">
      <c r="A57" s="12" t="str">
        <f>IFERROR(__xludf.DUMMYFUNCTION("""COMPUTED_VALUE"""),"Vladimir Stimac")</f>
        <v>Vladimir Stimac</v>
      </c>
      <c r="B57" s="13" t="str">
        <f>IFERROR(__xludf.DUMMYFUNCTION("""COMPUTED_VALUE"""),"EFE")</f>
        <v>EFE</v>
      </c>
      <c r="C57" s="14">
        <f>IFERROR(__xludf.DUMMYFUNCTION("""COMPUTED_VALUE"""),449.9)</f>
        <v>449.9</v>
      </c>
      <c r="D57" s="15">
        <f>IFERROR(__xludf.DUMMYFUNCTION("""COMPUTED_VALUE"""),2.433389405931415)</f>
        <v>2.433389406</v>
      </c>
      <c r="E57" s="15">
        <f>IFERROR(__xludf.DUMMYFUNCTION("""COMPUTED_VALUE"""),-0.771466522471477)</f>
        <v>-0.7714665225</v>
      </c>
      <c r="F57" s="15">
        <f>IFERROR(__xludf.DUMMYFUNCTION("""COMPUTED_VALUE"""),1.6619228834599382)</f>
        <v>1.661922883</v>
      </c>
      <c r="G57" s="17">
        <f>IFERROR(__xludf.DUMMYFUNCTION("""COMPUTED_VALUE"""),0.4876171629304085)</f>
        <v>0.4876171629</v>
      </c>
      <c r="H57" s="4"/>
      <c r="I57" s="5" t="s">
        <v>1943</v>
      </c>
      <c r="J57" s="5" t="s">
        <v>1884</v>
      </c>
      <c r="K57" s="24">
        <v>874.0</v>
      </c>
      <c r="L57" s="5">
        <v>0.099754</v>
      </c>
      <c r="M57" s="5">
        <v>1.80692</v>
      </c>
      <c r="N57" s="5">
        <v>1.906675</v>
      </c>
      <c r="O57" s="5">
        <v>1.030197</v>
      </c>
    </row>
    <row r="58">
      <c r="A58" s="18" t="str">
        <f>IFERROR(__xludf.DUMMYFUNCTION("""COMPUTED_VALUE"""),"Josh Adams")</f>
        <v>Josh Adams</v>
      </c>
      <c r="B58" s="19" t="str">
        <f>IFERROR(__xludf.DUMMYFUNCTION("""COMPUTED_VALUE"""),"EFE")</f>
        <v>EFE</v>
      </c>
      <c r="C58" s="20">
        <f>IFERROR(__xludf.DUMMYFUNCTION("""COMPUTED_VALUE"""),341.09999999999997)</f>
        <v>341.1</v>
      </c>
      <c r="D58" s="21">
        <f>IFERROR(__xludf.DUMMYFUNCTION("""COMPUTED_VALUE"""),-0.4216376822375787)</f>
        <v>-0.4216376822</v>
      </c>
      <c r="E58" s="21">
        <f>IFERROR(__xludf.DUMMYFUNCTION("""COMPUTED_VALUE"""),2.038796238164881)</f>
        <v>2.038796238</v>
      </c>
      <c r="F58" s="21">
        <f>IFERROR(__xludf.DUMMYFUNCTION("""COMPUTED_VALUE"""),1.6171585559273023)</f>
        <v>1.617158556</v>
      </c>
      <c r="G58" s="23">
        <f>IFERROR(__xludf.DUMMYFUNCTION("""COMPUTED_VALUE"""),0.3651767015337784)</f>
        <v>0.3651767015</v>
      </c>
      <c r="H58" s="4"/>
      <c r="I58" s="5" t="s">
        <v>1944</v>
      </c>
      <c r="J58" s="5" t="s">
        <v>1878</v>
      </c>
      <c r="K58" s="5">
        <v>635.0</v>
      </c>
      <c r="L58" s="5">
        <v>1.923924</v>
      </c>
      <c r="M58" s="5">
        <v>-0.064153</v>
      </c>
      <c r="N58" s="5">
        <v>1.859771</v>
      </c>
      <c r="O58" s="5">
        <v>0.743469</v>
      </c>
    </row>
    <row r="59">
      <c r="A59" s="12" t="str">
        <f>IFERROR(__xludf.DUMMYFUNCTION("""COMPUTED_VALUE"""),"Krunoslav Simon")</f>
        <v>Krunoslav Simon</v>
      </c>
      <c r="B59" s="13" t="str">
        <f>IFERROR(__xludf.DUMMYFUNCTION("""COMPUTED_VALUE"""),"EFE")</f>
        <v>EFE</v>
      </c>
      <c r="C59" s="14">
        <f>IFERROR(__xludf.DUMMYFUNCTION("""COMPUTED_VALUE"""),843.7)</f>
        <v>843.7</v>
      </c>
      <c r="D59" s="15">
        <f>IFERROR(__xludf.DUMMYFUNCTION("""COMPUTED_VALUE"""),1.3002786456601696)</f>
        <v>1.300278646</v>
      </c>
      <c r="E59" s="15">
        <f>IFERROR(__xludf.DUMMYFUNCTION("""COMPUTED_VALUE"""),0.27489533009623934)</f>
        <v>0.2748953301</v>
      </c>
      <c r="F59" s="15">
        <f>IFERROR(__xludf.DUMMYFUNCTION("""COMPUTED_VALUE"""),1.575173975756409)</f>
        <v>1.575173976</v>
      </c>
      <c r="G59" s="17">
        <f>IFERROR(__xludf.DUMMYFUNCTION("""COMPUTED_VALUE"""),0.8927688431985185)</f>
        <v>0.8927688432</v>
      </c>
      <c r="H59" s="4"/>
      <c r="I59" s="5" t="s">
        <v>1945</v>
      </c>
      <c r="J59" s="5" t="s">
        <v>1946</v>
      </c>
      <c r="K59" s="24">
        <v>460.0</v>
      </c>
      <c r="L59" s="5">
        <v>2.234153</v>
      </c>
      <c r="M59" s="5">
        <v>-0.438774</v>
      </c>
      <c r="N59" s="5">
        <v>1.795379</v>
      </c>
      <c r="O59" s="5">
        <v>0.536813</v>
      </c>
    </row>
    <row r="60">
      <c r="A60" s="18" t="str">
        <f>IFERROR(__xludf.DUMMYFUNCTION("""COMPUTED_VALUE"""),"Stefan Bircevic")</f>
        <v>Stefan Bircevic</v>
      </c>
      <c r="B60" s="19" t="str">
        <f>IFERROR(__xludf.DUMMYFUNCTION("""COMPUTED_VALUE"""),"IBB")</f>
        <v>IBB</v>
      </c>
      <c r="C60" s="20">
        <f>IFERROR(__xludf.DUMMYFUNCTION("""COMPUTED_VALUE"""),632.1)</f>
        <v>632.1</v>
      </c>
      <c r="D60" s="21">
        <f>IFERROR(__xludf.DUMMYFUNCTION("""COMPUTED_VALUE"""),2.310135092081753)</f>
        <v>2.310135092</v>
      </c>
      <c r="E60" s="21">
        <f>IFERROR(__xludf.DUMMYFUNCTION("""COMPUTED_VALUE"""),-0.7485698454064744)</f>
        <v>-0.7485698454</v>
      </c>
      <c r="F60" s="21">
        <f>IFERROR(__xludf.DUMMYFUNCTION("""COMPUTED_VALUE"""),1.5615652466752787)</f>
        <v>1.561565247</v>
      </c>
      <c r="G60" s="23">
        <f>IFERROR(__xludf.DUMMYFUNCTION("""COMPUTED_VALUE"""),0.69113019849874)</f>
        <v>0.6911301985</v>
      </c>
      <c r="H60" s="4"/>
      <c r="I60" s="5" t="s">
        <v>1947</v>
      </c>
      <c r="J60" s="5" t="s">
        <v>1926</v>
      </c>
      <c r="K60" s="5">
        <v>632.0</v>
      </c>
      <c r="L60" s="5">
        <v>2.296712</v>
      </c>
      <c r="M60" s="5">
        <v>-0.735054</v>
      </c>
      <c r="N60" s="5">
        <v>1.561658</v>
      </c>
      <c r="O60" s="5">
        <v>0.691148</v>
      </c>
    </row>
    <row r="61">
      <c r="A61" s="12" t="str">
        <f>IFERROR(__xludf.DUMMYFUNCTION("""COMPUTED_VALUE"""),"JaJuan Johnson")</f>
        <v>JaJuan Johnson</v>
      </c>
      <c r="B61" s="13" t="str">
        <f>IFERROR(__xludf.DUMMYFUNCTION("""COMPUTED_VALUE"""),"DBI")</f>
        <v>DBI</v>
      </c>
      <c r="C61" s="14">
        <f>IFERROR(__xludf.DUMMYFUNCTION("""COMPUTED_VALUE"""),906.2)</f>
        <v>906.2</v>
      </c>
      <c r="D61" s="15">
        <f>IFERROR(__xludf.DUMMYFUNCTION("""COMPUTED_VALUE"""),-0.23600747148971307)</f>
        <v>-0.2360074715</v>
      </c>
      <c r="E61" s="15">
        <f>IFERROR(__xludf.DUMMYFUNCTION("""COMPUTED_VALUE"""),1.6714708412026262)</f>
        <v>1.671470841</v>
      </c>
      <c r="F61" s="15">
        <f>IFERROR(__xludf.DUMMYFUNCTION("""COMPUTED_VALUE"""),1.435463369712913)</f>
        <v>1.43546337</v>
      </c>
      <c r="G61" s="17">
        <f>IFERROR(__xludf.DUMMYFUNCTION("""COMPUTED_VALUE"""),0.9392163476921427)</f>
        <v>0.9392163477</v>
      </c>
      <c r="H61" s="4"/>
      <c r="I61" s="5" t="s">
        <v>1948</v>
      </c>
      <c r="J61" s="5" t="s">
        <v>1887</v>
      </c>
      <c r="K61" s="5">
        <v>402.0</v>
      </c>
      <c r="L61" s="5">
        <v>2.657966</v>
      </c>
      <c r="M61" s="5">
        <v>-1.108581</v>
      </c>
      <c r="N61" s="5">
        <v>1.549385</v>
      </c>
      <c r="O61" s="5">
        <v>0.430069</v>
      </c>
    </row>
    <row r="62">
      <c r="A62" s="18" t="str">
        <f>IFERROR(__xludf.DUMMYFUNCTION("""COMPUTED_VALUE"""),"Erving Walker")</f>
        <v>Erving Walker</v>
      </c>
      <c r="B62" s="19" t="str">
        <f>IFERROR(__xludf.DUMMYFUNCTION("""COMPUTED_VALUE"""),"DEM")</f>
        <v>DEM</v>
      </c>
      <c r="C62" s="20">
        <f>IFERROR(__xludf.DUMMYFUNCTION("""COMPUTED_VALUE"""),999.7)</f>
        <v>999.7</v>
      </c>
      <c r="D62" s="21">
        <f>IFERROR(__xludf.DUMMYFUNCTION("""COMPUTED_VALUE"""),3.6878840423240975)</f>
        <v>3.687884042</v>
      </c>
      <c r="E62" s="21">
        <f>IFERROR(__xludf.DUMMYFUNCTION("""COMPUTED_VALUE"""),-2.265174794580921)</f>
        <v>-2.265174795</v>
      </c>
      <c r="F62" s="21">
        <f>IFERROR(__xludf.DUMMYFUNCTION("""COMPUTED_VALUE"""),1.4227092477431764)</f>
        <v>1.422709248</v>
      </c>
      <c r="G62" s="23">
        <f>IFERROR(__xludf.DUMMYFUNCTION("""COMPUTED_VALUE"""),1.0608771501557008)</f>
        <v>1.06087715</v>
      </c>
      <c r="H62" s="4"/>
      <c r="I62" s="5" t="s">
        <v>1949</v>
      </c>
      <c r="J62" s="5" t="s">
        <v>1878</v>
      </c>
      <c r="K62" s="5">
        <v>835.0</v>
      </c>
      <c r="L62" s="5">
        <v>1.610582</v>
      </c>
      <c r="M62" s="5">
        <v>-0.063365</v>
      </c>
      <c r="N62" s="5">
        <v>1.547217</v>
      </c>
      <c r="O62" s="5">
        <v>0.898858</v>
      </c>
    </row>
    <row r="63">
      <c r="A63" s="12" t="str">
        <f>IFERROR(__xludf.DUMMYFUNCTION("""COMPUTED_VALUE"""),"Jordan Hamilton")</f>
        <v>Jordan Hamilton</v>
      </c>
      <c r="B63" s="13" t="str">
        <f>IFERROR(__xludf.DUMMYFUNCTION("""COMPUTED_VALUE"""),"UUB")</f>
        <v>UUB</v>
      </c>
      <c r="C63" s="14">
        <f>IFERROR(__xludf.DUMMYFUNCTION("""COMPUTED_VALUE"""),700.2)</f>
        <v>700.2</v>
      </c>
      <c r="D63" s="15">
        <f>IFERROR(__xludf.DUMMYFUNCTION("""COMPUTED_VALUE"""),0.2339258890310072)</f>
        <v>0.233925889</v>
      </c>
      <c r="E63" s="15">
        <f>IFERROR(__xludf.DUMMYFUNCTION("""COMPUTED_VALUE"""),1.1358029914441974)</f>
        <v>1.135802991</v>
      </c>
      <c r="F63" s="15">
        <f>IFERROR(__xludf.DUMMYFUNCTION("""COMPUTED_VALUE"""),1.3697288804752046)</f>
        <v>1.36972888</v>
      </c>
      <c r="G63" s="17">
        <f>IFERROR(__xludf.DUMMYFUNCTION("""COMPUTED_VALUE"""),0.7165365503740383)</f>
        <v>0.7165365504</v>
      </c>
      <c r="H63" s="4"/>
      <c r="I63" s="5" t="s">
        <v>1950</v>
      </c>
      <c r="J63" s="5" t="s">
        <v>1878</v>
      </c>
      <c r="K63" s="5">
        <v>655.0</v>
      </c>
      <c r="L63" s="5">
        <v>0.575039</v>
      </c>
      <c r="M63" s="5">
        <v>0.963717</v>
      </c>
      <c r="N63" s="5">
        <v>1.538756</v>
      </c>
      <c r="O63" s="5">
        <v>0.703755</v>
      </c>
    </row>
    <row r="64">
      <c r="A64" s="18" t="str">
        <f>IFERROR(__xludf.DUMMYFUNCTION("""COMPUTED_VALUE"""),"Yigit Arslan")</f>
        <v>Yigit Arslan</v>
      </c>
      <c r="B64" s="19" t="str">
        <f>IFERROR(__xludf.DUMMYFUNCTION("""COMPUTED_VALUE"""),"TOF")</f>
        <v>TOF</v>
      </c>
      <c r="C64" s="20">
        <f>IFERROR(__xludf.DUMMYFUNCTION("""COMPUTED_VALUE"""),451.1)</f>
        <v>451.1</v>
      </c>
      <c r="D64" s="21">
        <f>IFERROR(__xludf.DUMMYFUNCTION("""COMPUTED_VALUE"""),1.3398697209056416)</f>
        <v>1.339869721</v>
      </c>
      <c r="E64" s="21">
        <f>IFERROR(__xludf.DUMMYFUNCTION("""COMPUTED_VALUE"""),0.01359145914746085)</f>
        <v>0.01359145915</v>
      </c>
      <c r="F64" s="21">
        <f>IFERROR(__xludf.DUMMYFUNCTION("""COMPUTED_VALUE"""),1.3534611800531025)</f>
        <v>1.35346118</v>
      </c>
      <c r="G64" s="23">
        <f>IFERROR(__xludf.DUMMYFUNCTION("""COMPUTED_VALUE"""),0.4579308543639494)</f>
        <v>0.4579308544</v>
      </c>
      <c r="H64" s="4"/>
      <c r="I64" s="5" t="s">
        <v>1951</v>
      </c>
      <c r="J64" s="5" t="s">
        <v>1887</v>
      </c>
      <c r="K64" s="5">
        <v>343.0</v>
      </c>
      <c r="L64" s="5">
        <v>1.351621</v>
      </c>
      <c r="M64" s="5">
        <v>0.164051</v>
      </c>
      <c r="N64" s="5">
        <v>1.515672</v>
      </c>
      <c r="O64" s="5">
        <v>0.363857</v>
      </c>
    </row>
    <row r="65">
      <c r="A65" s="12" t="str">
        <f>IFERROR(__xludf.DUMMYFUNCTION("""COMPUTED_VALUE"""),"Augusto Cesar Lima")</f>
        <v>Augusto Cesar Lima</v>
      </c>
      <c r="B65" s="13" t="str">
        <f>IFERROR(__xludf.DUMMYFUNCTION("""COMPUTED_VALUE"""),"BES")</f>
        <v>BES</v>
      </c>
      <c r="C65" s="14">
        <f>IFERROR(__xludf.DUMMYFUNCTION("""COMPUTED_VALUE"""),199.7)</f>
        <v>199.7</v>
      </c>
      <c r="D65" s="15">
        <f>IFERROR(__xludf.DUMMYFUNCTION("""COMPUTED_VALUE"""),-0.6883108598374427)</f>
        <v>-0.6883108598</v>
      </c>
      <c r="E65" s="15">
        <f>IFERROR(__xludf.DUMMYFUNCTION("""COMPUTED_VALUE"""),2.0282603645731676)</f>
        <v>2.028260365</v>
      </c>
      <c r="F65" s="15">
        <f>IFERROR(__xludf.DUMMYFUNCTION("""COMPUTED_VALUE"""),1.3399495047357248)</f>
        <v>1.339949505</v>
      </c>
      <c r="G65" s="17">
        <f>IFERROR(__xludf.DUMMYFUNCTION("""COMPUTED_VALUE"""),0.22029178988529402)</f>
        <v>0.2202917899</v>
      </c>
      <c r="H65" s="4"/>
      <c r="I65" s="5" t="s">
        <v>523</v>
      </c>
      <c r="J65" s="5" t="s">
        <v>1900</v>
      </c>
      <c r="K65" s="5">
        <v>200.0</v>
      </c>
      <c r="L65" s="5">
        <v>-0.696595</v>
      </c>
      <c r="M65" s="5">
        <v>2.163488</v>
      </c>
      <c r="N65" s="5">
        <v>1.466893</v>
      </c>
      <c r="O65" s="5">
        <v>0.227252</v>
      </c>
    </row>
    <row r="66">
      <c r="A66" s="18" t="str">
        <f>IFERROR(__xludf.DUMMYFUNCTION("""COMPUTED_VALUE"""),"Osiris Eldridge")</f>
        <v>Osiris Eldridge</v>
      </c>
      <c r="B66" s="19" t="str">
        <f>IFERROR(__xludf.DUMMYFUNCTION("""COMPUTED_VALUE"""),"TRA")</f>
        <v>TRA</v>
      </c>
      <c r="C66" s="20">
        <f>IFERROR(__xludf.DUMMYFUNCTION("""COMPUTED_VALUE"""),935.7)</f>
        <v>935.7</v>
      </c>
      <c r="D66" s="21">
        <f>IFERROR(__xludf.DUMMYFUNCTION("""COMPUTED_VALUE"""),3.4437747342280463)</f>
        <v>3.443774734</v>
      </c>
      <c r="E66" s="21">
        <f>IFERROR(__xludf.DUMMYFUNCTION("""COMPUTED_VALUE"""),-2.166799107135394)</f>
        <v>-2.166799107</v>
      </c>
      <c r="F66" s="21">
        <f>IFERROR(__xludf.DUMMYFUNCTION("""COMPUTED_VALUE"""),1.2769756270926522)</f>
        <v>1.276975627</v>
      </c>
      <c r="G66" s="23">
        <f>IFERROR(__xludf.DUMMYFUNCTION("""COMPUTED_VALUE"""),0.9289538494829276)</f>
        <v>0.9289538495</v>
      </c>
      <c r="H66" s="4"/>
      <c r="I66" s="5" t="s">
        <v>1952</v>
      </c>
      <c r="J66" s="5" t="s">
        <v>1942</v>
      </c>
      <c r="K66" s="24">
        <v>1000.0</v>
      </c>
      <c r="L66" s="5">
        <v>3.673614</v>
      </c>
      <c r="M66" s="5">
        <v>-2.251508</v>
      </c>
      <c r="N66" s="5">
        <v>1.422106</v>
      </c>
      <c r="O66" s="5">
        <v>1.06069</v>
      </c>
    </row>
    <row r="67">
      <c r="A67" s="12" t="str">
        <f>IFERROR(__xludf.DUMMYFUNCTION("""COMPUTED_VALUE"""),"Baris Ermis")</f>
        <v>Baris Ermis</v>
      </c>
      <c r="B67" s="13" t="str">
        <f>IFERROR(__xludf.DUMMYFUNCTION("""COMPUTED_VALUE"""),"TOF")</f>
        <v>TOF</v>
      </c>
      <c r="C67" s="14">
        <f>IFERROR(__xludf.DUMMYFUNCTION("""COMPUTED_VALUE"""),741.8)</f>
        <v>741.8</v>
      </c>
      <c r="D67" s="15">
        <f>IFERROR(__xludf.DUMMYFUNCTION("""COMPUTED_VALUE"""),1.73818609774778)</f>
        <v>1.738186098</v>
      </c>
      <c r="E67" s="15">
        <f>IFERROR(__xludf.DUMMYFUNCTION("""COMPUTED_VALUE"""),-0.5257311194567136)</f>
        <v>-0.5257311195</v>
      </c>
      <c r="F67" s="15">
        <f>IFERROR(__xludf.DUMMYFUNCTION("""COMPUTED_VALUE"""),1.2124549782910665)</f>
        <v>1.212454978</v>
      </c>
      <c r="G67" s="17">
        <f>IFERROR(__xludf.DUMMYFUNCTION("""COMPUTED_VALUE"""),0.7213693317204285)</f>
        <v>0.7213693317</v>
      </c>
      <c r="H67" s="4"/>
      <c r="I67" s="5" t="s">
        <v>1550</v>
      </c>
      <c r="J67" s="5" t="s">
        <v>1953</v>
      </c>
      <c r="K67" s="5">
        <v>700.0</v>
      </c>
      <c r="L67" s="5">
        <v>0.220076</v>
      </c>
      <c r="M67" s="5">
        <v>1.149395</v>
      </c>
      <c r="N67" s="5">
        <v>1.369471</v>
      </c>
      <c r="O67" s="5">
        <v>0.716482</v>
      </c>
    </row>
    <row r="68">
      <c r="A68" s="18" t="str">
        <f>IFERROR(__xludf.DUMMYFUNCTION("""COMPUTED_VALUE"""),"James Bell")</f>
        <v>James Bell</v>
      </c>
      <c r="B68" s="19" t="str">
        <f>IFERROR(__xludf.DUMMYFUNCTION("""COMPUTED_VALUE"""),"DBI")</f>
        <v>DBI</v>
      </c>
      <c r="C68" s="20">
        <f>IFERROR(__xludf.DUMMYFUNCTION("""COMPUTED_VALUE"""),455.1)</f>
        <v>455.1</v>
      </c>
      <c r="D68" s="21">
        <f>IFERROR(__xludf.DUMMYFUNCTION("""COMPUTED_VALUE"""),0.33390776382112036)</f>
        <v>0.3339077638</v>
      </c>
      <c r="E68" s="21">
        <f>IFERROR(__xludf.DUMMYFUNCTION("""COMPUTED_VALUE"""),0.7883450694028291)</f>
        <v>0.7883450694</v>
      </c>
      <c r="F68" s="21">
        <f>IFERROR(__xludf.DUMMYFUNCTION("""COMPUTED_VALUE"""),1.1222528332239494)</f>
        <v>1.122252833</v>
      </c>
      <c r="G68" s="23">
        <f>IFERROR(__xludf.DUMMYFUNCTION("""COMPUTED_VALUE"""),0.4286779714431509)</f>
        <v>0.4286779714</v>
      </c>
      <c r="H68" s="4"/>
      <c r="I68" s="5" t="s">
        <v>1954</v>
      </c>
      <c r="J68" s="5" t="s">
        <v>1923</v>
      </c>
      <c r="K68" s="5">
        <v>936.0</v>
      </c>
      <c r="L68" s="5">
        <v>3.42965</v>
      </c>
      <c r="M68" s="5">
        <v>-2.153158</v>
      </c>
      <c r="N68" s="5">
        <v>1.276491</v>
      </c>
      <c r="O68" s="5">
        <v>0.928817</v>
      </c>
    </row>
    <row r="69">
      <c r="A69" s="12" t="str">
        <f>IFERROR(__xludf.DUMMYFUNCTION("""COMPUTED_VALUE"""),"Vojdan Stojanovski")</f>
        <v>Vojdan Stojanovski</v>
      </c>
      <c r="B69" s="13" t="str">
        <f>IFERROR(__xludf.DUMMYFUNCTION("""COMPUTED_VALUE"""),"DEM")</f>
        <v>DEM</v>
      </c>
      <c r="C69" s="14">
        <f>IFERROR(__xludf.DUMMYFUNCTION("""COMPUTED_VALUE"""),779.2)</f>
        <v>779.2</v>
      </c>
      <c r="D69" s="15">
        <f>IFERROR(__xludf.DUMMYFUNCTION("""COMPUTED_VALUE"""),1.1222197718837255)</f>
        <v>1.122219772</v>
      </c>
      <c r="E69" s="15">
        <f>IFERROR(__xludf.DUMMYFUNCTION("""COMPUTED_VALUE"""),-0.019775944587671512)</f>
        <v>-0.01977594459</v>
      </c>
      <c r="F69" s="15">
        <f>IFERROR(__xludf.DUMMYFUNCTION("""COMPUTED_VALUE"""),1.102443827296054)</f>
        <v>1.102443827</v>
      </c>
      <c r="G69" s="17">
        <f>IFERROR(__xludf.DUMMYFUNCTION("""COMPUTED_VALUE"""),0.7495114397155082)</f>
        <v>0.7495114397</v>
      </c>
      <c r="H69" s="4"/>
      <c r="I69" s="5" t="s">
        <v>1955</v>
      </c>
      <c r="J69" s="5" t="s">
        <v>1884</v>
      </c>
      <c r="K69" s="24">
        <v>455.0</v>
      </c>
      <c r="L69" s="5">
        <v>0.328748</v>
      </c>
      <c r="M69" s="5">
        <v>0.860224</v>
      </c>
      <c r="N69" s="5">
        <v>1.188972</v>
      </c>
      <c r="O69" s="5">
        <v>0.437684</v>
      </c>
    </row>
    <row r="70">
      <c r="A70" s="18" t="str">
        <f>IFERROR(__xludf.DUMMYFUNCTION("""COMPUTED_VALUE"""),"Samet Geyik")</f>
        <v>Samet Geyik</v>
      </c>
      <c r="B70" s="19" t="str">
        <f>IFERROR(__xludf.DUMMYFUNCTION("""COMPUTED_VALUE"""),"BES")</f>
        <v>BES</v>
      </c>
      <c r="C70" s="20">
        <f>IFERROR(__xludf.DUMMYFUNCTION("""COMPUTED_VALUE"""),60.5)</f>
        <v>60.5</v>
      </c>
      <c r="D70" s="21">
        <f>IFERROR(__xludf.DUMMYFUNCTION("""COMPUTED_VALUE"""),0.1264093341750926)</f>
        <v>0.1264093342</v>
      </c>
      <c r="E70" s="21">
        <f>IFERROR(__xludf.DUMMYFUNCTION("""COMPUTED_VALUE"""),0.8707493291868099)</f>
        <v>0.8707493292</v>
      </c>
      <c r="F70" s="21">
        <f>IFERROR(__xludf.DUMMYFUNCTION("""COMPUTED_VALUE"""),0.9971586633619025)</f>
        <v>0.9971586634</v>
      </c>
      <c r="G70" s="23">
        <f>IFERROR(__xludf.DUMMYFUNCTION("""COMPUTED_VALUE"""),0.05988877841807982)</f>
        <v>0.05988877842</v>
      </c>
      <c r="H70" s="4"/>
      <c r="I70" s="5" t="s">
        <v>1956</v>
      </c>
      <c r="J70" s="5" t="s">
        <v>1942</v>
      </c>
      <c r="K70" s="5">
        <v>779.0</v>
      </c>
      <c r="L70" s="5">
        <v>1.108978</v>
      </c>
      <c r="M70" s="5">
        <v>-0.006292</v>
      </c>
      <c r="N70" s="5">
        <v>1.102685</v>
      </c>
      <c r="O70" s="5">
        <v>0.74957</v>
      </c>
    </row>
    <row r="71">
      <c r="A71" s="12" t="str">
        <f>IFERROR(__xludf.DUMMYFUNCTION("""COMPUTED_VALUE"""),"Andy Rautins")</f>
        <v>Andy Rautins</v>
      </c>
      <c r="B71" s="13" t="str">
        <f>IFERROR(__xludf.DUMMYFUNCTION("""COMPUTED_VALUE"""),"BVS")</f>
        <v>BVS</v>
      </c>
      <c r="C71" s="14">
        <f>IFERROR(__xludf.DUMMYFUNCTION("""COMPUTED_VALUE"""),808.5)</f>
        <v>808.5</v>
      </c>
      <c r="D71" s="15">
        <f>IFERROR(__xludf.DUMMYFUNCTION("""COMPUTED_VALUE"""),0.847818837233493)</f>
        <v>0.8478188372</v>
      </c>
      <c r="E71" s="15">
        <f>IFERROR(__xludf.DUMMYFUNCTION("""COMPUTED_VALUE"""),0.13656260829809108)</f>
        <v>0.1365626083</v>
      </c>
      <c r="F71" s="15">
        <f>IFERROR(__xludf.DUMMYFUNCTION("""COMPUTED_VALUE"""),0.9843814455315841)</f>
        <v>0.9843814455</v>
      </c>
      <c r="G71" s="17">
        <f>IFERROR(__xludf.DUMMYFUNCTION("""COMPUTED_VALUE"""),0.7262118240720198)</f>
        <v>0.7262118241</v>
      </c>
      <c r="H71" s="4"/>
      <c r="I71" s="5" t="s">
        <v>1957</v>
      </c>
      <c r="J71" s="5" t="s">
        <v>1900</v>
      </c>
      <c r="K71" s="5">
        <v>61.0</v>
      </c>
      <c r="L71" s="5">
        <v>0.122763</v>
      </c>
      <c r="M71" s="5">
        <v>0.911804</v>
      </c>
      <c r="N71" s="5">
        <v>1.034566</v>
      </c>
      <c r="O71" s="5">
        <v>0.060262</v>
      </c>
    </row>
    <row r="72">
      <c r="A72" s="18" t="str">
        <f>IFERROR(__xludf.DUMMYFUNCTION("""COMPUTED_VALUE"""),"Egehan Arna")</f>
        <v>Egehan Arna</v>
      </c>
      <c r="B72" s="19" t="str">
        <f>IFERROR(__xludf.DUMMYFUNCTION("""COMPUTED_VALUE"""),"FEN")</f>
        <v>FEN</v>
      </c>
      <c r="C72" s="20">
        <f>IFERROR(__xludf.DUMMYFUNCTION("""COMPUTED_VALUE"""),259.6)</f>
        <v>259.6</v>
      </c>
      <c r="D72" s="21">
        <f>IFERROR(__xludf.DUMMYFUNCTION("""COMPUTED_VALUE"""),0.9275683791901997)</f>
        <v>0.9275683792</v>
      </c>
      <c r="E72" s="21">
        <f>IFERROR(__xludf.DUMMYFUNCTION("""COMPUTED_VALUE"""),0.025851190259632673)</f>
        <v>0.02585119026</v>
      </c>
      <c r="F72" s="21">
        <f>IFERROR(__xludf.DUMMYFUNCTION("""COMPUTED_VALUE"""),0.9534195694498324)</f>
        <v>0.9534195694</v>
      </c>
      <c r="G72" s="23">
        <f>IFERROR(__xludf.DUMMYFUNCTION("""COMPUTED_VALUE"""),0.23337894741254742)</f>
        <v>0.2333789474</v>
      </c>
      <c r="H72" s="4"/>
      <c r="I72" s="5" t="s">
        <v>1958</v>
      </c>
      <c r="J72" s="5" t="s">
        <v>1923</v>
      </c>
      <c r="K72" s="24">
        <v>806.0</v>
      </c>
      <c r="L72" s="5">
        <v>2.311835</v>
      </c>
      <c r="M72" s="5">
        <v>-1.382</v>
      </c>
      <c r="N72" s="5">
        <v>0.929835</v>
      </c>
      <c r="O72" s="5">
        <v>0.7156</v>
      </c>
    </row>
    <row r="73">
      <c r="A73" s="12" t="str">
        <f>IFERROR(__xludf.DUMMYFUNCTION("""COMPUTED_VALUE"""),"Caleb Green")</f>
        <v>Caleb Green</v>
      </c>
      <c r="B73" s="13" t="str">
        <f>IFERROR(__xludf.DUMMYFUNCTION("""COMPUTED_VALUE"""),"TRA")</f>
        <v>TRA</v>
      </c>
      <c r="C73" s="14">
        <f>IFERROR(__xludf.DUMMYFUNCTION("""COMPUTED_VALUE"""),806.2)</f>
        <v>806.2</v>
      </c>
      <c r="D73" s="15">
        <f>IFERROR(__xludf.DUMMYFUNCTION("""COMPUTED_VALUE"""),2.3255485632559236)</f>
        <v>2.325548563</v>
      </c>
      <c r="E73" s="15">
        <f>IFERROR(__xludf.DUMMYFUNCTION("""COMPUTED_VALUE"""),-1.3955678475155477)</f>
        <v>-1.395567848</v>
      </c>
      <c r="F73" s="15">
        <f>IFERROR(__xludf.DUMMYFUNCTION("""COMPUTED_VALUE"""),0.9299807157403759)</f>
        <v>0.9299807157</v>
      </c>
      <c r="G73" s="17">
        <f>IFERROR(__xludf.DUMMYFUNCTION("""COMPUTED_VALUE"""),0.7156354631126516)</f>
        <v>0.7156354631</v>
      </c>
      <c r="H73" s="4"/>
      <c r="I73" s="5" t="s">
        <v>1959</v>
      </c>
      <c r="J73" s="5" t="s">
        <v>1878</v>
      </c>
      <c r="K73" s="5">
        <v>403.0</v>
      </c>
      <c r="L73" s="5">
        <v>0.424474</v>
      </c>
      <c r="M73" s="5">
        <v>0.406675</v>
      </c>
      <c r="N73" s="5">
        <v>0.831149</v>
      </c>
      <c r="O73" s="5">
        <v>0.346462</v>
      </c>
    </row>
    <row r="74">
      <c r="A74" s="18" t="str">
        <f>IFERROR(__xludf.DUMMYFUNCTION("""COMPUTED_VALUE"""),"Earl Calloway")</f>
        <v>Earl Calloway</v>
      </c>
      <c r="B74" s="19" t="str">
        <f>IFERROR(__xludf.DUMMYFUNCTION("""COMPUTED_VALUE"""),"UUB")</f>
        <v>UUB</v>
      </c>
      <c r="C74" s="20">
        <f>IFERROR(__xludf.DUMMYFUNCTION("""COMPUTED_VALUE"""),801.8)</f>
        <v>801.8</v>
      </c>
      <c r="D74" s="21">
        <f>IFERROR(__xludf.DUMMYFUNCTION("""COMPUTED_VALUE"""),0.3392090772170664)</f>
        <v>0.3392090772</v>
      </c>
      <c r="E74" s="21">
        <f>IFERROR(__xludf.DUMMYFUNCTION("""COMPUTED_VALUE"""),0.43009790753482946)</f>
        <v>0.4300979075</v>
      </c>
      <c r="F74" s="21">
        <f>IFERROR(__xludf.DUMMYFUNCTION("""COMPUTED_VALUE"""),0.7693069847518959)</f>
        <v>0.7693069848</v>
      </c>
      <c r="G74" s="23">
        <f>IFERROR(__xludf.DUMMYFUNCTION("""COMPUTED_VALUE"""),0.6743081907426531)</f>
        <v>0.6743081907</v>
      </c>
      <c r="H74" s="4"/>
      <c r="I74" s="5" t="s">
        <v>1960</v>
      </c>
      <c r="J74" s="5" t="s">
        <v>1953</v>
      </c>
      <c r="K74" s="5">
        <v>802.0</v>
      </c>
      <c r="L74" s="5">
        <v>0.326141</v>
      </c>
      <c r="M74" s="5">
        <v>0.443551</v>
      </c>
      <c r="N74" s="5">
        <v>0.769691</v>
      </c>
      <c r="O74" s="5">
        <v>0.674402</v>
      </c>
    </row>
    <row r="75">
      <c r="A75" s="12" t="str">
        <f>IFERROR(__xludf.DUMMYFUNCTION("""COMPUTED_VALUE"""),"Berkan Durmaz")</f>
        <v>Berkan Durmaz</v>
      </c>
      <c r="B75" s="13" t="str">
        <f>IFERROR(__xludf.DUMMYFUNCTION("""COMPUTED_VALUE"""),"TOF")</f>
        <v>TOF</v>
      </c>
      <c r="C75" s="14">
        <f>IFERROR(__xludf.DUMMYFUNCTION("""COMPUTED_VALUE"""),126.6)</f>
        <v>126.6</v>
      </c>
      <c r="D75" s="15">
        <f>IFERROR(__xludf.DUMMYFUNCTION("""COMPUTED_VALUE"""),-0.14802534923637314)</f>
        <v>-0.1480253492</v>
      </c>
      <c r="E75" s="15">
        <f>IFERROR(__xludf.DUMMYFUNCTION("""COMPUTED_VALUE"""),0.8234706502519297)</f>
        <v>0.8234706503</v>
      </c>
      <c r="F75" s="15">
        <f>IFERROR(__xludf.DUMMYFUNCTION("""COMPUTED_VALUE"""),0.6754453010155566)</f>
        <v>0.675445301</v>
      </c>
      <c r="G75" s="17">
        <f>IFERROR(__xludf.DUMMYFUNCTION("""COMPUTED_VALUE"""),0.10253297955975246)</f>
        <v>0.1025329796</v>
      </c>
      <c r="H75" s="4"/>
      <c r="I75" s="5" t="s">
        <v>1961</v>
      </c>
      <c r="J75" s="5" t="s">
        <v>1887</v>
      </c>
      <c r="K75" s="5">
        <v>699.0</v>
      </c>
      <c r="L75" s="5">
        <v>0.338234</v>
      </c>
      <c r="M75" s="5">
        <v>0.340425</v>
      </c>
      <c r="N75" s="5">
        <v>0.678659</v>
      </c>
      <c r="O75" s="5">
        <v>0.564234</v>
      </c>
    </row>
    <row r="76">
      <c r="A76" s="18" t="str">
        <f>IFERROR(__xludf.DUMMYFUNCTION("""COMPUTED_VALUE"""),"Yigitcan Saybir")</f>
        <v>Yigitcan Saybir</v>
      </c>
      <c r="B76" s="19" t="str">
        <f>IFERROR(__xludf.DUMMYFUNCTION("""COMPUTED_VALUE"""),"EFE")</f>
        <v>EFE</v>
      </c>
      <c r="C76" s="20">
        <f>IFERROR(__xludf.DUMMYFUNCTION("""COMPUTED_VALUE"""),38.5)</f>
        <v>38.5</v>
      </c>
      <c r="D76" s="21">
        <f>IFERROR(__xludf.DUMMYFUNCTION("""COMPUTED_VALUE"""),0.6514249076279409)</f>
        <v>0.6514249076</v>
      </c>
      <c r="E76" s="21">
        <f>IFERROR(__xludf.DUMMYFUNCTION("""COMPUTED_VALUE"""),-0.12640214236847513)</f>
        <v>-0.1264021424</v>
      </c>
      <c r="F76" s="21">
        <f>IFERROR(__xludf.DUMMYFUNCTION("""COMPUTED_VALUE"""),0.5250227652594658)</f>
        <v>0.5250227653</v>
      </c>
      <c r="G76" s="23">
        <f>IFERROR(__xludf.DUMMYFUNCTION("""COMPUTED_VALUE"""),0.028772647388962166)</f>
        <v>0.02877264739</v>
      </c>
      <c r="H76" s="4"/>
      <c r="I76" s="5" t="s">
        <v>260</v>
      </c>
      <c r="J76" s="5" t="s">
        <v>36</v>
      </c>
      <c r="K76" s="5">
        <v>244.0</v>
      </c>
      <c r="L76" s="5">
        <v>0.703989</v>
      </c>
      <c r="M76" s="5">
        <v>-0.102997</v>
      </c>
      <c r="N76" s="5">
        <v>0.600992</v>
      </c>
      <c r="O76" s="5">
        <v>0.193836</v>
      </c>
    </row>
    <row r="77">
      <c r="A77" s="12" t="str">
        <f>IFERROR(__xludf.DUMMYFUNCTION("""COMPUTED_VALUE"""),"Okben Ulubay")</f>
        <v>Okben Ulubay</v>
      </c>
      <c r="B77" s="13" t="str">
        <f>IFERROR(__xludf.DUMMYFUNCTION("""COMPUTED_VALUE"""),"DBI")</f>
        <v>DBI</v>
      </c>
      <c r="C77" s="14">
        <f>IFERROR(__xludf.DUMMYFUNCTION("""COMPUTED_VALUE"""),547.2)</f>
        <v>547.2</v>
      </c>
      <c r="D77" s="15">
        <f>IFERROR(__xludf.DUMMYFUNCTION("""COMPUTED_VALUE"""),-0.6359118554442056)</f>
        <v>-0.6359118554</v>
      </c>
      <c r="E77" s="15">
        <f>IFERROR(__xludf.DUMMYFUNCTION("""COMPUTED_VALUE"""),0.9505109733089163)</f>
        <v>0.9505109733</v>
      </c>
      <c r="F77" s="15">
        <f>IFERROR(__xludf.DUMMYFUNCTION("""COMPUTED_VALUE"""),0.31459911786471073)</f>
        <v>0.3145991179</v>
      </c>
      <c r="G77" s="17">
        <f>IFERROR(__xludf.DUMMYFUNCTION("""COMPUTED_VALUE"""),0.38210096544911754)</f>
        <v>0.3821009654</v>
      </c>
      <c r="H77" s="4"/>
      <c r="I77" s="5" t="s">
        <v>387</v>
      </c>
      <c r="J77" s="5" t="s">
        <v>60</v>
      </c>
      <c r="K77" s="5">
        <v>39.0</v>
      </c>
      <c r="L77" s="5">
        <v>0.660494</v>
      </c>
      <c r="M77" s="5">
        <v>-0.067885</v>
      </c>
      <c r="N77" s="5">
        <v>0.592609</v>
      </c>
      <c r="O77" s="5">
        <v>0.029553</v>
      </c>
    </row>
    <row r="78">
      <c r="A78" s="18" t="str">
        <f>IFERROR(__xludf.DUMMYFUNCTION("""COMPUTED_VALUE"""),"Berk Demir")</f>
        <v>Berk Demir</v>
      </c>
      <c r="B78" s="19" t="str">
        <f>IFERROR(__xludf.DUMMYFUNCTION("""COMPUTED_VALUE"""),"EFE")</f>
        <v>EFE</v>
      </c>
      <c r="C78" s="20">
        <f>IFERROR(__xludf.DUMMYFUNCTION("""COMPUTED_VALUE"""),64.4)</f>
        <v>64.4</v>
      </c>
      <c r="D78" s="21">
        <f>IFERROR(__xludf.DUMMYFUNCTION("""COMPUTED_VALUE"""),0.1435660454820316)</f>
        <v>0.1435660455</v>
      </c>
      <c r="E78" s="21">
        <f>IFERROR(__xludf.DUMMYFUNCTION("""COMPUTED_VALUE"""),0.1620412826155221)</f>
        <v>0.1620412826</v>
      </c>
      <c r="F78" s="21">
        <f>IFERROR(__xludf.DUMMYFUNCTION("""COMPUTED_VALUE"""),0.3056073280975537)</f>
        <v>0.3056073281</v>
      </c>
      <c r="G78" s="23">
        <f>IFERROR(__xludf.DUMMYFUNCTION("""COMPUTED_VALUE"""),0.04394657230238767)</f>
        <v>0.0439465723</v>
      </c>
      <c r="H78" s="4"/>
      <c r="I78" s="5" t="s">
        <v>508</v>
      </c>
      <c r="J78" s="5" t="s">
        <v>60</v>
      </c>
      <c r="K78" s="24">
        <v>727.0</v>
      </c>
      <c r="L78" s="5">
        <v>1.995841</v>
      </c>
      <c r="M78" s="5">
        <v>-1.420723</v>
      </c>
      <c r="N78" s="5">
        <v>0.575118</v>
      </c>
      <c r="O78" s="5">
        <v>0.553908</v>
      </c>
    </row>
    <row r="79">
      <c r="A79" s="12" t="str">
        <f>IFERROR(__xludf.DUMMYFUNCTION("""COMPUTED_VALUE"""),"Brock Motum")</f>
        <v>Brock Motum</v>
      </c>
      <c r="B79" s="13" t="str">
        <f>IFERROR(__xludf.DUMMYFUNCTION("""COMPUTED_VALUE"""),"EFE")</f>
        <v>EFE</v>
      </c>
      <c r="C79" s="14">
        <f>IFERROR(__xludf.DUMMYFUNCTION("""COMPUTED_VALUE"""),869.1)</f>
        <v>869.1</v>
      </c>
      <c r="D79" s="15">
        <f>IFERROR(__xludf.DUMMYFUNCTION("""COMPUTED_VALUE"""),1.6905824461418344)</f>
        <v>1.690582446</v>
      </c>
      <c r="E79" s="15">
        <f>IFERROR(__xludf.DUMMYFUNCTION("""COMPUTED_VALUE"""),-1.4181871724659478)</f>
        <v>-1.418187172</v>
      </c>
      <c r="F79" s="15">
        <f>IFERROR(__xludf.DUMMYFUNCTION("""COMPUTED_VALUE"""),0.27239527367588645)</f>
        <v>0.2723952737</v>
      </c>
      <c r="G79" s="17">
        <f>IFERROR(__xludf.DUMMYFUNCTION("""COMPUTED_VALUE"""),0.584530831337659)</f>
        <v>0.5845308313</v>
      </c>
      <c r="H79" s="4"/>
      <c r="I79" s="5" t="s">
        <v>1962</v>
      </c>
      <c r="J79" s="5" t="s">
        <v>1900</v>
      </c>
      <c r="K79" s="5">
        <v>294.0</v>
      </c>
      <c r="L79" s="5">
        <v>-0.376247</v>
      </c>
      <c r="M79" s="5">
        <v>0.708246</v>
      </c>
      <c r="N79" s="5">
        <v>0.331999</v>
      </c>
      <c r="O79" s="5">
        <v>0.225119</v>
      </c>
    </row>
    <row r="80">
      <c r="A80" s="18" t="str">
        <f>IFERROR(__xludf.DUMMYFUNCTION("""COMPUTED_VALUE"""),"Jackie Carmichael")</f>
        <v>Jackie Carmichael</v>
      </c>
      <c r="B80" s="19" t="str">
        <f>IFERROR(__xludf.DUMMYFUNCTION("""COMPUTED_VALUE"""),"UUB")</f>
        <v>UUB</v>
      </c>
      <c r="C80" s="20">
        <f>IFERROR(__xludf.DUMMYFUNCTION("""COMPUTED_VALUE"""),682.0)</f>
        <v>682</v>
      </c>
      <c r="D80" s="21">
        <f>IFERROR(__xludf.DUMMYFUNCTION("""COMPUTED_VALUE"""),-2.512592467935406)</f>
        <v>-2.512592468</v>
      </c>
      <c r="E80" s="21">
        <f>IFERROR(__xludf.DUMMYFUNCTION("""COMPUTED_VALUE"""),2.7725210895565824)</f>
        <v>2.77252109</v>
      </c>
      <c r="F80" s="21">
        <f>IFERROR(__xludf.DUMMYFUNCTION("""COMPUTED_VALUE"""),0.25992862162117625)</f>
        <v>0.2599286216</v>
      </c>
      <c r="G80" s="23">
        <f>IFERROR(__xludf.DUMMYFUNCTION("""COMPUTED_VALUE"""),0.46805876153763953)</f>
        <v>0.4680587615</v>
      </c>
      <c r="H80" s="4"/>
      <c r="I80" s="5" t="s">
        <v>1963</v>
      </c>
      <c r="J80" s="5" t="s">
        <v>1900</v>
      </c>
      <c r="K80" s="5">
        <v>78.0</v>
      </c>
      <c r="L80" s="5">
        <v>-0.965997</v>
      </c>
      <c r="M80" s="5">
        <v>1.23439</v>
      </c>
      <c r="N80" s="5">
        <v>0.268393</v>
      </c>
      <c r="O80" s="5">
        <v>0.058077</v>
      </c>
    </row>
    <row r="81">
      <c r="A81" s="12" t="str">
        <f>IFERROR(__xludf.DUMMYFUNCTION("""COMPUTED_VALUE"""),"Tolga Gecim")</f>
        <v>Tolga Gecim</v>
      </c>
      <c r="B81" s="13" t="str">
        <f>IFERROR(__xludf.DUMMYFUNCTION("""COMPUTED_VALUE"""),"BVS")</f>
        <v>BVS</v>
      </c>
      <c r="C81" s="14">
        <f>IFERROR(__xludf.DUMMYFUNCTION("""COMPUTED_VALUE"""),383.5)</f>
        <v>383.5</v>
      </c>
      <c r="D81" s="15">
        <f>IFERROR(__xludf.DUMMYFUNCTION("""COMPUTED_VALUE"""),0.365914853344098)</f>
        <v>0.3659148533</v>
      </c>
      <c r="E81" s="15">
        <f>IFERROR(__xludf.DUMMYFUNCTION("""COMPUTED_VALUE"""),-0.15159066557762146)</f>
        <v>-0.1515906656</v>
      </c>
      <c r="F81" s="15">
        <f>IFERROR(__xludf.DUMMYFUNCTION("""COMPUTED_VALUE"""),0.21432418776647655)</f>
        <v>0.2143241878</v>
      </c>
      <c r="G81" s="17">
        <f>IFERROR(__xludf.DUMMYFUNCTION("""COMPUTED_VALUE"""),0.25558510039714405)</f>
        <v>0.2555851004</v>
      </c>
      <c r="H81" s="4"/>
      <c r="I81" s="5" t="s">
        <v>1964</v>
      </c>
      <c r="J81" s="5" t="s">
        <v>1953</v>
      </c>
      <c r="K81" s="5">
        <v>682.0</v>
      </c>
      <c r="L81" s="5">
        <v>-2.526483</v>
      </c>
      <c r="M81" s="5">
        <v>2.78612</v>
      </c>
      <c r="N81" s="5">
        <v>0.259637</v>
      </c>
      <c r="O81" s="5">
        <v>0.467998</v>
      </c>
    </row>
    <row r="82">
      <c r="A82" s="18" t="str">
        <f>IFERROR(__xludf.DUMMYFUNCTION("""COMPUTED_VALUE"""),"Ryan Boatright")</f>
        <v>Ryan Boatright</v>
      </c>
      <c r="B82" s="19" t="str">
        <f>IFERROR(__xludf.DUMMYFUNCTION("""COMPUTED_VALUE"""),"BES")</f>
        <v>BES</v>
      </c>
      <c r="C82" s="20">
        <f>IFERROR(__xludf.DUMMYFUNCTION("""COMPUTED_VALUE"""),294.1)</f>
        <v>294.1</v>
      </c>
      <c r="D82" s="21">
        <f>IFERROR(__xludf.DUMMYFUNCTION("""COMPUTED_VALUE"""),-0.35250172727495005)</f>
        <v>-0.3525017273</v>
      </c>
      <c r="E82" s="21">
        <f>IFERROR(__xludf.DUMMYFUNCTION("""COMPUTED_VALUE"""),0.5085248761175947)</f>
        <v>0.5085248761</v>
      </c>
      <c r="F82" s="21">
        <f>IFERROR(__xludf.DUMMYFUNCTION("""COMPUTED_VALUE"""),0.15602314884264468)</f>
        <v>0.1560231488</v>
      </c>
      <c r="G82" s="23">
        <f>IFERROR(__xludf.DUMMYFUNCTION("""COMPUTED_VALUE"""),0.20942512811078923)</f>
        <v>0.2094251281</v>
      </c>
      <c r="H82" s="4"/>
      <c r="I82" s="5" t="s">
        <v>1965</v>
      </c>
      <c r="J82" s="5" t="s">
        <v>1884</v>
      </c>
      <c r="K82" s="5">
        <v>518.0</v>
      </c>
      <c r="L82" s="5">
        <v>-0.761837</v>
      </c>
      <c r="M82" s="5">
        <v>0.979428</v>
      </c>
      <c r="N82" s="5">
        <v>0.217591</v>
      </c>
      <c r="O82" s="5">
        <v>0.346094</v>
      </c>
    </row>
    <row r="83">
      <c r="A83" s="12" t="str">
        <f>IFERROR(__xludf.DUMMYFUNCTION("""COMPUTED_VALUE"""),"Emircan Kosut")</f>
        <v>Emircan Kosut</v>
      </c>
      <c r="B83" s="13" t="str">
        <f>IFERROR(__xludf.DUMMYFUNCTION("""COMPUTED_VALUE"""),"DBI")</f>
        <v>DBI</v>
      </c>
      <c r="C83" s="14">
        <f>IFERROR(__xludf.DUMMYFUNCTION("""COMPUTED_VALUE"""),99.2)</f>
        <v>99.2</v>
      </c>
      <c r="D83" s="15">
        <f>IFERROR(__xludf.DUMMYFUNCTION("""COMPUTED_VALUE"""),0.32889026377740205)</f>
        <v>0.3288902638</v>
      </c>
      <c r="E83" s="15">
        <f>IFERROR(__xludf.DUMMYFUNCTION("""COMPUTED_VALUE"""),-0.19047339394510474)</f>
        <v>-0.1904733939</v>
      </c>
      <c r="F83" s="15">
        <f>IFERROR(__xludf.DUMMYFUNCTION("""COMPUTED_VALUE"""),0.1384168698322973)</f>
        <v>0.1384168698</v>
      </c>
      <c r="G83" s="17">
        <f>IFERROR(__xludf.DUMMYFUNCTION("""COMPUTED_VALUE"""),0.06399710184224688)</f>
        <v>0.06399710184</v>
      </c>
      <c r="H83" s="4"/>
      <c r="I83" s="5" t="s">
        <v>367</v>
      </c>
      <c r="J83" s="5" t="s">
        <v>60</v>
      </c>
      <c r="K83" s="5">
        <v>53.0</v>
      </c>
      <c r="L83" s="5">
        <v>0.041263</v>
      </c>
      <c r="M83" s="5">
        <v>0.17197</v>
      </c>
      <c r="N83" s="5">
        <v>0.213233</v>
      </c>
      <c r="O83" s="5">
        <v>0.034992</v>
      </c>
    </row>
    <row r="84">
      <c r="A84" s="18" t="str">
        <f>IFERROR(__xludf.DUMMYFUNCTION("""COMPUTED_VALUE"""),"Efe Ceran")</f>
        <v>Efe Ceran</v>
      </c>
      <c r="B84" s="19" t="str">
        <f>IFERROR(__xludf.DUMMYFUNCTION("""COMPUTED_VALUE"""),"UUB")</f>
        <v>UUB</v>
      </c>
      <c r="C84" s="20">
        <f>IFERROR(__xludf.DUMMYFUNCTION("""COMPUTED_VALUE"""),9.7)</f>
        <v>9.7</v>
      </c>
      <c r="D84" s="21">
        <f>IFERROR(__xludf.DUMMYFUNCTION("""COMPUTED_VALUE"""),0.004917729377767031)</f>
        <v>0.004917729378</v>
      </c>
      <c r="E84" s="21">
        <f>IFERROR(__xludf.DUMMYFUNCTION("""COMPUTED_VALUE"""),0.11148667014531753)</f>
        <v>0.1114866701</v>
      </c>
      <c r="F84" s="21">
        <f>IFERROR(__xludf.DUMMYFUNCTION("""COMPUTED_VALUE"""),0.11640439952308457)</f>
        <v>0.1164043995</v>
      </c>
      <c r="G84" s="23">
        <f>IFERROR(__xludf.DUMMYFUNCTION("""COMPUTED_VALUE"""),0.006234357060007239)</f>
        <v>0.00623435706</v>
      </c>
      <c r="H84" s="4"/>
      <c r="I84" s="5" t="s">
        <v>1966</v>
      </c>
      <c r="J84" s="5" t="s">
        <v>1878</v>
      </c>
      <c r="K84" s="5">
        <v>99.0</v>
      </c>
      <c r="L84" s="5">
        <v>-0.215232</v>
      </c>
      <c r="M84" s="5">
        <v>0.417362</v>
      </c>
      <c r="N84" s="5">
        <v>0.202131</v>
      </c>
      <c r="O84" s="5">
        <v>0.065952</v>
      </c>
    </row>
    <row r="85">
      <c r="A85" s="12" t="str">
        <f>IFERROR(__xludf.DUMMYFUNCTION("""COMPUTED_VALUE"""),"Suleyman Yavas")</f>
        <v>Suleyman Yavas</v>
      </c>
      <c r="B85" s="13" t="str">
        <f>IFERROR(__xludf.DUMMYFUNCTION("""COMPUTED_VALUE"""),"UUB")</f>
        <v>UUB</v>
      </c>
      <c r="C85" s="14">
        <f>IFERROR(__xludf.DUMMYFUNCTION("""COMPUTED_VALUE"""),19.6)</f>
        <v>19.6</v>
      </c>
      <c r="D85" s="15">
        <f>IFERROR(__xludf.DUMMYFUNCTION("""COMPUTED_VALUE"""),0.11278259190469607)</f>
        <v>0.1127825919</v>
      </c>
      <c r="E85" s="15">
        <f>IFERROR(__xludf.DUMMYFUNCTION("""COMPUTED_VALUE"""),0.0012900202560008484)</f>
        <v>0.001290020256</v>
      </c>
      <c r="F85" s="15">
        <f>IFERROR(__xludf.DUMMYFUNCTION("""COMPUTED_VALUE"""),0.11407261216069692)</f>
        <v>0.1140726122</v>
      </c>
      <c r="G85" s="17">
        <f>IFERROR(__xludf.DUMMYFUNCTION("""COMPUTED_VALUE"""),0.012583378304993141)</f>
        <v>0.0125833783</v>
      </c>
      <c r="H85" s="4"/>
      <c r="I85" s="5" t="s">
        <v>1967</v>
      </c>
      <c r="J85" s="5" t="s">
        <v>1884</v>
      </c>
      <c r="K85" s="5">
        <v>99.0</v>
      </c>
      <c r="L85" s="5">
        <v>0.327938</v>
      </c>
      <c r="M85" s="5">
        <v>-0.166742</v>
      </c>
      <c r="N85" s="5">
        <v>0.161196</v>
      </c>
      <c r="O85" s="5">
        <v>0.064656</v>
      </c>
    </row>
    <row r="86">
      <c r="A86" s="18" t="str">
        <f>IFERROR(__xludf.DUMMYFUNCTION("""COMPUTED_VALUE"""),"Kenny Boynton")</f>
        <v>Kenny Boynton</v>
      </c>
      <c r="B86" s="19" t="str">
        <f>IFERROR(__xludf.DUMMYFUNCTION("""COMPUTED_VALUE"""),"YES")</f>
        <v>YES</v>
      </c>
      <c r="C86" s="20">
        <f>IFERROR(__xludf.DUMMYFUNCTION("""COMPUTED_VALUE"""),1117.4)</f>
        <v>1117.4</v>
      </c>
      <c r="D86" s="21">
        <f>IFERROR(__xludf.DUMMYFUNCTION("""COMPUTED_VALUE"""),3.3912480295715515)</f>
        <v>3.39124803</v>
      </c>
      <c r="E86" s="21">
        <f>IFERROR(__xludf.DUMMYFUNCTION("""COMPUTED_VALUE"""),-3.311193761241523)</f>
        <v>-3.311193761</v>
      </c>
      <c r="F86" s="21">
        <f>IFERROR(__xludf.DUMMYFUNCTION("""COMPUTED_VALUE"""),0.08005426833002849)</f>
        <v>0.08005426833</v>
      </c>
      <c r="G86" s="23">
        <f>IFERROR(__xludf.DUMMYFUNCTION("""COMPUTED_VALUE"""),0.7141842467072353)</f>
        <v>0.7141842467</v>
      </c>
      <c r="H86" s="4"/>
      <c r="I86" s="5" t="s">
        <v>1968</v>
      </c>
      <c r="J86" s="5" t="s">
        <v>1900</v>
      </c>
      <c r="K86" s="24">
        <v>84.0</v>
      </c>
      <c r="L86" s="5">
        <v>-0.463909</v>
      </c>
      <c r="M86" s="5">
        <v>0.61861</v>
      </c>
      <c r="N86" s="5">
        <v>0.1547</v>
      </c>
      <c r="O86" s="5">
        <v>0.059056</v>
      </c>
    </row>
    <row r="87">
      <c r="A87" s="12" t="str">
        <f>IFERROR(__xludf.DUMMYFUNCTION("""COMPUTED_VALUE"""),"Muratcan Guler")</f>
        <v>Muratcan Guler</v>
      </c>
      <c r="B87" s="13" t="str">
        <f>IFERROR(__xludf.DUMMYFUNCTION("""COMPUTED_VALUE"""),"BES")</f>
        <v>BES</v>
      </c>
      <c r="C87" s="14">
        <f>IFERROR(__xludf.DUMMYFUNCTION("""COMPUTED_VALUE"""),86.1)</f>
        <v>86.1</v>
      </c>
      <c r="D87" s="15">
        <f>IFERROR(__xludf.DUMMYFUNCTION("""COMPUTED_VALUE"""),-1.1211064025840816)</f>
        <v>-1.121106403</v>
      </c>
      <c r="E87" s="15">
        <f>IFERROR(__xludf.DUMMYFUNCTION("""COMPUTED_VALUE"""),1.1942208399296355)</f>
        <v>1.19422084</v>
      </c>
      <c r="F87" s="15">
        <f>IFERROR(__xludf.DUMMYFUNCTION("""COMPUTED_VALUE"""),0.07311443734555398)</f>
        <v>0.07311443735</v>
      </c>
      <c r="G87" s="17">
        <f>IFERROR(__xludf.DUMMYFUNCTION("""COMPUTED_VALUE"""),0.058953117145816226)</f>
        <v>0.05895311715</v>
      </c>
      <c r="H87" s="4"/>
      <c r="I87" s="5" t="s">
        <v>1969</v>
      </c>
      <c r="J87" s="5" t="s">
        <v>1953</v>
      </c>
      <c r="K87" s="5">
        <v>10.0</v>
      </c>
      <c r="L87" s="5">
        <v>0.004513</v>
      </c>
      <c r="M87" s="5">
        <v>0.111919</v>
      </c>
      <c r="N87" s="5">
        <v>0.116431</v>
      </c>
      <c r="O87" s="5">
        <v>0.006234</v>
      </c>
    </row>
    <row r="88">
      <c r="A88" s="18" t="str">
        <f>IFERROR(__xludf.DUMMYFUNCTION("""COMPUTED_VALUE"""),"Mehmet Alemdaroglu")</f>
        <v>Mehmet Alemdaroglu</v>
      </c>
      <c r="B88" s="19" t="str">
        <f>IFERROR(__xludf.DUMMYFUNCTION("""COMPUTED_VALUE"""),"ESK")</f>
        <v>ESK</v>
      </c>
      <c r="C88" s="20">
        <f>IFERROR(__xludf.DUMMYFUNCTION("""COMPUTED_VALUE"""),5.2)</f>
        <v>5.2</v>
      </c>
      <c r="D88" s="21">
        <f>IFERROR(__xludf.DUMMYFUNCTION("""COMPUTED_VALUE"""),0.2239822880545754)</f>
        <v>0.2239822881</v>
      </c>
      <c r="E88" s="21">
        <f>IFERROR(__xludf.DUMMYFUNCTION("""COMPUTED_VALUE"""),-0.1603215088787882)</f>
        <v>-0.1603215089</v>
      </c>
      <c r="F88" s="21">
        <f>IFERROR(__xludf.DUMMYFUNCTION("""COMPUTED_VALUE"""),0.06366077917578719)</f>
        <v>0.06366077918</v>
      </c>
      <c r="G88" s="23">
        <f>IFERROR(__xludf.DUMMYFUNCTION("""COMPUTED_VALUE"""),0.0033104294842230637)</f>
        <v>0.003310429484</v>
      </c>
      <c r="H88" s="4"/>
      <c r="I88" s="5" t="s">
        <v>1970</v>
      </c>
      <c r="J88" s="5" t="s">
        <v>1953</v>
      </c>
      <c r="K88" s="5">
        <v>20.0</v>
      </c>
      <c r="L88" s="5">
        <v>0.111805</v>
      </c>
      <c r="M88" s="5">
        <v>0.002191</v>
      </c>
      <c r="N88" s="5">
        <v>0.113996</v>
      </c>
      <c r="O88" s="5">
        <v>0.012583</v>
      </c>
    </row>
    <row r="89">
      <c r="A89" s="12" t="str">
        <f>IFERROR(__xludf.DUMMYFUNCTION("""COMPUTED_VALUE"""),"Serhat Tuzinoglu")</f>
        <v>Serhat Tuzinoglu</v>
      </c>
      <c r="B89" s="13" t="str">
        <f>IFERROR(__xludf.DUMMYFUNCTION("""COMPUTED_VALUE"""),"GAL")</f>
        <v>GAL</v>
      </c>
      <c r="C89" s="14">
        <f>IFERROR(__xludf.DUMMYFUNCTION("""COMPUTED_VALUE"""),1.9)</f>
        <v>1.9</v>
      </c>
      <c r="D89" s="15">
        <f>IFERROR(__xludf.DUMMYFUNCTION("""COMPUTED_VALUE"""),0.08004844003774342)</f>
        <v>0.08004844004</v>
      </c>
      <c r="E89" s="15">
        <f>IFERROR(__xludf.DUMMYFUNCTION("""COMPUTED_VALUE"""),-0.04203119780973155)</f>
        <v>-0.04203119781</v>
      </c>
      <c r="F89" s="15">
        <f>IFERROR(__xludf.DUMMYFUNCTION("""COMPUTED_VALUE"""),0.038017242228011866)</f>
        <v>0.03801724223</v>
      </c>
      <c r="G89" s="17">
        <f>IFERROR(__xludf.DUMMYFUNCTION("""COMPUTED_VALUE"""),0.001189190308016138)</f>
        <v>0.001189190308</v>
      </c>
      <c r="H89" s="4"/>
      <c r="I89" s="5" t="s">
        <v>1971</v>
      </c>
      <c r="J89" s="5" t="s">
        <v>1946</v>
      </c>
      <c r="K89" s="24">
        <v>1117.0</v>
      </c>
      <c r="L89" s="5">
        <v>3.382779</v>
      </c>
      <c r="M89" s="5">
        <v>-3.286678</v>
      </c>
      <c r="N89" s="5">
        <v>0.096101</v>
      </c>
      <c r="O89" s="5">
        <v>0.719694</v>
      </c>
    </row>
    <row r="90">
      <c r="A90" s="18" t="str">
        <f>IFERROR(__xludf.DUMMYFUNCTION("""COMPUTED_VALUE"""),"T.J. Cline")</f>
        <v>T.J. Cline</v>
      </c>
      <c r="B90" s="19" t="str">
        <f>IFERROR(__xludf.DUMMYFUNCTION("""COMPUTED_VALUE"""),"GAL")</f>
        <v>GAL</v>
      </c>
      <c r="C90" s="20">
        <f>IFERROR(__xludf.DUMMYFUNCTION("""COMPUTED_VALUE"""),0.9)</f>
        <v>0.9</v>
      </c>
      <c r="D90" s="21">
        <f>IFERROR(__xludf.DUMMYFUNCTION("""COMPUTED_VALUE"""),0.06293534852667801)</f>
        <v>0.06293534853</v>
      </c>
      <c r="E90" s="21">
        <f>IFERROR(__xludf.DUMMYFUNCTION("""COMPUTED_VALUE"""),-0.03415728371541374)</f>
        <v>-0.03415728372</v>
      </c>
      <c r="F90" s="21">
        <f>IFERROR(__xludf.DUMMYFUNCTION("""COMPUTED_VALUE"""),0.028778064811264274)</f>
        <v>0.02877806481</v>
      </c>
      <c r="G90" s="23">
        <f>IFERROR(__xludf.DUMMYFUNCTION("""COMPUTED_VALUE"""),5.607469966447946E-4)</f>
        <v>0.0005607469966</v>
      </c>
      <c r="H90" s="4"/>
      <c r="I90" s="5" t="s">
        <v>1972</v>
      </c>
      <c r="J90" s="5" t="s">
        <v>1894</v>
      </c>
      <c r="K90" s="5">
        <v>5.0</v>
      </c>
      <c r="L90" s="5">
        <v>0.224267</v>
      </c>
      <c r="M90" s="5">
        <v>-0.15735</v>
      </c>
      <c r="N90" s="5">
        <v>0.066917</v>
      </c>
      <c r="O90" s="5">
        <v>0.003226</v>
      </c>
    </row>
    <row r="91">
      <c r="A91" s="12" t="str">
        <f>IFERROR(__xludf.DUMMYFUNCTION("""COMPUTED_VALUE"""),"Jeff Ayres")</f>
        <v>Jeff Ayres</v>
      </c>
      <c r="B91" s="13" t="str">
        <f>IFERROR(__xludf.DUMMYFUNCTION("""COMPUTED_VALUE"""),"ESK")</f>
        <v>ESK</v>
      </c>
      <c r="C91" s="14">
        <f>IFERROR(__xludf.DUMMYFUNCTION("""COMPUTED_VALUE"""),759.2)</f>
        <v>759.2</v>
      </c>
      <c r="D91" s="15">
        <f>IFERROR(__xludf.DUMMYFUNCTION("""COMPUTED_VALUE"""),-1.5243810230535408)</f>
        <v>-1.524381023</v>
      </c>
      <c r="E91" s="15">
        <f>IFERROR(__xludf.DUMMYFUNCTION("""COMPUTED_VALUE"""),1.5197255032963533)</f>
        <v>1.519725503</v>
      </c>
      <c r="F91" s="15">
        <f>IFERROR(__xludf.DUMMYFUNCTION("""COMPUTED_VALUE"""),-0.004655519757187476)</f>
        <v>-0.004655519757</v>
      </c>
      <c r="G91" s="17">
        <f>IFERROR(__xludf.DUMMYFUNCTION("""COMPUTED_VALUE"""),0.46732258553534933)</f>
        <v>0.4673225855</v>
      </c>
      <c r="H91" s="4"/>
      <c r="I91" s="5" t="s">
        <v>1973</v>
      </c>
      <c r="J91" s="5" t="s">
        <v>1592</v>
      </c>
      <c r="K91" s="5">
        <v>2.0</v>
      </c>
      <c r="L91" s="5">
        <v>0.079959</v>
      </c>
      <c r="M91" s="5">
        <v>-0.041945</v>
      </c>
      <c r="N91" s="5">
        <v>0.038014</v>
      </c>
      <c r="O91" s="5">
        <v>0.001189</v>
      </c>
    </row>
    <row r="92">
      <c r="A92" s="18" t="str">
        <f>IFERROR(__xludf.DUMMYFUNCTION("""COMPUTED_VALUE"""),"Efe Tirpanci")</f>
        <v>Efe Tirpanci</v>
      </c>
      <c r="B92" s="19" t="str">
        <f>IFERROR(__xludf.DUMMYFUNCTION("""COMPUTED_VALUE"""),"FEN")</f>
        <v>FEN</v>
      </c>
      <c r="C92" s="20">
        <f>IFERROR(__xludf.DUMMYFUNCTION("""COMPUTED_VALUE"""),1.1)</f>
        <v>1.1</v>
      </c>
      <c r="D92" s="21">
        <f>IFERROR(__xludf.DUMMYFUNCTION("""COMPUTED_VALUE"""),-0.01360440084903533)</f>
        <v>-0.01360440085</v>
      </c>
      <c r="E92" s="21">
        <f>IFERROR(__xludf.DUMMYFUNCTION("""COMPUTED_VALUE"""),0.00827971848364442)</f>
        <v>0.008279718484</v>
      </c>
      <c r="F92" s="21">
        <f>IFERROR(__xludf.DUMMYFUNCTION("""COMPUTED_VALUE"""),-0.005324682365390911)</f>
        <v>-0.005324682365</v>
      </c>
      <c r="G92" s="23">
        <f>IFERROR(__xludf.DUMMYFUNCTION("""COMPUTED_VALUE"""),6.678773868511814E-4)</f>
        <v>0.0006678773869</v>
      </c>
      <c r="H92" s="4"/>
      <c r="I92" s="5" t="s">
        <v>1791</v>
      </c>
      <c r="J92" s="5" t="s">
        <v>1592</v>
      </c>
      <c r="K92" s="5">
        <v>1.0</v>
      </c>
      <c r="L92" s="5">
        <v>0.062901</v>
      </c>
      <c r="M92" s="5">
        <v>-0.034118</v>
      </c>
      <c r="N92" s="5">
        <v>0.028783</v>
      </c>
      <c r="O92" s="5">
        <v>5.61E-4</v>
      </c>
    </row>
    <row r="93">
      <c r="A93" s="12" t="str">
        <f>IFERROR(__xludf.DUMMYFUNCTION("""COMPUTED_VALUE"""),"Mert Konuk")</f>
        <v>Mert Konuk</v>
      </c>
      <c r="B93" s="13" t="str">
        <f>IFERROR(__xludf.DUMMYFUNCTION("""COMPUTED_VALUE"""),"TOF")</f>
        <v>TOF</v>
      </c>
      <c r="C93" s="14">
        <f>IFERROR(__xludf.DUMMYFUNCTION("""COMPUTED_VALUE"""),25.3)</f>
        <v>25.3</v>
      </c>
      <c r="D93" s="15">
        <f>IFERROR(__xludf.DUMMYFUNCTION("""COMPUTED_VALUE"""),-0.23412376222306538)</f>
        <v>-0.2341237622</v>
      </c>
      <c r="E93" s="15">
        <f>IFERROR(__xludf.DUMMYFUNCTION("""COMPUTED_VALUE"""),0.22578337562249484)</f>
        <v>0.2257833756</v>
      </c>
      <c r="F93" s="15">
        <f>IFERROR(__xludf.DUMMYFUNCTION("""COMPUTED_VALUE"""),-0.008340386600570536)</f>
        <v>-0.008340386601</v>
      </c>
      <c r="G93" s="17">
        <f>IFERROR(__xludf.DUMMYFUNCTION("""COMPUTED_VALUE"""),0.015253497457650608)</f>
        <v>0.01525349746</v>
      </c>
      <c r="H93" s="4"/>
      <c r="I93" s="5" t="s">
        <v>1974</v>
      </c>
      <c r="J93" s="5" t="s">
        <v>36</v>
      </c>
      <c r="K93" s="5">
        <v>1.0</v>
      </c>
      <c r="L93" s="5">
        <v>-0.013094</v>
      </c>
      <c r="M93" s="5">
        <v>0.008327</v>
      </c>
      <c r="N93" s="5">
        <v>-0.004767</v>
      </c>
      <c r="O93" s="5">
        <v>6.71E-4</v>
      </c>
    </row>
    <row r="94">
      <c r="A94" s="18" t="str">
        <f>IFERROR(__xludf.DUMMYFUNCTION("""COMPUTED_VALUE"""),"D.J. White")</f>
        <v>D.J. White</v>
      </c>
      <c r="B94" s="19" t="str">
        <f>IFERROR(__xludf.DUMMYFUNCTION("""COMPUTED_VALUE"""),"GAZ")</f>
        <v>GAZ</v>
      </c>
      <c r="C94" s="20">
        <f>IFERROR(__xludf.DUMMYFUNCTION("""COMPUTED_VALUE"""),262.9)</f>
        <v>262.9</v>
      </c>
      <c r="D94" s="21">
        <f>IFERROR(__xludf.DUMMYFUNCTION("""COMPUTED_VALUE"""),0.28402569023256785)</f>
        <v>0.2840256902</v>
      </c>
      <c r="E94" s="21">
        <f>IFERROR(__xludf.DUMMYFUNCTION("""COMPUTED_VALUE"""),-0.2999617607075326)</f>
        <v>-0.2999617607</v>
      </c>
      <c r="F94" s="21">
        <f>IFERROR(__xludf.DUMMYFUNCTION("""COMPUTED_VALUE"""),-0.01593607047496476)</f>
        <v>-0.01593607047</v>
      </c>
      <c r="G94" s="23">
        <f>IFERROR(__xludf.DUMMYFUNCTION("""COMPUTED_VALUE"""),0.15674818329959914)</f>
        <v>0.1567481833</v>
      </c>
      <c r="H94" s="4"/>
      <c r="I94" s="5" t="s">
        <v>1975</v>
      </c>
      <c r="J94" s="5" t="s">
        <v>1912</v>
      </c>
      <c r="K94" s="5">
        <v>263.0</v>
      </c>
      <c r="L94" s="5">
        <v>0.272103</v>
      </c>
      <c r="M94" s="5">
        <v>-0.288102</v>
      </c>
      <c r="N94" s="5">
        <v>-0.016</v>
      </c>
      <c r="O94" s="5">
        <v>0.156743</v>
      </c>
    </row>
    <row r="95">
      <c r="A95" s="12" t="str">
        <f>IFERROR(__xludf.DUMMYFUNCTION("""COMPUTED_VALUE"""),"C.J. Watson")</f>
        <v>C.J. Watson</v>
      </c>
      <c r="B95" s="13" t="str">
        <f>IFERROR(__xludf.DUMMYFUNCTION("""COMPUTED_VALUE"""),"UUB")</f>
        <v>UUB</v>
      </c>
      <c r="C95" s="14">
        <f>IFERROR(__xludf.DUMMYFUNCTION("""COMPUTED_VALUE"""),204.0)</f>
        <v>204</v>
      </c>
      <c r="D95" s="15">
        <f>IFERROR(__xludf.DUMMYFUNCTION("""COMPUTED_VALUE"""),0.035520707641610326)</f>
        <v>0.03552070764</v>
      </c>
      <c r="E95" s="15">
        <f>IFERROR(__xludf.DUMMYFUNCTION("""COMPUTED_VALUE"""),-0.053929937486967575)</f>
        <v>-0.05392993749</v>
      </c>
      <c r="F95" s="15">
        <f>IFERROR(__xludf.DUMMYFUNCTION("""COMPUTED_VALUE"""),-0.01840922984535725)</f>
        <v>-0.01840922985</v>
      </c>
      <c r="G95" s="17">
        <f>IFERROR(__xludf.DUMMYFUNCTION("""COMPUTED_VALUE"""),0.12276241411167307)</f>
        <v>0.1227624141</v>
      </c>
      <c r="H95" s="4"/>
      <c r="I95" s="5" t="s">
        <v>1976</v>
      </c>
      <c r="J95" s="5" t="s">
        <v>1953</v>
      </c>
      <c r="K95" s="5">
        <v>204.0</v>
      </c>
      <c r="L95" s="5">
        <v>0.025891</v>
      </c>
      <c r="M95" s="5">
        <v>-0.04465</v>
      </c>
      <c r="N95" s="5">
        <v>-0.018759</v>
      </c>
      <c r="O95" s="5">
        <v>0.122741</v>
      </c>
    </row>
    <row r="96">
      <c r="A96" s="18" t="str">
        <f>IFERROR(__xludf.DUMMYFUNCTION("""COMPUTED_VALUE"""),"Emre Tanisan")</f>
        <v>Emre Tanisan</v>
      </c>
      <c r="B96" s="19" t="str">
        <f>IFERROR(__xludf.DUMMYFUNCTION("""COMPUTED_VALUE"""),"TOF")</f>
        <v>TOF</v>
      </c>
      <c r="C96" s="20">
        <f>IFERROR(__xludf.DUMMYFUNCTION("""COMPUTED_VALUE"""),1.6)</f>
        <v>1.6</v>
      </c>
      <c r="D96" s="21">
        <f>IFERROR(__xludf.DUMMYFUNCTION("""COMPUTED_VALUE"""),-0.01615714744788258)</f>
        <v>-0.01615714745</v>
      </c>
      <c r="E96" s="21">
        <f>IFERROR(__xludf.DUMMYFUNCTION("""COMPUTED_VALUE"""),-0.041689896819482944)</f>
        <v>-0.04168989682</v>
      </c>
      <c r="F96" s="21">
        <f>IFERROR(__xludf.DUMMYFUNCTION("""COMPUTED_VALUE"""),-0.05784704426736552)</f>
        <v>-0.05784704427</v>
      </c>
      <c r="G96" s="23">
        <f>IFERROR(__xludf.DUMMYFUNCTION("""COMPUTED_VALUE"""),9.406698159964285E-4)</f>
        <v>0.000940669816</v>
      </c>
      <c r="H96" s="4"/>
      <c r="I96" s="5" t="s">
        <v>1977</v>
      </c>
      <c r="J96" s="5" t="s">
        <v>1878</v>
      </c>
      <c r="K96" s="24">
        <v>2.0</v>
      </c>
      <c r="L96" s="5">
        <v>-0.016873</v>
      </c>
      <c r="M96" s="5">
        <v>-0.04047</v>
      </c>
      <c r="N96" s="5">
        <v>-0.057343</v>
      </c>
      <c r="O96" s="5">
        <v>9.43E-4</v>
      </c>
    </row>
    <row r="97">
      <c r="A97" s="12" t="str">
        <f>IFERROR(__xludf.DUMMYFUNCTION("""COMPUTED_VALUE"""),"Batuhan Emre Kaplan")</f>
        <v>Batuhan Emre Kaplan</v>
      </c>
      <c r="B97" s="13" t="str">
        <f>IFERROR(__xludf.DUMMYFUNCTION("""COMPUTED_VALUE"""),"TRA")</f>
        <v>TRA</v>
      </c>
      <c r="C97" s="14">
        <f>IFERROR(__xludf.DUMMYFUNCTION("""COMPUTED_VALUE"""),11.2)</f>
        <v>11.2</v>
      </c>
      <c r="D97" s="15">
        <f>IFERROR(__xludf.DUMMYFUNCTION("""COMPUTED_VALUE"""),-0.2840228198316609)</f>
        <v>-0.2840228198</v>
      </c>
      <c r="E97" s="15">
        <f>IFERROR(__xludf.DUMMYFUNCTION("""COMPUTED_VALUE"""),0.17210698126760376)</f>
        <v>0.1721069813</v>
      </c>
      <c r="F97" s="15">
        <f>IFERROR(__xludf.DUMMYFUNCTION("""COMPUTED_VALUE"""),-0.11191583856405714)</f>
        <v>-0.1119158386</v>
      </c>
      <c r="G97" s="17">
        <f>IFERROR(__xludf.DUMMYFUNCTION("""COMPUTED_VALUE"""),0.0064065418835432195)</f>
        <v>0.006406541884</v>
      </c>
      <c r="H97" s="4"/>
      <c r="I97" s="5" t="s">
        <v>1978</v>
      </c>
      <c r="J97" s="5" t="s">
        <v>1894</v>
      </c>
      <c r="K97" s="5">
        <v>726.0</v>
      </c>
      <c r="L97" s="5">
        <v>-1.693253</v>
      </c>
      <c r="M97" s="5">
        <v>1.586381</v>
      </c>
      <c r="N97" s="5">
        <v>-0.106872</v>
      </c>
      <c r="O97" s="5">
        <v>0.412293</v>
      </c>
    </row>
    <row r="98">
      <c r="A98" s="18" t="str">
        <f>IFERROR(__xludf.DUMMYFUNCTION("""COMPUTED_VALUE"""),"Berkihan Yigit Buke")</f>
        <v>Berkihan Yigit Buke</v>
      </c>
      <c r="B98" s="19" t="str">
        <f>IFERROR(__xludf.DUMMYFUNCTION("""COMPUTED_VALUE"""),"TRA")</f>
        <v>TRA</v>
      </c>
      <c r="C98" s="20">
        <f>IFERROR(__xludf.DUMMYFUNCTION("""COMPUTED_VALUE"""),1.6)</f>
        <v>1.6</v>
      </c>
      <c r="D98" s="21">
        <f>IFERROR(__xludf.DUMMYFUNCTION("""COMPUTED_VALUE"""),-0.044009239710612554)</f>
        <v>-0.04400923971</v>
      </c>
      <c r="E98" s="21">
        <f>IFERROR(__xludf.DUMMYFUNCTION("""COMPUTED_VALUE"""),-0.10156021657939426)</f>
        <v>-0.1015602166</v>
      </c>
      <c r="F98" s="21">
        <f>IFERROR(__xludf.DUMMYFUNCTION("""COMPUTED_VALUE"""),-0.1455694562900068)</f>
        <v>-0.1455694563</v>
      </c>
      <c r="G98" s="23">
        <f>IFERROR(__xludf.DUMMYFUNCTION("""COMPUTED_VALUE"""),8.989071863773305E-4)</f>
        <v>0.0008989071864</v>
      </c>
      <c r="H98" s="4"/>
      <c r="I98" s="5" t="s">
        <v>1979</v>
      </c>
      <c r="J98" s="5" t="s">
        <v>1923</v>
      </c>
      <c r="K98" s="24">
        <v>11.0</v>
      </c>
      <c r="L98" s="5">
        <v>-0.284467</v>
      </c>
      <c r="M98" s="5">
        <v>0.172601</v>
      </c>
      <c r="N98" s="5">
        <v>-0.111865</v>
      </c>
      <c r="O98" s="5">
        <v>0.006407</v>
      </c>
    </row>
    <row r="99">
      <c r="A99" s="12" t="str">
        <f>IFERROR(__xludf.DUMMYFUNCTION("""COMPUTED_VALUE"""),"Metin Turen")</f>
        <v>Metin Turen</v>
      </c>
      <c r="B99" s="13" t="str">
        <f>IFERROR(__xludf.DUMMYFUNCTION("""COMPUTED_VALUE"""),"PIN")</f>
        <v>PIN</v>
      </c>
      <c r="C99" s="14">
        <f>IFERROR(__xludf.DUMMYFUNCTION("""COMPUTED_VALUE"""),615.7)</f>
        <v>615.7</v>
      </c>
      <c r="D99" s="15">
        <f>IFERROR(__xludf.DUMMYFUNCTION("""COMPUTED_VALUE"""),-1.1248385731633652)</f>
        <v>-1.124838573</v>
      </c>
      <c r="E99" s="15">
        <f>IFERROR(__xludf.DUMMYFUNCTION("""COMPUTED_VALUE"""),0.9788916290837533)</f>
        <v>0.9788916291</v>
      </c>
      <c r="F99" s="15">
        <f>IFERROR(__xludf.DUMMYFUNCTION("""COMPUTED_VALUE"""),-0.14594694407961195)</f>
        <v>-0.1459469441</v>
      </c>
      <c r="G99" s="17">
        <f>IFERROR(__xludf.DUMMYFUNCTION("""COMPUTED_VALUE"""),0.34670160721204374)</f>
        <v>0.3467016072</v>
      </c>
      <c r="H99" s="4"/>
      <c r="I99" s="5" t="s">
        <v>1980</v>
      </c>
      <c r="J99" s="5" t="s">
        <v>1878</v>
      </c>
      <c r="K99" s="5">
        <v>20.0</v>
      </c>
      <c r="L99" s="5">
        <v>-0.165066</v>
      </c>
      <c r="M99" s="5">
        <v>0.030959</v>
      </c>
      <c r="N99" s="5">
        <v>-0.134106</v>
      </c>
      <c r="O99" s="5">
        <v>0.01138</v>
      </c>
    </row>
    <row r="100">
      <c r="A100" s="18" t="str">
        <f>IFERROR(__xludf.DUMMYFUNCTION("""COMPUTED_VALUE"""),"Ridvan Oncel")</f>
        <v>Ridvan Oncel</v>
      </c>
      <c r="B100" s="19" t="str">
        <f>IFERROR(__xludf.DUMMYFUNCTION("""COMPUTED_VALUE"""),"BVS")</f>
        <v>BVS</v>
      </c>
      <c r="C100" s="20">
        <f>IFERROR(__xludf.DUMMYFUNCTION("""COMPUTED_VALUE"""),477.7)</f>
        <v>477.7</v>
      </c>
      <c r="D100" s="21">
        <f>IFERROR(__xludf.DUMMYFUNCTION("""COMPUTED_VALUE"""),1.2500827632420275)</f>
        <v>1.250082763</v>
      </c>
      <c r="E100" s="21">
        <f>IFERROR(__xludf.DUMMYFUNCTION("""COMPUTED_VALUE"""),-1.4081541649806533)</f>
        <v>-1.408154165</v>
      </c>
      <c r="F100" s="21">
        <f>IFERROR(__xludf.DUMMYFUNCTION("""COMPUTED_VALUE"""),-0.15807140173862577)</f>
        <v>-0.1580714017</v>
      </c>
      <c r="G100" s="23">
        <f>IFERROR(__xludf.DUMMYFUNCTION("""COMPUTED_VALUE"""),0.2648237874586294)</f>
        <v>0.2648237875</v>
      </c>
      <c r="H100" s="4"/>
      <c r="I100" s="5" t="s">
        <v>1981</v>
      </c>
      <c r="J100" s="5" t="s">
        <v>1923</v>
      </c>
      <c r="K100" s="5">
        <v>2.0</v>
      </c>
      <c r="L100" s="5">
        <v>-0.04407</v>
      </c>
      <c r="M100" s="5">
        <v>-0.10149</v>
      </c>
      <c r="N100" s="5">
        <v>-0.14556</v>
      </c>
      <c r="O100" s="5">
        <v>8.99E-4</v>
      </c>
    </row>
    <row r="101">
      <c r="A101" s="12" t="str">
        <f>IFERROR(__xludf.DUMMYFUNCTION("""COMPUTED_VALUE"""),"Diamon Simpson")</f>
        <v>Diamon Simpson</v>
      </c>
      <c r="B101" s="13" t="str">
        <f>IFERROR(__xludf.DUMMYFUNCTION("""COMPUTED_VALUE"""),"DEM")</f>
        <v>DEM</v>
      </c>
      <c r="C101" s="14">
        <f>IFERROR(__xludf.DUMMYFUNCTION("""COMPUTED_VALUE"""),621.3)</f>
        <v>621.3</v>
      </c>
      <c r="D101" s="15">
        <f>IFERROR(__xludf.DUMMYFUNCTION("""COMPUTED_VALUE"""),-2.3213413871146718)</f>
        <v>-2.321341387</v>
      </c>
      <c r="E101" s="15">
        <f>IFERROR(__xludf.DUMMYFUNCTION("""COMPUTED_VALUE"""),2.085044676751767)</f>
        <v>2.085044677</v>
      </c>
      <c r="F101" s="15">
        <f>IFERROR(__xludf.DUMMYFUNCTION("""COMPUTED_VALUE"""),-0.2362967103629047)</f>
        <v>-0.2362967104</v>
      </c>
      <c r="G101" s="17">
        <f>IFERROR(__xludf.DUMMYFUNCTION("""COMPUTED_VALUE"""),0.33974437386880757)</f>
        <v>0.3397443739</v>
      </c>
      <c r="H101" s="4"/>
      <c r="I101" s="5" t="s">
        <v>1982</v>
      </c>
      <c r="J101" s="5" t="s">
        <v>1915</v>
      </c>
      <c r="K101" s="5">
        <v>616.0</v>
      </c>
      <c r="L101" s="5">
        <v>-1.138207</v>
      </c>
      <c r="M101" s="5">
        <v>0.992398</v>
      </c>
      <c r="N101" s="5">
        <v>-0.145809</v>
      </c>
      <c r="O101" s="5">
        <v>0.346727</v>
      </c>
    </row>
    <row r="102">
      <c r="A102" s="18" t="str">
        <f>IFERROR(__xludf.DUMMYFUNCTION("""COMPUTED_VALUE"""),"Ozcan Surucu")</f>
        <v>Ozcan Surucu</v>
      </c>
      <c r="B102" s="19" t="str">
        <f>IFERROR(__xludf.DUMMYFUNCTION("""COMPUTED_VALUE"""),"UUB")</f>
        <v>UUB</v>
      </c>
      <c r="C102" s="20">
        <f>IFERROR(__xludf.DUMMYFUNCTION("""COMPUTED_VALUE"""),47.8)</f>
        <v>47.8</v>
      </c>
      <c r="D102" s="21">
        <f>IFERROR(__xludf.DUMMYFUNCTION("""COMPUTED_VALUE"""),-0.1911631454671817)</f>
        <v>-0.1911631455</v>
      </c>
      <c r="E102" s="21">
        <f>IFERROR(__xludf.DUMMYFUNCTION("""COMPUTED_VALUE"""),-0.058908867882127874)</f>
        <v>-0.05890886788</v>
      </c>
      <c r="F102" s="21">
        <f>IFERROR(__xludf.DUMMYFUNCTION("""COMPUTED_VALUE"""),-0.25007201334930956)</f>
        <v>-0.2500720133</v>
      </c>
      <c r="G102" s="23">
        <f>IFERROR(__xludf.DUMMYFUNCTION("""COMPUTED_VALUE"""),0.0254020844521416)</f>
        <v>0.02540208445</v>
      </c>
      <c r="H102" s="4"/>
      <c r="I102" s="5" t="s">
        <v>1983</v>
      </c>
      <c r="J102" s="5" t="s">
        <v>1942</v>
      </c>
      <c r="K102" s="5">
        <v>621.0</v>
      </c>
      <c r="L102" s="5">
        <v>-2.335296</v>
      </c>
      <c r="M102" s="5">
        <v>2.098655</v>
      </c>
      <c r="N102" s="5">
        <v>-0.236641</v>
      </c>
      <c r="O102" s="5">
        <v>0.339678</v>
      </c>
    </row>
    <row r="103">
      <c r="A103" s="12" t="str">
        <f>IFERROR(__xludf.DUMMYFUNCTION("""COMPUTED_VALUE"""),"Muhammed Altinkalem")</f>
        <v>Muhammed Altinkalem</v>
      </c>
      <c r="B103" s="13" t="str">
        <f>IFERROR(__xludf.DUMMYFUNCTION("""COMPUTED_VALUE"""),"DEM")</f>
        <v>DEM</v>
      </c>
      <c r="C103" s="14">
        <f>IFERROR(__xludf.DUMMYFUNCTION("""COMPUTED_VALUE"""),6.8)</f>
        <v>6.8</v>
      </c>
      <c r="D103" s="15">
        <f>IFERROR(__xludf.DUMMYFUNCTION("""COMPUTED_VALUE"""),-0.2991259858006452)</f>
        <v>-0.2991259858</v>
      </c>
      <c r="E103" s="15">
        <f>IFERROR(__xludf.DUMMYFUNCTION("""COMPUTED_VALUE"""),-0.054923190401082234)</f>
        <v>-0.0549231904</v>
      </c>
      <c r="F103" s="15">
        <f>IFERROR(__xludf.DUMMYFUNCTION("""COMPUTED_VALUE"""),-0.35404917620172743)</f>
        <v>-0.3540491762</v>
      </c>
      <c r="G103" s="17">
        <f>IFERROR(__xludf.DUMMYFUNCTION("""COMPUTED_VALUE"""),0.003470173295316739)</f>
        <v>0.003470173295</v>
      </c>
      <c r="H103" s="4"/>
      <c r="I103" s="5" t="s">
        <v>1984</v>
      </c>
      <c r="J103" s="5" t="s">
        <v>1953</v>
      </c>
      <c r="K103" s="5">
        <v>48.0</v>
      </c>
      <c r="L103" s="5">
        <v>-0.193204</v>
      </c>
      <c r="M103" s="5">
        <v>-0.056773</v>
      </c>
      <c r="N103" s="5">
        <v>-0.249977</v>
      </c>
      <c r="O103" s="5">
        <v>0.025403</v>
      </c>
    </row>
    <row r="104">
      <c r="A104" s="18" t="str">
        <f>IFERROR(__xludf.DUMMYFUNCTION("""COMPUTED_VALUE"""),"Tevfik Gokseven")</f>
        <v>Tevfik Gokseven</v>
      </c>
      <c r="B104" s="19" t="str">
        <f>IFERROR(__xludf.DUMMYFUNCTION("""COMPUTED_VALUE"""),"DEM")</f>
        <v>DEM</v>
      </c>
      <c r="C104" s="20">
        <f>IFERROR(__xludf.DUMMYFUNCTION("""COMPUTED_VALUE"""),4.3)</f>
        <v>4.3</v>
      </c>
      <c r="D104" s="21">
        <f>IFERROR(__xludf.DUMMYFUNCTION("""COMPUTED_VALUE"""),-0.3300973060425552)</f>
        <v>-0.330097306</v>
      </c>
      <c r="E104" s="21">
        <f>IFERROR(__xludf.DUMMYFUNCTION("""COMPUTED_VALUE"""),-0.05516902176237304)</f>
        <v>-0.05516902176</v>
      </c>
      <c r="F104" s="21">
        <f>IFERROR(__xludf.DUMMYFUNCTION("""COMPUTED_VALUE"""),-0.38526632780492825)</f>
        <v>-0.3852663278</v>
      </c>
      <c r="G104" s="23">
        <f>IFERROR(__xludf.DUMMYFUNCTION("""COMPUTED_VALUE"""),0.0021527557225420038)</f>
        <v>0.002152755723</v>
      </c>
      <c r="H104" s="4"/>
      <c r="I104" s="5" t="s">
        <v>1985</v>
      </c>
      <c r="J104" s="5" t="s">
        <v>1874</v>
      </c>
      <c r="K104" s="5">
        <v>5.0</v>
      </c>
      <c r="L104" s="5">
        <v>-0.325019</v>
      </c>
      <c r="M104" s="5">
        <v>-0.012779</v>
      </c>
      <c r="N104" s="5">
        <v>-0.337798</v>
      </c>
      <c r="O104" s="5">
        <v>0.002687</v>
      </c>
    </row>
    <row r="105">
      <c r="A105" s="12" t="str">
        <f>IFERROR(__xludf.DUMMYFUNCTION("""COMPUTED_VALUE"""),"Kamer Muhammed Bayraktar")</f>
        <v>Kamer Muhammed Bayraktar</v>
      </c>
      <c r="B105" s="13" t="str">
        <f>IFERROR(__xludf.DUMMYFUNCTION("""COMPUTED_VALUE"""),"IBB")</f>
        <v>IBB</v>
      </c>
      <c r="C105" s="14">
        <f>IFERROR(__xludf.DUMMYFUNCTION("""COMPUTED_VALUE"""),26.6)</f>
        <v>26.6</v>
      </c>
      <c r="D105" s="15">
        <f>IFERROR(__xludf.DUMMYFUNCTION("""COMPUTED_VALUE"""),-0.1705712011791932)</f>
        <v>-0.1705712012</v>
      </c>
      <c r="E105" s="15">
        <f>IFERROR(__xludf.DUMMYFUNCTION("""COMPUTED_VALUE"""),-0.22052076872019996)</f>
        <v>-0.2205207687</v>
      </c>
      <c r="F105" s="15">
        <f>IFERROR(__xludf.DUMMYFUNCTION("""COMPUTED_VALUE"""),-0.39109196989939315)</f>
        <v>-0.3910919699</v>
      </c>
      <c r="G105" s="17">
        <f>IFERROR(__xludf.DUMMYFUNCTION("""COMPUTED_VALUE"""),0.01313850740864285)</f>
        <v>0.01313850741</v>
      </c>
      <c r="H105" s="4"/>
      <c r="I105" s="5" t="s">
        <v>1986</v>
      </c>
      <c r="J105" s="5" t="s">
        <v>1942</v>
      </c>
      <c r="K105" s="5">
        <v>7.0</v>
      </c>
      <c r="L105" s="5">
        <v>-0.299384</v>
      </c>
      <c r="M105" s="5">
        <v>-0.054625</v>
      </c>
      <c r="N105" s="5">
        <v>-0.354009</v>
      </c>
      <c r="O105" s="5">
        <v>0.00347</v>
      </c>
    </row>
    <row r="106">
      <c r="A106" s="18" t="str">
        <f>IFERROR(__xludf.DUMMYFUNCTION("""COMPUTED_VALUE"""),"Sean Williams")</f>
        <v>Sean Williams</v>
      </c>
      <c r="B106" s="19" t="str">
        <f>IFERROR(__xludf.DUMMYFUNCTION("""COMPUTED_VALUE"""),"GAZ")</f>
        <v>GAZ</v>
      </c>
      <c r="C106" s="20">
        <f>IFERROR(__xludf.DUMMYFUNCTION("""COMPUTED_VALUE"""),46.1)</f>
        <v>46.1</v>
      </c>
      <c r="D106" s="21">
        <f>IFERROR(__xludf.DUMMYFUNCTION("""COMPUTED_VALUE"""),-1.028670575647713)</f>
        <v>-1.028670576</v>
      </c>
      <c r="E106" s="21">
        <f>IFERROR(__xludf.DUMMYFUNCTION("""COMPUTED_VALUE"""),0.6078578874247542)</f>
        <v>0.6078578874</v>
      </c>
      <c r="F106" s="21">
        <f>IFERROR(__xludf.DUMMYFUNCTION("""COMPUTED_VALUE"""),-0.42081268822295875)</f>
        <v>-0.4208126882</v>
      </c>
      <c r="G106" s="23">
        <f>IFERROR(__xludf.DUMMYFUNCTION("""COMPUTED_VALUE"""),0.021877154790627424)</f>
        <v>0.02187715479</v>
      </c>
      <c r="H106" s="4"/>
      <c r="I106" s="5" t="s">
        <v>1987</v>
      </c>
      <c r="J106" s="5" t="s">
        <v>1942</v>
      </c>
      <c r="K106" s="5">
        <v>4.0</v>
      </c>
      <c r="L106" s="5">
        <v>-0.330282</v>
      </c>
      <c r="M106" s="5">
        <v>-0.054977</v>
      </c>
      <c r="N106" s="5">
        <v>-0.385259</v>
      </c>
      <c r="O106" s="5">
        <v>0.002153</v>
      </c>
    </row>
    <row r="107">
      <c r="A107" s="12" t="str">
        <f>IFERROR(__xludf.DUMMYFUNCTION("""COMPUTED_VALUE"""),"Mert Celep")</f>
        <v>Mert Celep</v>
      </c>
      <c r="B107" s="13" t="str">
        <f>IFERROR(__xludf.DUMMYFUNCTION("""COMPUTED_VALUE"""),"PIN")</f>
        <v>PIN</v>
      </c>
      <c r="C107" s="14">
        <f>IFERROR(__xludf.DUMMYFUNCTION("""COMPUTED_VALUE"""),30.6)</f>
        <v>30.6</v>
      </c>
      <c r="D107" s="15">
        <f>IFERROR(__xludf.DUMMYFUNCTION("""COMPUTED_VALUE"""),-0.7803776977291598)</f>
        <v>-0.7803776977</v>
      </c>
      <c r="E107" s="15">
        <f>IFERROR(__xludf.DUMMYFUNCTION("""COMPUTED_VALUE"""),0.34164616165659634)</f>
        <v>0.3416461617</v>
      </c>
      <c r="F107" s="15">
        <f>IFERROR(__xludf.DUMMYFUNCTION("""COMPUTED_VALUE"""),-0.43873153607256343)</f>
        <v>-0.4387315361</v>
      </c>
      <c r="G107" s="17">
        <f>IFERROR(__xludf.DUMMYFUNCTION("""COMPUTED_VALUE"""),0.014509871203935591)</f>
        <v>0.0145098712</v>
      </c>
      <c r="H107" s="4"/>
      <c r="I107" s="5" t="s">
        <v>1988</v>
      </c>
      <c r="J107" s="5" t="s">
        <v>1926</v>
      </c>
      <c r="K107" s="5">
        <v>27.0</v>
      </c>
      <c r="L107" s="5">
        <v>-0.171679</v>
      </c>
      <c r="M107" s="5">
        <v>-0.219337</v>
      </c>
      <c r="N107" s="5">
        <v>-0.391016</v>
      </c>
      <c r="O107" s="5">
        <v>0.013139</v>
      </c>
    </row>
    <row r="108">
      <c r="A108" s="18" t="str">
        <f>IFERROR(__xludf.DUMMYFUNCTION("""COMPUTED_VALUE"""),"Juan Palacios")</f>
        <v>Juan Palacios</v>
      </c>
      <c r="B108" s="19" t="str">
        <f>IFERROR(__xludf.DUMMYFUNCTION("""COMPUTED_VALUE"""),"BES")</f>
        <v>BES</v>
      </c>
      <c r="C108" s="20">
        <f>IFERROR(__xludf.DUMMYFUNCTION("""COMPUTED_VALUE"""),88.0)</f>
        <v>88</v>
      </c>
      <c r="D108" s="21">
        <f>IFERROR(__xludf.DUMMYFUNCTION("""COMPUTED_VALUE"""),-1.1347059646483133)</f>
        <v>-1.134705965</v>
      </c>
      <c r="E108" s="21">
        <f>IFERROR(__xludf.DUMMYFUNCTION("""COMPUTED_VALUE"""),0.642039583606314)</f>
        <v>0.6420395836</v>
      </c>
      <c r="F108" s="21">
        <f>IFERROR(__xludf.DUMMYFUNCTION("""COMPUTED_VALUE"""),-0.4926663810419994)</f>
        <v>-0.492666381</v>
      </c>
      <c r="G108" s="23">
        <f>IFERROR(__xludf.DUMMYFUNCTION("""COMPUTED_VALUE"""),0.043809914290509386)</f>
        <v>0.04380991429</v>
      </c>
      <c r="H108" s="4"/>
      <c r="I108" s="5" t="s">
        <v>1989</v>
      </c>
      <c r="J108" s="5" t="s">
        <v>1874</v>
      </c>
      <c r="K108" s="5">
        <v>608.0</v>
      </c>
      <c r="L108" s="5">
        <v>-1.730379</v>
      </c>
      <c r="M108" s="5">
        <v>1.319112</v>
      </c>
      <c r="N108" s="5">
        <v>-0.411268</v>
      </c>
      <c r="O108" s="5">
        <v>0.294745</v>
      </c>
    </row>
    <row r="109">
      <c r="A109" s="12" t="str">
        <f>IFERROR(__xludf.DUMMYFUNCTION("""COMPUTED_VALUE"""),"Ahmet Tuncer")</f>
        <v>Ahmet Tuncer</v>
      </c>
      <c r="B109" s="13" t="str">
        <f>IFERROR(__xludf.DUMMYFUNCTION("""COMPUTED_VALUE"""),"ESK")</f>
        <v>ESK</v>
      </c>
      <c r="C109" s="14">
        <f>IFERROR(__xludf.DUMMYFUNCTION("""COMPUTED_VALUE"""),692.3)</f>
        <v>692.3</v>
      </c>
      <c r="D109" s="15">
        <f>IFERROR(__xludf.DUMMYFUNCTION("""COMPUTED_VALUE"""),0.300692830823086)</f>
        <v>0.3006928308</v>
      </c>
      <c r="E109" s="15">
        <f>IFERROR(__xludf.DUMMYFUNCTION("""COMPUTED_VALUE"""),-0.7988105272998911)</f>
        <v>-0.7988105273</v>
      </c>
      <c r="F109" s="15">
        <f>IFERROR(__xludf.DUMMYFUNCTION("""COMPUTED_VALUE"""),-0.49811769647680515)</f>
        <v>-0.4981176965</v>
      </c>
      <c r="G109" s="17">
        <f>IFERROR(__xludf.DUMMYFUNCTION("""COMPUTED_VALUE"""),0.3207546190289724)</f>
        <v>0.320754619</v>
      </c>
      <c r="H109" s="4"/>
      <c r="I109" s="5" t="s">
        <v>1990</v>
      </c>
      <c r="J109" s="5" t="s">
        <v>1912</v>
      </c>
      <c r="K109" s="5">
        <v>46.0</v>
      </c>
      <c r="L109" s="5">
        <v>-1.030591</v>
      </c>
      <c r="M109" s="5">
        <v>0.609907</v>
      </c>
      <c r="N109" s="5">
        <v>-0.420684</v>
      </c>
      <c r="O109" s="5">
        <v>0.021879</v>
      </c>
    </row>
    <row r="110">
      <c r="A110" s="18" t="str">
        <f>IFERROR(__xludf.DUMMYFUNCTION("""COMPUTED_VALUE"""),"Ali Yurtseven")</f>
        <v>Ali Yurtseven</v>
      </c>
      <c r="B110" s="19" t="str">
        <f>IFERROR(__xludf.DUMMYFUNCTION("""COMPUTED_VALUE"""),"UUB")</f>
        <v>UUB</v>
      </c>
      <c r="C110" s="20">
        <f>IFERROR(__xludf.DUMMYFUNCTION("""COMPUTED_VALUE"""),9.7)</f>
        <v>9.7</v>
      </c>
      <c r="D110" s="21">
        <f>IFERROR(__xludf.DUMMYFUNCTION("""COMPUTED_VALUE"""),-0.5858010693742278)</f>
        <v>-0.5858010694</v>
      </c>
      <c r="E110" s="21">
        <f>IFERROR(__xludf.DUMMYFUNCTION("""COMPUTED_VALUE"""),0.0021897585070942416)</f>
        <v>0.002189758507</v>
      </c>
      <c r="F110" s="21">
        <f>IFERROR(__xludf.DUMMYFUNCTION("""COMPUTED_VALUE"""),-0.5836113108671336)</f>
        <v>-0.5836113109</v>
      </c>
      <c r="G110" s="23">
        <f>IFERROR(__xludf.DUMMYFUNCTION("""COMPUTED_VALUE"""),0.004172299408279306)</f>
        <v>0.004172299408</v>
      </c>
      <c r="H110" s="4"/>
      <c r="I110" s="5" t="s">
        <v>1991</v>
      </c>
      <c r="J110" s="5" t="s">
        <v>1915</v>
      </c>
      <c r="K110" s="5">
        <v>31.0</v>
      </c>
      <c r="L110" s="5">
        <v>-0.781638</v>
      </c>
      <c r="M110" s="5">
        <v>0.343005</v>
      </c>
      <c r="N110" s="5">
        <v>-0.438633</v>
      </c>
      <c r="O110" s="5">
        <v>0.014511</v>
      </c>
    </row>
    <row r="111">
      <c r="A111" s="12" t="str">
        <f>IFERROR(__xludf.DUMMYFUNCTION("""COMPUTED_VALUE"""),"Dorukhan Engindeniz")</f>
        <v>Dorukhan Engindeniz</v>
      </c>
      <c r="B111" s="13" t="str">
        <f>IFERROR(__xludf.DUMMYFUNCTION("""COMPUTED_VALUE"""),"ESK")</f>
        <v>ESK</v>
      </c>
      <c r="C111" s="14">
        <f>IFERROR(__xludf.DUMMYFUNCTION("""COMPUTED_VALUE"""),54.7)</f>
        <v>54.7</v>
      </c>
      <c r="D111" s="15">
        <f>IFERROR(__xludf.DUMMYFUNCTION("""COMPUTED_VALUE"""),-0.11796694316065831)</f>
        <v>-0.1179669432</v>
      </c>
      <c r="E111" s="15">
        <f>IFERROR(__xludf.DUMMYFUNCTION("""COMPUTED_VALUE"""),-0.4936913325044264)</f>
        <v>-0.4936913325</v>
      </c>
      <c r="F111" s="15">
        <f>IFERROR(__xludf.DUMMYFUNCTION("""COMPUTED_VALUE"""),-0.6116582756650847)</f>
        <v>-0.6116582757</v>
      </c>
      <c r="G111" s="17">
        <f>IFERROR(__xludf.DUMMYFUNCTION("""COMPUTED_VALUE"""),0.023427523902425525)</f>
        <v>0.0234275239</v>
      </c>
      <c r="H111" s="4"/>
      <c r="I111" s="5" t="s">
        <v>1992</v>
      </c>
      <c r="J111" s="5" t="s">
        <v>1874</v>
      </c>
      <c r="K111" s="5">
        <v>22.0</v>
      </c>
      <c r="L111" s="5">
        <v>-0.139416</v>
      </c>
      <c r="M111" s="5">
        <v>-0.318592</v>
      </c>
      <c r="N111" s="5">
        <v>-0.458007</v>
      </c>
      <c r="O111" s="5">
        <v>0.010158</v>
      </c>
    </row>
    <row r="112">
      <c r="A112" s="18" t="str">
        <f>IFERROR(__xludf.DUMMYFUNCTION("""COMPUTED_VALUE"""),"Agah Abdussamed Kizilkaya")</f>
        <v>Agah Abdussamed Kizilkaya</v>
      </c>
      <c r="B112" s="19" t="str">
        <f>IFERROR(__xludf.DUMMYFUNCTION("""COMPUTED_VALUE"""),"SAK")</f>
        <v>SAK</v>
      </c>
      <c r="C112" s="20">
        <f>IFERROR(__xludf.DUMMYFUNCTION("""COMPUTED_VALUE"""),7.8)</f>
        <v>7.8</v>
      </c>
      <c r="D112" s="21">
        <f>IFERROR(__xludf.DUMMYFUNCTION("""COMPUTED_VALUE"""),-0.5080474571813534)</f>
        <v>-0.5080474572</v>
      </c>
      <c r="E112" s="21">
        <f>IFERROR(__xludf.DUMMYFUNCTION("""COMPUTED_VALUE"""),-0.11913547031728877)</f>
        <v>-0.1191354703</v>
      </c>
      <c r="F112" s="21">
        <f>IFERROR(__xludf.DUMMYFUNCTION("""COMPUTED_VALUE"""),-0.6271829274986421)</f>
        <v>-0.6271829275</v>
      </c>
      <c r="G112" s="23">
        <f>IFERROR(__xludf.DUMMYFUNCTION("""COMPUTED_VALUE"""),0.0032656975220941293)</f>
        <v>0.003265697522</v>
      </c>
      <c r="H112" s="4"/>
      <c r="I112" s="5" t="s">
        <v>1993</v>
      </c>
      <c r="J112" s="5" t="s">
        <v>1894</v>
      </c>
      <c r="K112" s="5">
        <v>657.0</v>
      </c>
      <c r="L112" s="5">
        <v>0.155393</v>
      </c>
      <c r="M112" s="5">
        <v>-0.663512</v>
      </c>
      <c r="N112" s="5">
        <v>-0.508119</v>
      </c>
      <c r="O112" s="5">
        <v>0.294101</v>
      </c>
    </row>
    <row r="113">
      <c r="A113" s="12" t="str">
        <f>IFERROR(__xludf.DUMMYFUNCTION("""COMPUTED_VALUE"""),"Efe Besok")</f>
        <v>Efe Besok</v>
      </c>
      <c r="B113" s="13" t="str">
        <f>IFERROR(__xludf.DUMMYFUNCTION("""COMPUTED_VALUE"""),"TOF")</f>
        <v>TOF</v>
      </c>
      <c r="C113" s="14">
        <f>IFERROR(__xludf.DUMMYFUNCTION("""COMPUTED_VALUE"""),45.95)</f>
        <v>45.95</v>
      </c>
      <c r="D113" s="15">
        <f>IFERROR(__xludf.DUMMYFUNCTION("""COMPUTED_VALUE"""),-0.3607906180136946)</f>
        <v>-0.360790618</v>
      </c>
      <c r="E113" s="15">
        <f>IFERROR(__xludf.DUMMYFUNCTION("""COMPUTED_VALUE"""),-0.29531660008453153)</f>
        <v>-0.2953166001</v>
      </c>
      <c r="F113" s="15">
        <f>IFERROR(__xludf.DUMMYFUNCTION("""COMPUTED_VALUE"""),-0.6561072180982261)</f>
        <v>-0.6561072181</v>
      </c>
      <c r="G113" s="17">
        <f>IFERROR(__xludf.DUMMYFUNCTION("""COMPUTED_VALUE"""),0.018693212070974487)</f>
        <v>0.01869321207</v>
      </c>
      <c r="H113" s="4"/>
      <c r="I113" s="5" t="s">
        <v>1994</v>
      </c>
      <c r="J113" s="5" t="s">
        <v>1894</v>
      </c>
      <c r="K113" s="5">
        <v>55.0</v>
      </c>
      <c r="L113" s="5">
        <v>-0.111137</v>
      </c>
      <c r="M113" s="5">
        <v>-0.460826</v>
      </c>
      <c r="N113" s="5">
        <v>-0.571963</v>
      </c>
      <c r="O113" s="5">
        <v>0.02336</v>
      </c>
    </row>
    <row r="114">
      <c r="A114" s="18" t="str">
        <f>IFERROR(__xludf.DUMMYFUNCTION("""COMPUTED_VALUE"""),"Kristijan Nikolov")</f>
        <v>Kristijan Nikolov</v>
      </c>
      <c r="B114" s="19" t="str">
        <f>IFERROR(__xludf.DUMMYFUNCTION("""COMPUTED_VALUE"""),"YES")</f>
        <v>YES</v>
      </c>
      <c r="C114" s="20">
        <f>IFERROR(__xludf.DUMMYFUNCTION("""COMPUTED_VALUE"""),17.5)</f>
        <v>17.5</v>
      </c>
      <c r="D114" s="21">
        <f>IFERROR(__xludf.DUMMYFUNCTION("""COMPUTED_VALUE"""),-0.6620219052148238)</f>
        <v>-0.6620219052</v>
      </c>
      <c r="E114" s="21">
        <f>IFERROR(__xludf.DUMMYFUNCTION("""COMPUTED_VALUE"""),0.005900893773721605)</f>
        <v>0.005900893774</v>
      </c>
      <c r="F114" s="21">
        <f>IFERROR(__xludf.DUMMYFUNCTION("""COMPUTED_VALUE"""),-0.6561210114411022)</f>
        <v>-0.6561210114</v>
      </c>
      <c r="G114" s="23">
        <f>IFERROR(__xludf.DUMMYFUNCTION("""COMPUTED_VALUE"""),0.007226452395692717)</f>
        <v>0.007226452396</v>
      </c>
      <c r="H114" s="4"/>
      <c r="I114" s="5" t="s">
        <v>1995</v>
      </c>
      <c r="J114" s="5" t="s">
        <v>1953</v>
      </c>
      <c r="K114" s="5">
        <v>10.0</v>
      </c>
      <c r="L114" s="5">
        <v>-0.586228</v>
      </c>
      <c r="M114" s="5">
        <v>0.002626</v>
      </c>
      <c r="N114" s="5">
        <v>-0.583603</v>
      </c>
      <c r="O114" s="5">
        <v>0.004172</v>
      </c>
    </row>
    <row r="115">
      <c r="A115" s="12" t="str">
        <f>IFERROR(__xludf.DUMMYFUNCTION("""COMPUTED_VALUE"""),"Serkan Aydin")</f>
        <v>Serkan Aydin</v>
      </c>
      <c r="B115" s="13" t="str">
        <f>IFERROR(__xludf.DUMMYFUNCTION("""COMPUTED_VALUE"""),"GAL")</f>
        <v>GAL</v>
      </c>
      <c r="C115" s="14">
        <f>IFERROR(__xludf.DUMMYFUNCTION("""COMPUTED_VALUE"""),9.6)</f>
        <v>9.6</v>
      </c>
      <c r="D115" s="15">
        <f>IFERROR(__xludf.DUMMYFUNCTION("""COMPUTED_VALUE"""),-0.6366705127436941)</f>
        <v>-0.6366705127</v>
      </c>
      <c r="E115" s="15">
        <f>IFERROR(__xludf.DUMMYFUNCTION("""COMPUTED_VALUE"""),-0.07656219506076145)</f>
        <v>-0.07656219506</v>
      </c>
      <c r="F115" s="15">
        <f>IFERROR(__xludf.DUMMYFUNCTION("""COMPUTED_VALUE"""),-0.7132327078044556)</f>
        <v>-0.7132327078</v>
      </c>
      <c r="G115" s="17">
        <f>IFERROR(__xludf.DUMMYFUNCTION("""COMPUTED_VALUE"""),0.0037936839952787066)</f>
        <v>0.003793683995</v>
      </c>
      <c r="H115" s="4"/>
      <c r="I115" s="5" t="s">
        <v>1996</v>
      </c>
      <c r="J115" s="5" t="s">
        <v>1946</v>
      </c>
      <c r="K115" s="5">
        <v>18.0</v>
      </c>
      <c r="L115" s="5">
        <v>-0.66244</v>
      </c>
      <c r="M115" s="5">
        <v>0.007317</v>
      </c>
      <c r="N115" s="5">
        <v>-0.655123</v>
      </c>
      <c r="O115" s="5">
        <v>0.007232</v>
      </c>
    </row>
    <row r="116">
      <c r="A116" s="18" t="str">
        <f>IFERROR(__xludf.DUMMYFUNCTION("""COMPUTED_VALUE"""),"Jarrod Jones")</f>
        <v>Jarrod Jones</v>
      </c>
      <c r="B116" s="19" t="str">
        <f>IFERROR(__xludf.DUMMYFUNCTION("""COMPUTED_VALUE"""),"PIN")</f>
        <v>PIN</v>
      </c>
      <c r="C116" s="20">
        <f>IFERROR(__xludf.DUMMYFUNCTION("""COMPUTED_VALUE"""),955.0)</f>
        <v>955</v>
      </c>
      <c r="D116" s="21">
        <f>IFERROR(__xludf.DUMMYFUNCTION("""COMPUTED_VALUE"""),0.16336279478765053)</f>
        <v>0.1633627948</v>
      </c>
      <c r="E116" s="21">
        <f>IFERROR(__xludf.DUMMYFUNCTION("""COMPUTED_VALUE"""),-0.8881458589523865)</f>
        <v>-0.888145859</v>
      </c>
      <c r="F116" s="21">
        <f>IFERROR(__xludf.DUMMYFUNCTION("""COMPUTED_VALUE"""),-0.7247830641647359)</f>
        <v>-0.7247830642</v>
      </c>
      <c r="G116" s="23">
        <f>IFERROR(__xludf.DUMMYFUNCTION("""COMPUTED_VALUE"""),0.3698724524655519)</f>
        <v>0.3698724525</v>
      </c>
      <c r="H116" s="4"/>
      <c r="I116" s="5" t="s">
        <v>1997</v>
      </c>
      <c r="J116" s="5" t="s">
        <v>1592</v>
      </c>
      <c r="K116" s="5">
        <v>10.0</v>
      </c>
      <c r="L116" s="5">
        <v>-0.637115</v>
      </c>
      <c r="M116" s="5">
        <v>-0.076128</v>
      </c>
      <c r="N116" s="5">
        <v>-0.713243</v>
      </c>
      <c r="O116" s="5">
        <v>0.003794</v>
      </c>
    </row>
    <row r="117">
      <c r="A117" s="12" t="str">
        <f>IFERROR(__xludf.DUMMYFUNCTION("""COMPUTED_VALUE"""),"Mustafa Kircali")</f>
        <v>Mustafa Kircali</v>
      </c>
      <c r="B117" s="13" t="str">
        <f>IFERROR(__xludf.DUMMYFUNCTION("""COMPUTED_VALUE"""),"SAK")</f>
        <v>SAK</v>
      </c>
      <c r="C117" s="14">
        <f>IFERROR(__xludf.DUMMYFUNCTION("""COMPUTED_VALUE"""),24.8)</f>
        <v>24.8</v>
      </c>
      <c r="D117" s="15">
        <f>IFERROR(__xludf.DUMMYFUNCTION("""COMPUTED_VALUE"""),-0.34058436377561596)</f>
        <v>-0.3405843638</v>
      </c>
      <c r="E117" s="15">
        <f>IFERROR(__xludf.DUMMYFUNCTION("""COMPUTED_VALUE"""),-0.38773527599856605)</f>
        <v>-0.387735276</v>
      </c>
      <c r="F117" s="15">
        <f>IFERROR(__xludf.DUMMYFUNCTION("""COMPUTED_VALUE"""),-0.728319639774182)</f>
        <v>-0.7283196398</v>
      </c>
      <c r="G117" s="17">
        <f>IFERROR(__xludf.DUMMYFUNCTION("""COMPUTED_VALUE"""),0.009618300191823699)</f>
        <v>0.009618300192</v>
      </c>
      <c r="H117" s="4"/>
      <c r="I117" s="5" t="s">
        <v>1998</v>
      </c>
      <c r="J117" s="5" t="s">
        <v>1915</v>
      </c>
      <c r="K117" s="5">
        <v>955.0</v>
      </c>
      <c r="L117" s="5">
        <v>0.149029</v>
      </c>
      <c r="M117" s="5">
        <v>-0.874468</v>
      </c>
      <c r="N117" s="5">
        <v>-0.725439</v>
      </c>
      <c r="O117" s="5">
        <v>0.369682</v>
      </c>
    </row>
    <row r="118">
      <c r="A118" s="18" t="str">
        <f>IFERROR(__xludf.DUMMYFUNCTION("""COMPUTED_VALUE"""),"Gaffar Cetin")</f>
        <v>Gaffar Cetin</v>
      </c>
      <c r="B118" s="19" t="str">
        <f>IFERROR(__xludf.DUMMYFUNCTION("""COMPUTED_VALUE"""),"IBB")</f>
        <v>IBB</v>
      </c>
      <c r="C118" s="20">
        <f>IFERROR(__xludf.DUMMYFUNCTION("""COMPUTED_VALUE"""),17.7)</f>
        <v>17.7</v>
      </c>
      <c r="D118" s="21">
        <f>IFERROR(__xludf.DUMMYFUNCTION("""COMPUTED_VALUE"""),-0.2638041598343939)</f>
        <v>-0.2638041598</v>
      </c>
      <c r="E118" s="21">
        <f>IFERROR(__xludf.DUMMYFUNCTION("""COMPUTED_VALUE"""),-0.4830597447609006)</f>
        <v>-0.4830597448</v>
      </c>
      <c r="F118" s="21">
        <f>IFERROR(__xludf.DUMMYFUNCTION("""COMPUTED_VALUE"""),-0.7468639045952945)</f>
        <v>-0.7468639046</v>
      </c>
      <c r="G118" s="23">
        <f>IFERROR(__xludf.DUMMYFUNCTION("""COMPUTED_VALUE"""),0.006809334680227499)</f>
        <v>0.00680933468</v>
      </c>
      <c r="H118" s="4"/>
      <c r="I118" s="5" t="s">
        <v>1999</v>
      </c>
      <c r="J118" s="5" t="s">
        <v>1926</v>
      </c>
      <c r="K118" s="5">
        <v>18.0</v>
      </c>
      <c r="L118" s="5">
        <v>-0.264624</v>
      </c>
      <c r="M118" s="5">
        <v>-0.482257</v>
      </c>
      <c r="N118" s="5">
        <v>-0.746881</v>
      </c>
      <c r="O118" s="5">
        <v>0.006809</v>
      </c>
    </row>
    <row r="119">
      <c r="A119" s="12" t="str">
        <f>IFERROR(__xludf.DUMMYFUNCTION("""COMPUTED_VALUE"""),"Isaiah Miles")</f>
        <v>Isaiah Miles</v>
      </c>
      <c r="B119" s="13" t="str">
        <f>IFERROR(__xludf.DUMMYFUNCTION("""COMPUTED_VALUE"""),"UUB")</f>
        <v>UUB</v>
      </c>
      <c r="C119" s="14">
        <f>IFERROR(__xludf.DUMMYFUNCTION("""COMPUTED_VALUE"""),420.7)</f>
        <v>420.7</v>
      </c>
      <c r="D119" s="15">
        <f>IFERROR(__xludf.DUMMYFUNCTION("""COMPUTED_VALUE"""),-0.44373663155124277)</f>
        <v>-0.4437366316</v>
      </c>
      <c r="E119" s="15">
        <f>IFERROR(__xludf.DUMMYFUNCTION("""COMPUTED_VALUE"""),-0.3226835099082157)</f>
        <v>-0.3226835099</v>
      </c>
      <c r="F119" s="15">
        <f>IFERROR(__xludf.DUMMYFUNCTION("""COMPUTED_VALUE"""),-0.7664201414594585)</f>
        <v>-0.7664201415</v>
      </c>
      <c r="G119" s="17">
        <f>IFERROR(__xludf.DUMMYFUNCTION("""COMPUTED_VALUE"""),0.1576017602576226)</f>
        <v>0.1576017603</v>
      </c>
      <c r="H119" s="4"/>
      <c r="I119" s="5" t="s">
        <v>2000</v>
      </c>
      <c r="J119" s="5" t="s">
        <v>1900</v>
      </c>
      <c r="K119" s="5">
        <v>274.0</v>
      </c>
      <c r="L119" s="5">
        <v>-1.443451</v>
      </c>
      <c r="M119" s="5">
        <v>0.682443</v>
      </c>
      <c r="N119" s="5">
        <v>-0.761008</v>
      </c>
      <c r="O119" s="5">
        <v>0.11135</v>
      </c>
    </row>
    <row r="120">
      <c r="A120" s="18" t="str">
        <f>IFERROR(__xludf.DUMMYFUNCTION("""COMPUTED_VALUE"""),"Tomislav Zubcic")</f>
        <v>Tomislav Zubcic</v>
      </c>
      <c r="B120" s="19" t="str">
        <f>IFERROR(__xludf.DUMMYFUNCTION("""COMPUTED_VALUE"""),"TRA")</f>
        <v>TRA</v>
      </c>
      <c r="C120" s="20">
        <f>IFERROR(__xludf.DUMMYFUNCTION("""COMPUTED_VALUE"""),29.6)</f>
        <v>29.6</v>
      </c>
      <c r="D120" s="21">
        <f>IFERROR(__xludf.DUMMYFUNCTION("""COMPUTED_VALUE"""),-0.433076374377241)</f>
        <v>-0.4330763744</v>
      </c>
      <c r="E120" s="21">
        <f>IFERROR(__xludf.DUMMYFUNCTION("""COMPUTED_VALUE"""),-0.3402399052246542)</f>
        <v>-0.3402399052</v>
      </c>
      <c r="F120" s="21">
        <f>IFERROR(__xludf.DUMMYFUNCTION("""COMPUTED_VALUE"""),-0.7733162796018952)</f>
        <v>-0.7733162796</v>
      </c>
      <c r="G120" s="23">
        <f>IFERROR(__xludf.DUMMYFUNCTION("""COMPUTED_VALUE"""),0.011000403377324879)</f>
        <v>0.01100040338</v>
      </c>
      <c r="H120" s="4"/>
      <c r="I120" s="5" t="s">
        <v>2001</v>
      </c>
      <c r="J120" s="5" t="s">
        <v>1953</v>
      </c>
      <c r="K120" s="5">
        <v>421.0</v>
      </c>
      <c r="L120" s="5">
        <v>-0.457255</v>
      </c>
      <c r="M120" s="5">
        <v>-0.309151</v>
      </c>
      <c r="N120" s="5">
        <v>-0.766406</v>
      </c>
      <c r="O120" s="5">
        <v>0.157604</v>
      </c>
    </row>
    <row r="121">
      <c r="A121" s="12" t="str">
        <f>IFERROR(__xludf.DUMMYFUNCTION("""COMPUTED_VALUE"""),"Caner Topaloglu")</f>
        <v>Caner Topaloglu</v>
      </c>
      <c r="B121" s="13" t="str">
        <f>IFERROR(__xludf.DUMMYFUNCTION("""COMPUTED_VALUE"""),"GAL")</f>
        <v>GAL</v>
      </c>
      <c r="C121" s="14">
        <f>IFERROR(__xludf.DUMMYFUNCTION("""COMPUTED_VALUE"""),57.85)</f>
        <v>57.85</v>
      </c>
      <c r="D121" s="15">
        <f>IFERROR(__xludf.DUMMYFUNCTION("""COMPUTED_VALUE"""),-0.37724494030114025)</f>
        <v>-0.3772449403</v>
      </c>
      <c r="E121" s="15">
        <f>IFERROR(__xludf.DUMMYFUNCTION("""COMPUTED_VALUE"""),-0.3973338358548663)</f>
        <v>-0.3973338359</v>
      </c>
      <c r="F121" s="15">
        <f>IFERROR(__xludf.DUMMYFUNCTION("""COMPUTED_VALUE"""),-0.7745787761560066)</f>
        <v>-0.7745787762</v>
      </c>
      <c r="G121" s="17">
        <f>IFERROR(__xludf.DUMMYFUNCTION("""COMPUTED_VALUE"""),0.02177101451184861)</f>
        <v>0.02177101451</v>
      </c>
      <c r="H121" s="4"/>
      <c r="I121" s="5" t="s">
        <v>2002</v>
      </c>
      <c r="J121" s="5" t="s">
        <v>1592</v>
      </c>
      <c r="K121" s="5">
        <v>58.0</v>
      </c>
      <c r="L121" s="5">
        <v>-0.387383</v>
      </c>
      <c r="M121" s="5">
        <v>-0.380964</v>
      </c>
      <c r="N121" s="5">
        <v>-0.768347</v>
      </c>
      <c r="O121" s="5">
        <v>0.021882</v>
      </c>
    </row>
    <row r="122">
      <c r="A122" s="18" t="str">
        <f>IFERROR(__xludf.DUMMYFUNCTION("""COMPUTED_VALUE"""),"Burak Selen")</f>
        <v>Burak Selen</v>
      </c>
      <c r="B122" s="19" t="str">
        <f>IFERROR(__xludf.DUMMYFUNCTION("""COMPUTED_VALUE"""),"DEM")</f>
        <v>DEM</v>
      </c>
      <c r="C122" s="20">
        <f>IFERROR(__xludf.DUMMYFUNCTION("""COMPUTED_VALUE"""),9.3)</f>
        <v>9.3</v>
      </c>
      <c r="D122" s="21">
        <f>IFERROR(__xludf.DUMMYFUNCTION("""COMPUTED_VALUE"""),-0.5444184538146976)</f>
        <v>-0.5444184538</v>
      </c>
      <c r="E122" s="21">
        <f>IFERROR(__xludf.DUMMYFUNCTION("""COMPUTED_VALUE"""),-0.23127297208459163)</f>
        <v>-0.2312729721</v>
      </c>
      <c r="F122" s="21">
        <f>IFERROR(__xludf.DUMMYFUNCTION("""COMPUTED_VALUE"""),-0.7756914258992892)</f>
        <v>-0.7756914259</v>
      </c>
      <c r="G122" s="23">
        <f>IFERROR(__xludf.DUMMYFUNCTION("""COMPUTED_VALUE"""),0.003530199381708333)</f>
        <v>0.003530199382</v>
      </c>
      <c r="H122" s="4"/>
      <c r="I122" s="5" t="s">
        <v>700</v>
      </c>
      <c r="J122" s="5" t="s">
        <v>1923</v>
      </c>
      <c r="K122" s="5">
        <v>30.0</v>
      </c>
      <c r="L122" s="5">
        <v>-0.43436</v>
      </c>
      <c r="M122" s="5">
        <v>-0.338914</v>
      </c>
      <c r="N122" s="5">
        <v>-0.773274</v>
      </c>
      <c r="O122" s="5">
        <v>0.011001</v>
      </c>
    </row>
    <row r="123">
      <c r="A123" s="12" t="str">
        <f>IFERROR(__xludf.DUMMYFUNCTION("""COMPUTED_VALUE"""),"Darrell Williams")</f>
        <v>Darrell Williams</v>
      </c>
      <c r="B123" s="13" t="str">
        <f>IFERROR(__xludf.DUMMYFUNCTION("""COMPUTED_VALUE"""),"YES")</f>
        <v>YES</v>
      </c>
      <c r="C123" s="14">
        <f>IFERROR(__xludf.DUMMYFUNCTION("""COMPUTED_VALUE"""),557.3)</f>
        <v>557.3</v>
      </c>
      <c r="D123" s="15">
        <f>IFERROR(__xludf.DUMMYFUNCTION("""COMPUTED_VALUE"""),0.3133490085212538)</f>
        <v>0.3133490085</v>
      </c>
      <c r="E123" s="15">
        <f>IFERROR(__xludf.DUMMYFUNCTION("""COMPUTED_VALUE"""),-1.1072386585462024)</f>
        <v>-1.107238659</v>
      </c>
      <c r="F123" s="15">
        <f>IFERROR(__xludf.DUMMYFUNCTION("""COMPUTED_VALUE"""),-0.7938896500249486)</f>
        <v>-0.79388965</v>
      </c>
      <c r="G123" s="17">
        <f>IFERROR(__xludf.DUMMYFUNCTION("""COMPUTED_VALUE"""),0.2065394522522923)</f>
        <v>0.2065394523</v>
      </c>
      <c r="H123" s="4"/>
      <c r="I123" s="5" t="s">
        <v>2003</v>
      </c>
      <c r="J123" s="5" t="s">
        <v>1942</v>
      </c>
      <c r="K123" s="5">
        <v>9.0</v>
      </c>
      <c r="L123" s="5">
        <v>-0.544838</v>
      </c>
      <c r="M123" s="5">
        <v>-0.230853</v>
      </c>
      <c r="N123" s="5">
        <v>-0.775691</v>
      </c>
      <c r="O123" s="5">
        <v>0.00353</v>
      </c>
    </row>
    <row r="124">
      <c r="A124" s="18" t="str">
        <f>IFERROR(__xludf.DUMMYFUNCTION("""COMPUTED_VALUE"""),"Ilkan Karaman")</f>
        <v>Ilkan Karaman</v>
      </c>
      <c r="B124" s="19" t="str">
        <f>IFERROR(__xludf.DUMMYFUNCTION("""COMPUTED_VALUE"""),"DEM")</f>
        <v>DEM</v>
      </c>
      <c r="C124" s="20">
        <f>IFERROR(__xludf.DUMMYFUNCTION("""COMPUTED_VALUE"""),181.39999999999998)</f>
        <v>181.4</v>
      </c>
      <c r="D124" s="21">
        <f>IFERROR(__xludf.DUMMYFUNCTION("""COMPUTED_VALUE"""),-1.3955640568293366)</f>
        <v>-1.395564057</v>
      </c>
      <c r="E124" s="21">
        <f>IFERROR(__xludf.DUMMYFUNCTION("""COMPUTED_VALUE"""),0.588644161492113)</f>
        <v>0.5886441615</v>
      </c>
      <c r="F124" s="21">
        <f>IFERROR(__xludf.DUMMYFUNCTION("""COMPUTED_VALUE"""),-0.8069198953372236)</f>
        <v>-0.8069198953</v>
      </c>
      <c r="G124" s="23">
        <f>IFERROR(__xludf.DUMMYFUNCTION("""COMPUTED_VALUE"""),0.06710150816013671)</f>
        <v>0.06710150816</v>
      </c>
      <c r="H124" s="4"/>
      <c r="I124" s="5" t="s">
        <v>2004</v>
      </c>
      <c r="J124" s="5" t="s">
        <v>1946</v>
      </c>
      <c r="K124" s="5">
        <v>557.0</v>
      </c>
      <c r="L124" s="5">
        <v>0.304981</v>
      </c>
      <c r="M124" s="5">
        <v>-1.082741</v>
      </c>
      <c r="N124" s="5">
        <v>-0.777761</v>
      </c>
      <c r="O124" s="5">
        <v>0.209301</v>
      </c>
    </row>
    <row r="125">
      <c r="A125" s="12" t="str">
        <f>IFERROR(__xludf.DUMMYFUNCTION("""COMPUTED_VALUE"""),"Vlad Moldoveanu")</f>
        <v>Vlad Moldoveanu</v>
      </c>
      <c r="B125" s="13" t="str">
        <f>IFERROR(__xludf.DUMMYFUNCTION("""COMPUTED_VALUE"""),"DEM")</f>
        <v>DEM</v>
      </c>
      <c r="C125" s="14">
        <f>IFERROR(__xludf.DUMMYFUNCTION("""COMPUTED_VALUE"""),318.9)</f>
        <v>318.9</v>
      </c>
      <c r="D125" s="15">
        <f>IFERROR(__xludf.DUMMYFUNCTION("""COMPUTED_VALUE"""),-0.88712569504403)</f>
        <v>-0.887125695</v>
      </c>
      <c r="E125" s="15">
        <f>IFERROR(__xludf.DUMMYFUNCTION("""COMPUTED_VALUE"""),0.04451759115917231)</f>
        <v>0.04451759116</v>
      </c>
      <c r="F125" s="15">
        <f>IFERROR(__xludf.DUMMYFUNCTION("""COMPUTED_VALUE"""),-0.8426081038848577)</f>
        <v>-0.8426081039</v>
      </c>
      <c r="G125" s="17">
        <f>IFERROR(__xludf.DUMMYFUNCTION("""COMPUTED_VALUE"""),0.11443538931514641)</f>
        <v>0.1144353893</v>
      </c>
      <c r="H125" s="4"/>
      <c r="I125" s="5" t="s">
        <v>2005</v>
      </c>
      <c r="J125" s="5" t="s">
        <v>1874</v>
      </c>
      <c r="K125" s="5">
        <v>346.0</v>
      </c>
      <c r="L125" s="5">
        <v>0.520217</v>
      </c>
      <c r="M125" s="5">
        <v>-1.305823</v>
      </c>
      <c r="N125" s="5">
        <v>-0.785606</v>
      </c>
      <c r="O125" s="5">
        <v>0.128149</v>
      </c>
    </row>
    <row r="126">
      <c r="A126" s="18" t="str">
        <f>IFERROR(__xludf.DUMMYFUNCTION("""COMPUTED_VALUE"""),"Hakan Demirel")</f>
        <v>Hakan Demirel</v>
      </c>
      <c r="B126" s="19" t="str">
        <f>IFERROR(__xludf.DUMMYFUNCTION("""COMPUTED_VALUE"""),"IBB")</f>
        <v>IBB</v>
      </c>
      <c r="C126" s="20">
        <f>IFERROR(__xludf.DUMMYFUNCTION("""COMPUTED_VALUE"""),54.7)</f>
        <v>54.7</v>
      </c>
      <c r="D126" s="21">
        <f>IFERROR(__xludf.DUMMYFUNCTION("""COMPUTED_VALUE"""),-0.3812284303408471)</f>
        <v>-0.3812284303</v>
      </c>
      <c r="E126" s="21">
        <f>IFERROR(__xludf.DUMMYFUNCTION("""COMPUTED_VALUE"""),-0.4622938169380747)</f>
        <v>-0.4622938169</v>
      </c>
      <c r="F126" s="21">
        <f>IFERROR(__xludf.DUMMYFUNCTION("""COMPUTED_VALUE"""),-0.8435222472789218)</f>
        <v>-0.8435222473</v>
      </c>
      <c r="G126" s="23">
        <f>IFERROR(__xludf.DUMMYFUNCTION("""COMPUTED_VALUE"""),0.019420382675166874)</f>
        <v>0.01942038268</v>
      </c>
      <c r="H126" s="4"/>
      <c r="I126" s="5" t="s">
        <v>2006</v>
      </c>
      <c r="J126" s="5" t="s">
        <v>1942</v>
      </c>
      <c r="K126" s="5">
        <v>181.0</v>
      </c>
      <c r="L126" s="5">
        <v>-1.410657</v>
      </c>
      <c r="M126" s="5">
        <v>0.604693</v>
      </c>
      <c r="N126" s="5">
        <v>-0.805964</v>
      </c>
      <c r="O126" s="5">
        <v>0.067155</v>
      </c>
    </row>
    <row r="127">
      <c r="A127" s="12" t="str">
        <f>IFERROR(__xludf.DUMMYFUNCTION("""COMPUTED_VALUE"""),"Dwight Hardy")</f>
        <v>Dwight Hardy</v>
      </c>
      <c r="B127" s="13" t="str">
        <f>IFERROR(__xludf.DUMMYFUNCTION("""COMPUTED_VALUE"""),"GAL")</f>
        <v>GAL</v>
      </c>
      <c r="C127" s="14">
        <f>IFERROR(__xludf.DUMMYFUNCTION("""COMPUTED_VALUE"""),856.4)</f>
        <v>856.4</v>
      </c>
      <c r="D127" s="15">
        <f>IFERROR(__xludf.DUMMYFUNCTION("""COMPUTED_VALUE"""),0.4168598313153444)</f>
        <v>0.4168598313</v>
      </c>
      <c r="E127" s="15">
        <f>IFERROR(__xludf.DUMMYFUNCTION("""COMPUTED_VALUE"""),-1.342819697974742)</f>
        <v>-1.342819698</v>
      </c>
      <c r="F127" s="15">
        <f>IFERROR(__xludf.DUMMYFUNCTION("""COMPUTED_VALUE"""),-0.9259598666593977)</f>
        <v>-0.9259598667</v>
      </c>
      <c r="G127" s="17">
        <f>IFERROR(__xludf.DUMMYFUNCTION("""COMPUTED_VALUE"""),0.28247959023090924)</f>
        <v>0.2824795902</v>
      </c>
      <c r="H127" s="4"/>
      <c r="I127" s="5" t="s">
        <v>2007</v>
      </c>
      <c r="J127" s="5" t="s">
        <v>1942</v>
      </c>
      <c r="K127" s="5">
        <v>319.0</v>
      </c>
      <c r="L127" s="5">
        <v>-0.900376</v>
      </c>
      <c r="M127" s="5">
        <v>0.058003</v>
      </c>
      <c r="N127" s="5">
        <v>-0.842373</v>
      </c>
      <c r="O127" s="5">
        <v>0.114459</v>
      </c>
    </row>
    <row r="128">
      <c r="A128" s="18" t="str">
        <f>IFERROR(__xludf.DUMMYFUNCTION("""COMPUTED_VALUE"""),"Ike Ofoegbu")</f>
        <v>Ike Ofoegbu</v>
      </c>
      <c r="B128" s="19" t="str">
        <f>IFERROR(__xludf.DUMMYFUNCTION("""COMPUTED_VALUE"""),"UUB")</f>
        <v>UUB</v>
      </c>
      <c r="C128" s="20">
        <f>IFERROR(__xludf.DUMMYFUNCTION("""COMPUTED_VALUE"""),415.5)</f>
        <v>415.5</v>
      </c>
      <c r="D128" s="21">
        <f>IFERROR(__xludf.DUMMYFUNCTION("""COMPUTED_VALUE"""),-0.540198748902208)</f>
        <v>-0.5401987489</v>
      </c>
      <c r="E128" s="21">
        <f>IFERROR(__xludf.DUMMYFUNCTION("""COMPUTED_VALUE"""),-0.38580721602210044)</f>
        <v>-0.385807216</v>
      </c>
      <c r="F128" s="21">
        <f>IFERROR(__xludf.DUMMYFUNCTION("""COMPUTED_VALUE"""),-0.9260059649243084)</f>
        <v>-0.9260059649</v>
      </c>
      <c r="G128" s="23">
        <f>IFERROR(__xludf.DUMMYFUNCTION("""COMPUTED_VALUE"""),0.13551712499148164)</f>
        <v>0.135517125</v>
      </c>
      <c r="H128" s="4"/>
      <c r="I128" s="5" t="s">
        <v>2008</v>
      </c>
      <c r="J128" s="5" t="s">
        <v>1926</v>
      </c>
      <c r="K128" s="5">
        <v>55.0</v>
      </c>
      <c r="L128" s="5">
        <v>-0.383542</v>
      </c>
      <c r="M128" s="5">
        <v>-0.459853</v>
      </c>
      <c r="N128" s="5">
        <v>-0.843395</v>
      </c>
      <c r="O128" s="5">
        <v>0.019423</v>
      </c>
    </row>
    <row r="129">
      <c r="A129" s="12" t="str">
        <f>IFERROR(__xludf.DUMMYFUNCTION("""COMPUTED_VALUE"""),"Omer Al")</f>
        <v>Omer Al</v>
      </c>
      <c r="B129" s="13" t="str">
        <f>IFERROR(__xludf.DUMMYFUNCTION("""COMPUTED_VALUE"""),"BES")</f>
        <v>BES</v>
      </c>
      <c r="C129" s="14">
        <f>IFERROR(__xludf.DUMMYFUNCTION("""COMPUTED_VALUE"""),17.9)</f>
        <v>17.9</v>
      </c>
      <c r="D129" s="15">
        <f>IFERROR(__xludf.DUMMYFUNCTION("""COMPUTED_VALUE"""),-0.7869627932007265)</f>
        <v>-0.7869627932</v>
      </c>
      <c r="E129" s="15">
        <f>IFERROR(__xludf.DUMMYFUNCTION("""COMPUTED_VALUE"""),-0.14187551846331503)</f>
        <v>-0.1418755185</v>
      </c>
      <c r="F129" s="15">
        <f>IFERROR(__xludf.DUMMYFUNCTION("""COMPUTED_VALUE"""),-0.9288383116640415)</f>
        <v>-0.9288383117</v>
      </c>
      <c r="G129" s="17">
        <f>IFERROR(__xludf.DUMMYFUNCTION("""COMPUTED_VALUE"""),0.006332692610996675)</f>
        <v>0.006332692611</v>
      </c>
      <c r="H129" s="4"/>
      <c r="I129" s="5" t="s">
        <v>2009</v>
      </c>
      <c r="J129" s="5" t="s">
        <v>1878</v>
      </c>
      <c r="K129" s="5">
        <v>43.0</v>
      </c>
      <c r="L129" s="5">
        <v>-0.431652</v>
      </c>
      <c r="M129" s="5">
        <v>-0.422885</v>
      </c>
      <c r="N129" s="5">
        <v>-0.854536</v>
      </c>
      <c r="O129" s="5">
        <v>0.01505</v>
      </c>
    </row>
    <row r="130">
      <c r="A130" s="18" t="str">
        <f>IFERROR(__xludf.DUMMYFUNCTION("""COMPUTED_VALUE"""),"Paul Harris")</f>
        <v>Paul Harris</v>
      </c>
      <c r="B130" s="19" t="str">
        <f>IFERROR(__xludf.DUMMYFUNCTION("""COMPUTED_VALUE"""),"TRA")</f>
        <v>TRA</v>
      </c>
      <c r="C130" s="20">
        <f>IFERROR(__xludf.DUMMYFUNCTION("""COMPUTED_VALUE"""),583.5)</f>
        <v>583.5</v>
      </c>
      <c r="D130" s="21">
        <f>IFERROR(__xludf.DUMMYFUNCTION("""COMPUTED_VALUE"""),0.570875971725813)</f>
        <v>0.5708759717</v>
      </c>
      <c r="E130" s="21">
        <f>IFERROR(__xludf.DUMMYFUNCTION("""COMPUTED_VALUE"""),-1.5145948452837692)</f>
        <v>-1.514594845</v>
      </c>
      <c r="F130" s="21">
        <f>IFERROR(__xludf.DUMMYFUNCTION("""COMPUTED_VALUE"""),-0.9437188735579563)</f>
        <v>-0.9437188736</v>
      </c>
      <c r="G130" s="23">
        <f>IFERROR(__xludf.DUMMYFUNCTION("""COMPUTED_VALUE"""),0.18672595026587685)</f>
        <v>0.1867259503</v>
      </c>
      <c r="H130" s="4"/>
      <c r="I130" s="5" t="s">
        <v>2010</v>
      </c>
      <c r="J130" s="5" t="s">
        <v>60</v>
      </c>
      <c r="K130" s="5">
        <v>12.0</v>
      </c>
      <c r="L130" s="5">
        <v>-0.6584</v>
      </c>
      <c r="M130" s="5">
        <v>-0.211235</v>
      </c>
      <c r="N130" s="5">
        <v>-0.869634</v>
      </c>
      <c r="O130" s="5">
        <v>0.003882</v>
      </c>
    </row>
    <row r="131">
      <c r="A131" s="12" t="str">
        <f>IFERROR(__xludf.DUMMYFUNCTION("""COMPUTED_VALUE"""),"Sean Armand")</f>
        <v>Sean Armand</v>
      </c>
      <c r="B131" s="13" t="str">
        <f>IFERROR(__xludf.DUMMYFUNCTION("""COMPUTED_VALUE"""),"GAZ")</f>
        <v>GAZ</v>
      </c>
      <c r="C131" s="14">
        <f>IFERROR(__xludf.DUMMYFUNCTION("""COMPUTED_VALUE"""),966.6)</f>
        <v>966.6</v>
      </c>
      <c r="D131" s="15">
        <f>IFERROR(__xludf.DUMMYFUNCTION("""COMPUTED_VALUE"""),0.799050604900833)</f>
        <v>0.7990506049</v>
      </c>
      <c r="E131" s="15">
        <f>IFERROR(__xludf.DUMMYFUNCTION("""COMPUTED_VALUE"""),-1.768199085764401)</f>
        <v>-1.768199086</v>
      </c>
      <c r="F131" s="15">
        <f>IFERROR(__xludf.DUMMYFUNCTION("""COMPUTED_VALUE"""),-0.969148480863568)</f>
        <v>-0.9691484809</v>
      </c>
      <c r="G131" s="17">
        <f>IFERROR(__xludf.DUMMYFUNCTION("""COMPUTED_VALUE"""),0.2994326641542674)</f>
        <v>0.2994326642</v>
      </c>
      <c r="H131" s="4"/>
      <c r="I131" s="5" t="s">
        <v>507</v>
      </c>
      <c r="J131" s="5" t="s">
        <v>60</v>
      </c>
      <c r="K131" s="5">
        <v>471.0</v>
      </c>
      <c r="L131" s="5">
        <v>-0.934896</v>
      </c>
      <c r="M131" s="5">
        <v>0.044593</v>
      </c>
      <c r="N131" s="5">
        <v>-0.890303</v>
      </c>
      <c r="O131" s="5">
        <v>0.154684</v>
      </c>
    </row>
    <row r="132">
      <c r="A132" s="18" t="str">
        <f>IFERROR(__xludf.DUMMYFUNCTION("""COMPUTED_VALUE"""),"Semih Erden")</f>
        <v>Semih Erden</v>
      </c>
      <c r="B132" s="19" t="str">
        <f>IFERROR(__xludf.DUMMYFUNCTION("""COMPUTED_VALUE"""),"BES")</f>
        <v>BES</v>
      </c>
      <c r="C132" s="20">
        <f>IFERROR(__xludf.DUMMYFUNCTION("""COMPUTED_VALUE"""),228.9)</f>
        <v>228.9</v>
      </c>
      <c r="D132" s="21">
        <f>IFERROR(__xludf.DUMMYFUNCTION("""COMPUTED_VALUE"""),-2.1590105922504943)</f>
        <v>-2.159010592</v>
      </c>
      <c r="E132" s="21">
        <f>IFERROR(__xludf.DUMMYFUNCTION("""COMPUTED_VALUE"""),1.17998853820425)</f>
        <v>1.179988538</v>
      </c>
      <c r="F132" s="21">
        <f>IFERROR(__xludf.DUMMYFUNCTION("""COMPUTED_VALUE"""),-0.9790220540462442)</f>
        <v>-0.979022054</v>
      </c>
      <c r="G132" s="23">
        <f>IFERROR(__xludf.DUMMYFUNCTION("""COMPUTED_VALUE"""),0.07718670458114975)</f>
        <v>0.07718670458</v>
      </c>
      <c r="H132" s="4"/>
      <c r="I132" s="5" t="s">
        <v>2011</v>
      </c>
      <c r="J132" s="5" t="s">
        <v>1874</v>
      </c>
      <c r="K132" s="5">
        <v>549.0</v>
      </c>
      <c r="L132" s="5">
        <v>0.629831</v>
      </c>
      <c r="M132" s="5">
        <v>-1.520469</v>
      </c>
      <c r="N132" s="5">
        <v>-0.890638</v>
      </c>
      <c r="O132" s="5">
        <v>0.185782</v>
      </c>
    </row>
    <row r="133">
      <c r="A133" s="12" t="str">
        <f>IFERROR(__xludf.DUMMYFUNCTION("""COMPUTED_VALUE"""),"Stevie Browning")</f>
        <v>Stevie Browning</v>
      </c>
      <c r="B133" s="13" t="str">
        <f>IFERROR(__xludf.DUMMYFUNCTION("""COMPUTED_VALUE"""),"TRA")</f>
        <v>TRA</v>
      </c>
      <c r="C133" s="14">
        <f>IFERROR(__xludf.DUMMYFUNCTION("""COMPUTED_VALUE"""),32.6)</f>
        <v>32.6</v>
      </c>
      <c r="D133" s="15">
        <f>IFERROR(__xludf.DUMMYFUNCTION("""COMPUTED_VALUE"""),-0.1371060736175882)</f>
        <v>-0.1371060736</v>
      </c>
      <c r="E133" s="15">
        <f>IFERROR(__xludf.DUMMYFUNCTION("""COMPUTED_VALUE"""),-0.8719152076396728)</f>
        <v>-0.8719152076</v>
      </c>
      <c r="F133" s="15">
        <f>IFERROR(__xludf.DUMMYFUNCTION("""COMPUTED_VALUE"""),-1.009021281257261)</f>
        <v>-1.009021281</v>
      </c>
      <c r="G133" s="17">
        <f>IFERROR(__xludf.DUMMYFUNCTION("""COMPUTED_VALUE"""),0.009787374947794041)</f>
        <v>0.009787374948</v>
      </c>
      <c r="H133" s="4"/>
      <c r="I133" s="5" t="s">
        <v>2012</v>
      </c>
      <c r="J133" s="5" t="s">
        <v>1900</v>
      </c>
      <c r="K133" s="5">
        <v>18.0</v>
      </c>
      <c r="L133" s="5">
        <v>-0.788464</v>
      </c>
      <c r="M133" s="5">
        <v>-0.129756</v>
      </c>
      <c r="N133" s="5">
        <v>-0.918219</v>
      </c>
      <c r="O133" s="5">
        <v>0.006356</v>
      </c>
    </row>
    <row r="134">
      <c r="A134" s="18" t="str">
        <f>IFERROR(__xludf.DUMMYFUNCTION("""COMPUTED_VALUE"""),"Erkan Yilmaz")</f>
        <v>Erkan Yilmaz</v>
      </c>
      <c r="B134" s="19" t="str">
        <f>IFERROR(__xludf.DUMMYFUNCTION("""COMPUTED_VALUE"""),"YES")</f>
        <v>YES</v>
      </c>
      <c r="C134" s="20">
        <f>IFERROR(__xludf.DUMMYFUNCTION("""COMPUTED_VALUE"""),100.0)</f>
        <v>100</v>
      </c>
      <c r="D134" s="21">
        <f>IFERROR(__xludf.DUMMYFUNCTION("""COMPUTED_VALUE"""),-0.7755178579662443)</f>
        <v>-0.775517858</v>
      </c>
      <c r="E134" s="21">
        <f>IFERROR(__xludf.DUMMYFUNCTION("""COMPUTED_VALUE"""),-0.2547894468370764)</f>
        <v>-0.2547894468</v>
      </c>
      <c r="F134" s="21">
        <f>IFERROR(__xludf.DUMMYFUNCTION("""COMPUTED_VALUE"""),-1.0303073048033207)</f>
        <v>-1.030307305</v>
      </c>
      <c r="G134" s="23">
        <f>IFERROR(__xludf.DUMMYFUNCTION("""COMPUTED_VALUE"""),0.029796212137498074)</f>
        <v>0.02979621214</v>
      </c>
      <c r="H134" s="4"/>
      <c r="I134" s="5" t="s">
        <v>1699</v>
      </c>
      <c r="J134" s="5" t="s">
        <v>1953</v>
      </c>
      <c r="K134" s="5">
        <v>416.0</v>
      </c>
      <c r="L134" s="5">
        <v>-0.553516</v>
      </c>
      <c r="M134" s="5">
        <v>-0.37231</v>
      </c>
      <c r="N134" s="5">
        <v>-0.925826</v>
      </c>
      <c r="O134" s="5">
        <v>0.13554</v>
      </c>
    </row>
    <row r="135">
      <c r="A135" s="12" t="str">
        <f>IFERROR(__xludf.DUMMYFUNCTION("""COMPUTED_VALUE"""),"Tony Taylor")</f>
        <v>Tony Taylor</v>
      </c>
      <c r="B135" s="13" t="str">
        <f>IFERROR(__xludf.DUMMYFUNCTION("""COMPUTED_VALUE"""),"BVS")</f>
        <v>BVS</v>
      </c>
      <c r="C135" s="14">
        <f>IFERROR(__xludf.DUMMYFUNCTION("""COMPUTED_VALUE"""),1000.6)</f>
        <v>1000.6</v>
      </c>
      <c r="D135" s="15">
        <f>IFERROR(__xludf.DUMMYFUNCTION("""COMPUTED_VALUE"""),0.6895162519244374)</f>
        <v>0.6895162519</v>
      </c>
      <c r="E135" s="15">
        <f>IFERROR(__xludf.DUMMYFUNCTION("""COMPUTED_VALUE"""),-1.7349237979309091)</f>
        <v>-1.734923798</v>
      </c>
      <c r="F135" s="15">
        <f>IFERROR(__xludf.DUMMYFUNCTION("""COMPUTED_VALUE"""),-1.0454075460064718)</f>
        <v>-1.045407546</v>
      </c>
      <c r="G135" s="17">
        <f>IFERROR(__xludf.DUMMYFUNCTION("""COMPUTED_VALUE"""),0.28747988058820423)</f>
        <v>0.2874798806</v>
      </c>
      <c r="H135" s="4"/>
      <c r="I135" s="5" t="s">
        <v>2013</v>
      </c>
      <c r="J135" s="5" t="s">
        <v>1592</v>
      </c>
      <c r="K135" s="5">
        <v>856.0</v>
      </c>
      <c r="L135" s="5">
        <v>0.403049</v>
      </c>
      <c r="M135" s="5">
        <v>-1.329251</v>
      </c>
      <c r="N135" s="5">
        <v>-0.926202</v>
      </c>
      <c r="O135" s="5">
        <v>0.282416</v>
      </c>
    </row>
    <row r="136">
      <c r="A136" s="18" t="str">
        <f>IFERROR(__xludf.DUMMYFUNCTION("""COMPUTED_VALUE"""),"Yigit Ozovali")</f>
        <v>Yigit Ozovali</v>
      </c>
      <c r="B136" s="19" t="str">
        <f>IFERROR(__xludf.DUMMYFUNCTION("""COMPUTED_VALUE"""),"UUB")</f>
        <v>UUB</v>
      </c>
      <c r="C136" s="20">
        <f>IFERROR(__xludf.DUMMYFUNCTION("""COMPUTED_VALUE"""),14.4)</f>
        <v>14.4</v>
      </c>
      <c r="D136" s="21">
        <f>IFERROR(__xludf.DUMMYFUNCTION("""COMPUTED_VALUE"""),-0.8388509786274293)</f>
        <v>-0.8388509786</v>
      </c>
      <c r="E136" s="21">
        <f>IFERROR(__xludf.DUMMYFUNCTION("""COMPUTED_VALUE"""),-0.21110346828524607)</f>
        <v>-0.2111034683</v>
      </c>
      <c r="F136" s="21">
        <f>IFERROR(__xludf.DUMMYFUNCTION("""COMPUTED_VALUE"""),-1.0499544469126754)</f>
        <v>-1.049954447</v>
      </c>
      <c r="G136" s="23">
        <f>IFERROR(__xludf.DUMMYFUNCTION("""COMPUTED_VALUE"""),0.004154590307936388)</f>
        <v>0.004154590308</v>
      </c>
      <c r="H136" s="4"/>
      <c r="I136" s="5" t="s">
        <v>2014</v>
      </c>
      <c r="J136" s="5" t="s">
        <v>1923</v>
      </c>
      <c r="K136" s="5">
        <v>584.0</v>
      </c>
      <c r="L136" s="5">
        <v>0.55782</v>
      </c>
      <c r="M136" s="5">
        <v>-1.501144</v>
      </c>
      <c r="N136" s="5">
        <v>-0.943325</v>
      </c>
      <c r="O136" s="5">
        <v>0.186796</v>
      </c>
    </row>
    <row r="137">
      <c r="A137" s="12" t="str">
        <f>IFERROR(__xludf.DUMMYFUNCTION("""COMPUTED_VALUE"""),"Dogus Ozdemiroglu")</f>
        <v>Dogus Ozdemiroglu</v>
      </c>
      <c r="B137" s="13" t="str">
        <f>IFERROR(__xludf.DUMMYFUNCTION("""COMPUTED_VALUE"""),"DBI")</f>
        <v>DBI</v>
      </c>
      <c r="C137" s="14">
        <f>IFERROR(__xludf.DUMMYFUNCTION("""COMPUTED_VALUE"""),147.1)</f>
        <v>147.1</v>
      </c>
      <c r="D137" s="15">
        <f>IFERROR(__xludf.DUMMYFUNCTION("""COMPUTED_VALUE"""),-2.3772701791487774)</f>
        <v>-2.377270179</v>
      </c>
      <c r="E137" s="15">
        <f>IFERROR(__xludf.DUMMYFUNCTION("""COMPUTED_VALUE"""),1.31780659279776)</f>
        <v>1.317806593</v>
      </c>
      <c r="F137" s="15">
        <f>IFERROR(__xludf.DUMMYFUNCTION("""COMPUTED_VALUE"""),-1.0594635863510173)</f>
        <v>-1.059463586</v>
      </c>
      <c r="G137" s="17">
        <f>IFERROR(__xludf.DUMMYFUNCTION("""COMPUTED_VALUE"""),0.04173924124956105)</f>
        <v>0.04173924125</v>
      </c>
      <c r="H137" s="4"/>
      <c r="I137" s="5" t="s">
        <v>2015</v>
      </c>
      <c r="J137" s="5" t="s">
        <v>1912</v>
      </c>
      <c r="K137" s="5">
        <v>967.0</v>
      </c>
      <c r="L137" s="5">
        <v>0.784622</v>
      </c>
      <c r="M137" s="5">
        <v>-1.754519</v>
      </c>
      <c r="N137" s="5">
        <v>-0.969897</v>
      </c>
      <c r="O137" s="5">
        <v>0.299215</v>
      </c>
    </row>
    <row r="138">
      <c r="A138" s="18" t="str">
        <f>IFERROR(__xludf.DUMMYFUNCTION("""COMPUTED_VALUE"""),"James Birsen")</f>
        <v>James Birsen</v>
      </c>
      <c r="B138" s="19" t="str">
        <f>IFERROR(__xludf.DUMMYFUNCTION("""COMPUTED_VALUE"""),"SAK")</f>
        <v>SAK</v>
      </c>
      <c r="C138" s="20">
        <f>IFERROR(__xludf.DUMMYFUNCTION("""COMPUTED_VALUE"""),639.0)</f>
        <v>639</v>
      </c>
      <c r="D138" s="21">
        <f>IFERROR(__xludf.DUMMYFUNCTION("""COMPUTED_VALUE"""),-2.3028514392266923)</f>
        <v>-2.302851439</v>
      </c>
      <c r="E138" s="21">
        <f>IFERROR(__xludf.DUMMYFUNCTION("""COMPUTED_VALUE"""),1.2411922473182426)</f>
        <v>1.241192247</v>
      </c>
      <c r="F138" s="21">
        <f>IFERROR(__xludf.DUMMYFUNCTION("""COMPUTED_VALUE"""),-1.0616591919084497)</f>
        <v>-1.061659192</v>
      </c>
      <c r="G138" s="23">
        <f>IFERROR(__xludf.DUMMYFUNCTION("""COMPUTED_VALUE"""),0.18286481238561914)</f>
        <v>0.1828648124</v>
      </c>
      <c r="H138" s="4"/>
      <c r="I138" s="5" t="s">
        <v>2016</v>
      </c>
      <c r="J138" s="5" t="s">
        <v>1923</v>
      </c>
      <c r="K138" s="5">
        <v>33.0</v>
      </c>
      <c r="L138" s="5">
        <v>-0.138592</v>
      </c>
      <c r="M138" s="5">
        <v>-0.870442</v>
      </c>
      <c r="N138" s="5">
        <v>-1.009033</v>
      </c>
      <c r="O138" s="5">
        <v>0.009787</v>
      </c>
    </row>
    <row r="139">
      <c r="A139" s="12" t="str">
        <f>IFERROR(__xludf.DUMMYFUNCTION("""COMPUTED_VALUE"""),"Bracey Wright")</f>
        <v>Bracey Wright</v>
      </c>
      <c r="B139" s="13" t="str">
        <f>IFERROR(__xludf.DUMMYFUNCTION("""COMPUTED_VALUE"""),"DEM")</f>
        <v>DEM</v>
      </c>
      <c r="C139" s="14">
        <f>IFERROR(__xludf.DUMMYFUNCTION("""COMPUTED_VALUE"""),938.7)</f>
        <v>938.7</v>
      </c>
      <c r="D139" s="15">
        <f>IFERROR(__xludf.DUMMYFUNCTION("""COMPUTED_VALUE"""),0.3897601661520648)</f>
        <v>0.3897601662</v>
      </c>
      <c r="E139" s="15">
        <f>IFERROR(__xludf.DUMMYFUNCTION("""COMPUTED_VALUE"""),-1.4850221070687475)</f>
        <v>-1.485022107</v>
      </c>
      <c r="F139" s="15">
        <f>IFERROR(__xludf.DUMMYFUNCTION("""COMPUTED_VALUE"""),-1.0952619409166826)</f>
        <v>-1.095261941</v>
      </c>
      <c r="G139" s="17">
        <f>IFERROR(__xludf.DUMMYFUNCTION("""COMPUTED_VALUE"""),0.2633146804655364)</f>
        <v>0.2633146805</v>
      </c>
      <c r="H139" s="4"/>
      <c r="I139" s="5" t="s">
        <v>2017</v>
      </c>
      <c r="J139" s="5" t="s">
        <v>1946</v>
      </c>
      <c r="K139" s="5">
        <v>100.0</v>
      </c>
      <c r="L139" s="5">
        <v>-0.778216</v>
      </c>
      <c r="M139" s="5">
        <v>-0.24664</v>
      </c>
      <c r="N139" s="5">
        <v>-1.024856</v>
      </c>
      <c r="O139" s="5">
        <v>0.029964</v>
      </c>
    </row>
    <row r="140">
      <c r="A140" s="18" t="str">
        <f>IFERROR(__xludf.DUMMYFUNCTION("""COMPUTED_VALUE"""),"Furkan Ayca")</f>
        <v>Furkan Ayca</v>
      </c>
      <c r="B140" s="19" t="str">
        <f>IFERROR(__xludf.DUMMYFUNCTION("""COMPUTED_VALUE"""),"IBB")</f>
        <v>IBB</v>
      </c>
      <c r="C140" s="20">
        <f>IFERROR(__xludf.DUMMYFUNCTION("""COMPUTED_VALUE"""),41.0)</f>
        <v>41</v>
      </c>
      <c r="D140" s="21">
        <f>IFERROR(__xludf.DUMMYFUNCTION("""COMPUTED_VALUE"""),-1.0510628443915784)</f>
        <v>-1.051062844</v>
      </c>
      <c r="E140" s="21">
        <f>IFERROR(__xludf.DUMMYFUNCTION("""COMPUTED_VALUE"""),-0.09876537374090666)</f>
        <v>-0.09876537374</v>
      </c>
      <c r="F140" s="21">
        <f>IFERROR(__xludf.DUMMYFUNCTION("""COMPUTED_VALUE"""),-1.149828218132485)</f>
        <v>-1.149828218</v>
      </c>
      <c r="G140" s="23">
        <f>IFERROR(__xludf.DUMMYFUNCTION("""COMPUTED_VALUE"""),0.01070098406338127)</f>
        <v>0.01070098406</v>
      </c>
      <c r="H140" s="4"/>
      <c r="I140" s="5" t="s">
        <v>2018</v>
      </c>
      <c r="J140" s="5" t="s">
        <v>1887</v>
      </c>
      <c r="K140" s="5">
        <v>842.0</v>
      </c>
      <c r="L140" s="5">
        <v>0.203793</v>
      </c>
      <c r="M140" s="5">
        <v>-1.237659</v>
      </c>
      <c r="N140" s="5">
        <v>-1.033866</v>
      </c>
      <c r="O140" s="5">
        <v>0.245403</v>
      </c>
    </row>
    <row r="141">
      <c r="A141" s="12" t="str">
        <f>IFERROR(__xludf.DUMMYFUNCTION("""COMPUTED_VALUE"""),"Nikola Jankovic")</f>
        <v>Nikola Jankovic</v>
      </c>
      <c r="B141" s="13" t="str">
        <f>IFERROR(__xludf.DUMMYFUNCTION("""COMPUTED_VALUE"""),"SAK")</f>
        <v>SAK</v>
      </c>
      <c r="C141" s="14">
        <f>IFERROR(__xludf.DUMMYFUNCTION("""COMPUTED_VALUE"""),560.0)</f>
        <v>560</v>
      </c>
      <c r="D141" s="15">
        <f>IFERROR(__xludf.DUMMYFUNCTION("""COMPUTED_VALUE"""),-1.3736372300871826)</f>
        <v>-1.37363723</v>
      </c>
      <c r="E141" s="15">
        <f>IFERROR(__xludf.DUMMYFUNCTION("""COMPUTED_VALUE"""),0.14845495138639775)</f>
        <v>0.1484549514</v>
      </c>
      <c r="F141" s="15">
        <f>IFERROR(__xludf.DUMMYFUNCTION("""COMPUTED_VALUE"""),-1.2251822787007849)</f>
        <v>-1.225182279</v>
      </c>
      <c r="G141" s="17">
        <f>IFERROR(__xludf.DUMMYFUNCTION("""COMPUTED_VALUE"""),0.13232937299245234)</f>
        <v>0.132329373</v>
      </c>
      <c r="H141" s="4"/>
      <c r="I141" s="5" t="s">
        <v>2019</v>
      </c>
      <c r="J141" s="5" t="s">
        <v>1953</v>
      </c>
      <c r="K141" s="5">
        <v>14.0</v>
      </c>
      <c r="L141" s="5">
        <v>-0.839542</v>
      </c>
      <c r="M141" s="5">
        <v>-0.210446</v>
      </c>
      <c r="N141" s="5">
        <v>-1.049988</v>
      </c>
      <c r="O141" s="5">
        <v>0.004154</v>
      </c>
    </row>
    <row r="142">
      <c r="A142" s="18" t="str">
        <f>IFERROR(__xludf.DUMMYFUNCTION("""COMPUTED_VALUE"""),"Birkan Batuk")</f>
        <v>Birkan Batuk</v>
      </c>
      <c r="B142" s="19" t="str">
        <f>IFERROR(__xludf.DUMMYFUNCTION("""COMPUTED_VALUE"""),"EFE")</f>
        <v>EFE</v>
      </c>
      <c r="C142" s="20">
        <f>IFERROR(__xludf.DUMMYFUNCTION("""COMPUTED_VALUE"""),548.6)</f>
        <v>548.6</v>
      </c>
      <c r="D142" s="21">
        <f>IFERROR(__xludf.DUMMYFUNCTION("""COMPUTED_VALUE"""),-0.4607207207558886)</f>
        <v>-0.4607207208</v>
      </c>
      <c r="E142" s="21">
        <f>IFERROR(__xludf.DUMMYFUNCTION("""COMPUTED_VALUE"""),-0.7648024857901063)</f>
        <v>-0.7648024858</v>
      </c>
      <c r="F142" s="21">
        <f>IFERROR(__xludf.DUMMYFUNCTION("""COMPUTED_VALUE"""),-1.225523206545995)</f>
        <v>-1.225523207</v>
      </c>
      <c r="G142" s="23">
        <f>IFERROR(__xludf.DUMMYFUNCTION("""COMPUTED_VALUE"""),0.12575289972460607)</f>
        <v>0.1257528997</v>
      </c>
      <c r="H142" s="4"/>
      <c r="I142" s="5" t="s">
        <v>2020</v>
      </c>
      <c r="J142" s="5" t="s">
        <v>1900</v>
      </c>
      <c r="K142" s="5">
        <v>217.0</v>
      </c>
      <c r="L142" s="5">
        <v>-2.34432</v>
      </c>
      <c r="M142" s="5">
        <v>1.292652</v>
      </c>
      <c r="N142" s="5">
        <v>-1.051668</v>
      </c>
      <c r="O142" s="5">
        <v>0.067423</v>
      </c>
    </row>
    <row r="143">
      <c r="A143" s="12" t="str">
        <f>IFERROR(__xludf.DUMMYFUNCTION("""COMPUTED_VALUE"""),"Michael Thompson")</f>
        <v>Michael Thompson</v>
      </c>
      <c r="B143" s="13" t="str">
        <f>IFERROR(__xludf.DUMMYFUNCTION("""COMPUTED_VALUE"""),"IBB")</f>
        <v>IBB</v>
      </c>
      <c r="C143" s="14">
        <f>IFERROR(__xludf.DUMMYFUNCTION("""COMPUTED_VALUE"""),963.5)</f>
        <v>963.5</v>
      </c>
      <c r="D143" s="15">
        <f>IFERROR(__xludf.DUMMYFUNCTION("""COMPUTED_VALUE"""),0.7914097670233168)</f>
        <v>0.791409767</v>
      </c>
      <c r="E143" s="15">
        <f>IFERROR(__xludf.DUMMYFUNCTION("""COMPUTED_VALUE"""),-2.020977938783999)</f>
        <v>-2.020977939</v>
      </c>
      <c r="F143" s="15">
        <f>IFERROR(__xludf.DUMMYFUNCTION("""COMPUTED_VALUE"""),-1.2295681717606821)</f>
        <v>-1.229568172</v>
      </c>
      <c r="G143" s="17">
        <f>IFERROR(__xludf.DUMMYFUNCTION("""COMPUTED_VALUE"""),0.22788676824619838)</f>
        <v>0.2278867682</v>
      </c>
      <c r="H143" s="4"/>
      <c r="I143" s="5" t="s">
        <v>2021</v>
      </c>
      <c r="J143" s="5" t="s">
        <v>1884</v>
      </c>
      <c r="K143" s="5">
        <v>146.0</v>
      </c>
      <c r="L143" s="5">
        <v>-2.410427</v>
      </c>
      <c r="M143" s="5">
        <v>1.357595</v>
      </c>
      <c r="N143" s="5">
        <v>-1.052832</v>
      </c>
      <c r="O143" s="5">
        <v>0.041562</v>
      </c>
    </row>
    <row r="144">
      <c r="A144" s="18" t="str">
        <f>IFERROR(__xludf.DUMMYFUNCTION("""COMPUTED_VALUE"""),"Kadir Bayram")</f>
        <v>Kadir Bayram</v>
      </c>
      <c r="B144" s="19" t="str">
        <f>IFERROR(__xludf.DUMMYFUNCTION("""COMPUTED_VALUE"""),"GAZ")</f>
        <v>GAZ</v>
      </c>
      <c r="C144" s="20">
        <f>IFERROR(__xludf.DUMMYFUNCTION("""COMPUTED_VALUE"""),14.75)</f>
        <v>14.75</v>
      </c>
      <c r="D144" s="21">
        <f>IFERROR(__xludf.DUMMYFUNCTION("""COMPUTED_VALUE"""),-0.7282509766551518)</f>
        <v>-0.7282509767</v>
      </c>
      <c r="E144" s="21">
        <f>IFERROR(__xludf.DUMMYFUNCTION("""COMPUTED_VALUE"""),-0.5019815033752443)</f>
        <v>-0.5019815034</v>
      </c>
      <c r="F144" s="21">
        <f>IFERROR(__xludf.DUMMYFUNCTION("""COMPUTED_VALUE"""),-1.230232480030396)</f>
        <v>-1.23023248</v>
      </c>
      <c r="G144" s="23">
        <f>IFERROR(__xludf.DUMMYFUNCTION("""COMPUTED_VALUE"""),0.0034119909525662864)</f>
        <v>0.003411990953</v>
      </c>
      <c r="H144" s="4"/>
      <c r="I144" s="5" t="s">
        <v>2022</v>
      </c>
      <c r="J144" s="5" t="s">
        <v>1874</v>
      </c>
      <c r="K144" s="5">
        <v>534.0</v>
      </c>
      <c r="L144" s="5">
        <v>-1.281391</v>
      </c>
      <c r="M144" s="5">
        <v>0.220278</v>
      </c>
      <c r="N144" s="5">
        <v>-1.061113</v>
      </c>
      <c r="O144" s="5">
        <v>0.152766</v>
      </c>
    </row>
    <row r="145">
      <c r="A145" s="12" t="str">
        <f>IFERROR(__xludf.DUMMYFUNCTION("""COMPUTED_VALUE"""),"Henry Walker")</f>
        <v>Henry Walker</v>
      </c>
      <c r="B145" s="13" t="str">
        <f>IFERROR(__xludf.DUMMYFUNCTION("""COMPUTED_VALUE"""),"GAL")</f>
        <v>GAL</v>
      </c>
      <c r="C145" s="14">
        <f>IFERROR(__xludf.DUMMYFUNCTION("""COMPUTED_VALUE"""),28.1)</f>
        <v>28.1</v>
      </c>
      <c r="D145" s="15">
        <f>IFERROR(__xludf.DUMMYFUNCTION("""COMPUTED_VALUE"""),-0.6963652869505598)</f>
        <v>-0.696365287</v>
      </c>
      <c r="E145" s="15">
        <f>IFERROR(__xludf.DUMMYFUNCTION("""COMPUTED_VALUE"""),-0.5526880787654463)</f>
        <v>-0.5526880788</v>
      </c>
      <c r="F145" s="15">
        <f>IFERROR(__xludf.DUMMYFUNCTION("""COMPUTED_VALUE"""),-1.2490533657160061)</f>
        <v>-1.249053366</v>
      </c>
      <c r="G145" s="17">
        <f>IFERROR(__xludf.DUMMYFUNCTION("""COMPUTED_VALUE"""),0.006480452044313993)</f>
        <v>0.006480452044</v>
      </c>
      <c r="H145" s="4"/>
      <c r="I145" s="5" t="s">
        <v>2023</v>
      </c>
      <c r="J145" s="5" t="s">
        <v>1942</v>
      </c>
      <c r="K145" s="5">
        <v>939.0</v>
      </c>
      <c r="L145" s="5">
        <v>0.375833</v>
      </c>
      <c r="M145" s="5">
        <v>-1.471417</v>
      </c>
      <c r="N145" s="5">
        <v>-1.095583</v>
      </c>
      <c r="O145" s="5">
        <v>0.263221</v>
      </c>
    </row>
    <row r="146">
      <c r="A146" s="18" t="str">
        <f>IFERROR(__xludf.DUMMYFUNCTION("""COMPUTED_VALUE"""),"Kenan Sipahi")</f>
        <v>Kenan Sipahi</v>
      </c>
      <c r="B146" s="19" t="str">
        <f>IFERROR(__xludf.DUMMYFUNCTION("""COMPUTED_VALUE"""),"BES")</f>
        <v>BES</v>
      </c>
      <c r="C146" s="20">
        <f>IFERROR(__xludf.DUMMYFUNCTION("""COMPUTED_VALUE"""),568.4)</f>
        <v>568.4</v>
      </c>
      <c r="D146" s="21">
        <f>IFERROR(__xludf.DUMMYFUNCTION("""COMPUTED_VALUE"""),-2.286283390723378)</f>
        <v>-2.286283391</v>
      </c>
      <c r="E146" s="21">
        <f>IFERROR(__xludf.DUMMYFUNCTION("""COMPUTED_VALUE"""),1.0360851352427722)</f>
        <v>1.036085135</v>
      </c>
      <c r="F146" s="21">
        <f>IFERROR(__xludf.DUMMYFUNCTION("""COMPUTED_VALUE"""),-1.250198255480606)</f>
        <v>-1.250198255</v>
      </c>
      <c r="G146" s="23">
        <f>IFERROR(__xludf.DUMMYFUNCTION("""COMPUTED_VALUE"""),0.14076051968825787)</f>
        <v>0.1407605197</v>
      </c>
      <c r="H146" s="4"/>
      <c r="I146" s="5" t="s">
        <v>456</v>
      </c>
      <c r="J146" s="5" t="s">
        <v>60</v>
      </c>
      <c r="K146" s="5">
        <v>200.0</v>
      </c>
      <c r="L146" s="5">
        <v>0.475144</v>
      </c>
      <c r="M146" s="5">
        <v>-1.623455</v>
      </c>
      <c r="N146" s="5">
        <v>-1.148311</v>
      </c>
      <c r="O146" s="5">
        <v>0.050484</v>
      </c>
    </row>
    <row r="147">
      <c r="A147" s="12" t="str">
        <f>IFERROR(__xludf.DUMMYFUNCTION("""COMPUTED_VALUE"""),"Arda Erdogan")</f>
        <v>Arda Erdogan</v>
      </c>
      <c r="B147" s="13" t="str">
        <f>IFERROR(__xludf.DUMMYFUNCTION("""COMPUTED_VALUE"""),"EFE")</f>
        <v>EFE</v>
      </c>
      <c r="C147" s="14">
        <f>IFERROR(__xludf.DUMMYFUNCTION("""COMPUTED_VALUE"""),19.3)</f>
        <v>19.3</v>
      </c>
      <c r="D147" s="15">
        <f>IFERROR(__xludf.DUMMYFUNCTION("""COMPUTED_VALUE"""),-1.0016341006346463)</f>
        <v>-1.001634101</v>
      </c>
      <c r="E147" s="15">
        <f>IFERROR(__xludf.DUMMYFUNCTION("""COMPUTED_VALUE"""),-0.2748666281101737)</f>
        <v>-0.2748666281</v>
      </c>
      <c r="F147" s="15">
        <f>IFERROR(__xludf.DUMMYFUNCTION("""COMPUTED_VALUE"""),-1.27650072874482)</f>
        <v>-1.276500729</v>
      </c>
      <c r="G147" s="17">
        <f>IFERROR(__xludf.DUMMYFUNCTION("""COMPUTED_VALUE"""),0.004132845811834914)</f>
        <v>0.004132845812</v>
      </c>
      <c r="H147" s="4"/>
      <c r="I147" s="5" t="s">
        <v>2024</v>
      </c>
      <c r="J147" s="5" t="s">
        <v>1926</v>
      </c>
      <c r="K147" s="5">
        <v>41.0</v>
      </c>
      <c r="L147" s="5">
        <v>-1.05274</v>
      </c>
      <c r="M147" s="5">
        <v>-0.096946</v>
      </c>
      <c r="N147" s="5">
        <v>-1.149686</v>
      </c>
      <c r="O147" s="5">
        <v>0.010703</v>
      </c>
    </row>
    <row r="148">
      <c r="A148" s="18" t="str">
        <f>IFERROR(__xludf.DUMMYFUNCTION("""COMPUTED_VALUE"""),"Berke Aygunduz")</f>
        <v>Berke Aygunduz</v>
      </c>
      <c r="B148" s="19" t="str">
        <f>IFERROR(__xludf.DUMMYFUNCTION("""COMPUTED_VALUE"""),"PIN")</f>
        <v>PIN</v>
      </c>
      <c r="C148" s="20">
        <f>IFERROR(__xludf.DUMMYFUNCTION("""COMPUTED_VALUE"""),19.7)</f>
        <v>19.7</v>
      </c>
      <c r="D148" s="21">
        <f>IFERROR(__xludf.DUMMYFUNCTION("""COMPUTED_VALUE"""),-0.9811764526066983)</f>
        <v>-0.9811764526</v>
      </c>
      <c r="E148" s="21">
        <f>IFERROR(__xludf.DUMMYFUNCTION("""COMPUTED_VALUE"""),-0.30565852058283294)</f>
        <v>-0.3056585206</v>
      </c>
      <c r="F148" s="21">
        <f>IFERROR(__xludf.DUMMYFUNCTION("""COMPUTED_VALUE"""),-1.2868349731895312)</f>
        <v>-1.286834973</v>
      </c>
      <c r="G148" s="23">
        <f>IFERROR(__xludf.DUMMYFUNCTION("""COMPUTED_VALUE"""),0.004266981963904495)</f>
        <v>0.004266981964</v>
      </c>
      <c r="H148" s="4"/>
      <c r="I148" s="5" t="s">
        <v>453</v>
      </c>
      <c r="J148" s="5" t="s">
        <v>60</v>
      </c>
      <c r="K148" s="5">
        <v>328.0</v>
      </c>
      <c r="L148" s="5">
        <v>-0.952567</v>
      </c>
      <c r="M148" s="5">
        <v>-0.207982</v>
      </c>
      <c r="N148" s="5">
        <v>-1.160549</v>
      </c>
      <c r="O148" s="5">
        <v>0.081422</v>
      </c>
    </row>
    <row r="149">
      <c r="A149" s="12" t="str">
        <f>IFERROR(__xludf.DUMMYFUNCTION("""COMPUTED_VALUE"""),"Can Ogut")</f>
        <v>Can Ogut</v>
      </c>
      <c r="B149" s="13" t="str">
        <f>IFERROR(__xludf.DUMMYFUNCTION("""COMPUTED_VALUE"""),"GAZ")</f>
        <v>GAZ</v>
      </c>
      <c r="C149" s="14">
        <f>IFERROR(__xludf.DUMMYFUNCTION("""COMPUTED_VALUE"""),582.2)</f>
        <v>582.2</v>
      </c>
      <c r="D149" s="15">
        <f>IFERROR(__xludf.DUMMYFUNCTION("""COMPUTED_VALUE"""),-0.16224701204473013)</f>
        <v>-0.162247012</v>
      </c>
      <c r="E149" s="15">
        <f>IFERROR(__xludf.DUMMYFUNCTION("""COMPUTED_VALUE"""),-1.152282974228192)</f>
        <v>-1.152282974</v>
      </c>
      <c r="F149" s="15">
        <f>IFERROR(__xludf.DUMMYFUNCTION("""COMPUTED_VALUE"""),-1.314529986272922)</f>
        <v>-1.314529986</v>
      </c>
      <c r="G149" s="17">
        <f>IFERROR(__xludf.DUMMYFUNCTION("""COMPUTED_VALUE"""),0.11992698913620073)</f>
        <v>0.1199269891</v>
      </c>
      <c r="H149" s="4"/>
      <c r="I149" s="5" t="s">
        <v>2025</v>
      </c>
      <c r="J149" s="5" t="s">
        <v>1900</v>
      </c>
      <c r="K149" s="5">
        <v>161.0</v>
      </c>
      <c r="L149" s="5">
        <v>-1.458081</v>
      </c>
      <c r="M149" s="5">
        <v>0.279231</v>
      </c>
      <c r="N149" s="5">
        <v>-1.17885</v>
      </c>
      <c r="O149" s="5">
        <v>0.043422</v>
      </c>
    </row>
    <row r="150">
      <c r="A150" s="18" t="str">
        <f>IFERROR(__xludf.DUMMYFUNCTION("""COMPUTED_VALUE"""),"Rakeem Christmas")</f>
        <v>Rakeem Christmas</v>
      </c>
      <c r="B150" s="19" t="str">
        <f>IFERROR(__xludf.DUMMYFUNCTION("""COMPUTED_VALUE"""),"GAL")</f>
        <v>GAL</v>
      </c>
      <c r="C150" s="20">
        <f>IFERROR(__xludf.DUMMYFUNCTION("""COMPUTED_VALUE"""),98.5)</f>
        <v>98.5</v>
      </c>
      <c r="D150" s="21">
        <f>IFERROR(__xludf.DUMMYFUNCTION("""COMPUTED_VALUE"""),-1.3216172814963048)</f>
        <v>-1.321617281</v>
      </c>
      <c r="E150" s="21">
        <f>IFERROR(__xludf.DUMMYFUNCTION("""COMPUTED_VALUE"""),0.001205462215389641)</f>
        <v>0.001205462215</v>
      </c>
      <c r="F150" s="21">
        <f>IFERROR(__xludf.DUMMYFUNCTION("""COMPUTED_VALUE"""),-1.3204118192809151)</f>
        <v>-1.320411819</v>
      </c>
      <c r="G150" s="23">
        <f>IFERROR(__xludf.DUMMYFUNCTION("""COMPUTED_VALUE"""),0.020557578329465108)</f>
        <v>0.02055757833</v>
      </c>
      <c r="H150" s="4"/>
      <c r="I150" s="5" t="s">
        <v>2026</v>
      </c>
      <c r="J150" s="5" t="s">
        <v>1912</v>
      </c>
      <c r="K150" s="5">
        <v>15.0</v>
      </c>
      <c r="L150" s="5">
        <v>-0.730034</v>
      </c>
      <c r="M150" s="5">
        <v>-0.498293</v>
      </c>
      <c r="N150" s="5">
        <v>-1.228327</v>
      </c>
      <c r="O150" s="5">
        <v>0.00342</v>
      </c>
    </row>
    <row r="151">
      <c r="A151" s="12" t="str">
        <f>IFERROR(__xludf.DUMMYFUNCTION("""COMPUTED_VALUE"""),"Jaka Klobucar")</f>
        <v>Jaka Klobucar</v>
      </c>
      <c r="B151" s="13" t="str">
        <f>IFERROR(__xludf.DUMMYFUNCTION("""COMPUTED_VALUE"""),"IBB")</f>
        <v>IBB</v>
      </c>
      <c r="C151" s="14">
        <f>IFERROR(__xludf.DUMMYFUNCTION("""COMPUTED_VALUE"""),809.6)</f>
        <v>809.6</v>
      </c>
      <c r="D151" s="15">
        <f>IFERROR(__xludf.DUMMYFUNCTION("""COMPUTED_VALUE"""),-2.3397347986068775)</f>
        <v>-2.339734799</v>
      </c>
      <c r="E151" s="15">
        <f>IFERROR(__xludf.DUMMYFUNCTION("""COMPUTED_VALUE"""),1.0116191063427016)</f>
        <v>1.011619106</v>
      </c>
      <c r="F151" s="15">
        <f>IFERROR(__xludf.DUMMYFUNCTION("""COMPUTED_VALUE"""),-1.328115692264176)</f>
        <v>-1.328115692</v>
      </c>
      <c r="G151" s="17">
        <f>IFERROR(__xludf.DUMMYFUNCTION("""COMPUTED_VALUE"""),0.16699296350394652)</f>
        <v>0.1669929635</v>
      </c>
      <c r="H151" s="4"/>
      <c r="I151" s="5" t="s">
        <v>2027</v>
      </c>
      <c r="J151" s="5" t="s">
        <v>1926</v>
      </c>
      <c r="K151" s="5">
        <v>964.0</v>
      </c>
      <c r="L151" s="5">
        <v>0.778036</v>
      </c>
      <c r="M151" s="5">
        <v>-2.007471</v>
      </c>
      <c r="N151" s="5">
        <v>-1.229435</v>
      </c>
      <c r="O151" s="5">
        <v>0.227926</v>
      </c>
    </row>
    <row r="152">
      <c r="A152" s="18" t="str">
        <f>IFERROR(__xludf.DUMMYFUNCTION("""COMPUTED_VALUE"""),"Marin Maric")</f>
        <v>Marin Maric</v>
      </c>
      <c r="B152" s="19" t="str">
        <f>IFERROR(__xludf.DUMMYFUNCTION("""COMPUTED_VALUE"""),"DEM")</f>
        <v>DEM</v>
      </c>
      <c r="C152" s="20">
        <f>IFERROR(__xludf.DUMMYFUNCTION("""COMPUTED_VALUE"""),20.2)</f>
        <v>20.2</v>
      </c>
      <c r="D152" s="21">
        <f>IFERROR(__xludf.DUMMYFUNCTION("""COMPUTED_VALUE"""),-0.953650287975251)</f>
        <v>-0.953650288</v>
      </c>
      <c r="E152" s="21">
        <f>IFERROR(__xludf.DUMMYFUNCTION("""COMPUTED_VALUE"""),-0.40944905618016636)</f>
        <v>-0.4094490562</v>
      </c>
      <c r="F152" s="21">
        <f>IFERROR(__xludf.DUMMYFUNCTION("""COMPUTED_VALUE"""),-1.3630993441554173)</f>
        <v>-1.363099344</v>
      </c>
      <c r="G152" s="23">
        <f>IFERROR(__xludf.DUMMYFUNCTION("""COMPUTED_VALUE"""),0.003988856939249867)</f>
        <v>0.003988856939</v>
      </c>
      <c r="H152" s="4"/>
      <c r="I152" s="5" t="s">
        <v>2028</v>
      </c>
      <c r="J152" s="5" t="s">
        <v>1592</v>
      </c>
      <c r="K152" s="5">
        <v>28.0</v>
      </c>
      <c r="L152" s="5">
        <v>-0.697643</v>
      </c>
      <c r="M152" s="5">
        <v>-0.55142</v>
      </c>
      <c r="N152" s="5">
        <v>-1.249063</v>
      </c>
      <c r="O152" s="5">
        <v>0.00648</v>
      </c>
    </row>
    <row r="153">
      <c r="A153" s="12" t="str">
        <f>IFERROR(__xludf.DUMMYFUNCTION("""COMPUTED_VALUE"""),"Damir Markota")</f>
        <v>Damir Markota</v>
      </c>
      <c r="B153" s="13" t="str">
        <f>IFERROR(__xludf.DUMMYFUNCTION("""COMPUTED_VALUE"""),"UUB")</f>
        <v>UUB</v>
      </c>
      <c r="C153" s="14">
        <f>IFERROR(__xludf.DUMMYFUNCTION("""COMPUTED_VALUE"""),257.2)</f>
        <v>257.2</v>
      </c>
      <c r="D153" s="15">
        <f>IFERROR(__xludf.DUMMYFUNCTION("""COMPUTED_VALUE"""),-0.5670258442455504)</f>
        <v>-0.5670258442</v>
      </c>
      <c r="E153" s="15">
        <f>IFERROR(__xludf.DUMMYFUNCTION("""COMPUTED_VALUE"""),-0.8581948055893344)</f>
        <v>-0.8581948056</v>
      </c>
      <c r="F153" s="15">
        <f>IFERROR(__xludf.DUMMYFUNCTION("""COMPUTED_VALUE"""),-1.4252206498348847)</f>
        <v>-1.42522065</v>
      </c>
      <c r="G153" s="17">
        <f>IFERROR(__xludf.DUMMYFUNCTION("""COMPUTED_VALUE"""),0.04489452731728807)</f>
        <v>0.04489452732</v>
      </c>
      <c r="H153" s="4"/>
      <c r="I153" s="5" t="s">
        <v>2029</v>
      </c>
      <c r="J153" s="5" t="s">
        <v>1915</v>
      </c>
      <c r="K153" s="5">
        <v>20.0</v>
      </c>
      <c r="L153" s="5">
        <v>-0.982009</v>
      </c>
      <c r="M153" s="5">
        <v>-0.30478</v>
      </c>
      <c r="N153" s="5">
        <v>-1.286788</v>
      </c>
      <c r="O153" s="5">
        <v>0.004267</v>
      </c>
    </row>
    <row r="154">
      <c r="A154" s="18" t="str">
        <f>IFERROR(__xludf.DUMMYFUNCTION("""COMPUTED_VALUE"""),"Maxim Mutaf")</f>
        <v>Maxim Mutaf</v>
      </c>
      <c r="B154" s="19" t="str">
        <f>IFERROR(__xludf.DUMMYFUNCTION("""COMPUTED_VALUE"""),"BES")</f>
        <v>BES</v>
      </c>
      <c r="C154" s="20">
        <f>IFERROR(__xludf.DUMMYFUNCTION("""COMPUTED_VALUE"""),164.8)</f>
        <v>164.8</v>
      </c>
      <c r="D154" s="21">
        <f>IFERROR(__xludf.DUMMYFUNCTION("""COMPUTED_VALUE"""),-1.6708208176906483)</f>
        <v>-1.670820818</v>
      </c>
      <c r="E154" s="21">
        <f>IFERROR(__xludf.DUMMYFUNCTION("""COMPUTED_VALUE"""),0.21593575838095935)</f>
        <v>0.2159357584</v>
      </c>
      <c r="F154" s="21">
        <f>IFERROR(__xludf.DUMMYFUNCTION("""COMPUTED_VALUE"""),-1.454885059309689)</f>
        <v>-1.454885059</v>
      </c>
      <c r="G154" s="23">
        <f>IFERROR(__xludf.DUMMYFUNCTION("""COMPUTED_VALUE"""),0.029670552853487044)</f>
        <v>0.02967055285</v>
      </c>
      <c r="H154" s="4"/>
      <c r="I154" s="5" t="s">
        <v>2030</v>
      </c>
      <c r="J154" s="5" t="s">
        <v>1912</v>
      </c>
      <c r="K154" s="5">
        <v>582.0</v>
      </c>
      <c r="L154" s="5">
        <v>-0.175036</v>
      </c>
      <c r="M154" s="5">
        <v>-1.138895</v>
      </c>
      <c r="N154" s="5">
        <v>-1.313931</v>
      </c>
      <c r="O154" s="5">
        <v>0.120032</v>
      </c>
    </row>
    <row r="155">
      <c r="A155" s="12" t="str">
        <f>IFERROR(__xludf.DUMMYFUNCTION("""COMPUTED_VALUE"""),"Kaan Konak")</f>
        <v>Kaan Konak</v>
      </c>
      <c r="B155" s="13" t="str">
        <f>IFERROR(__xludf.DUMMYFUNCTION("""COMPUTED_VALUE"""),"TRA")</f>
        <v>TRA</v>
      </c>
      <c r="C155" s="14">
        <f>IFERROR(__xludf.DUMMYFUNCTION("""COMPUTED_VALUE"""),77.6)</f>
        <v>77.6</v>
      </c>
      <c r="D155" s="15">
        <f>IFERROR(__xludf.DUMMYFUNCTION("""COMPUTED_VALUE"""),-1.0836219750405445)</f>
        <v>-1.083621975</v>
      </c>
      <c r="E155" s="15">
        <f>IFERROR(__xludf.DUMMYFUNCTION("""COMPUTED_VALUE"""),-0.406179111143085)</f>
        <v>-0.4061791111</v>
      </c>
      <c r="F155" s="15">
        <f>IFERROR(__xludf.DUMMYFUNCTION("""COMPUTED_VALUE"""),-1.4898010861836295)</f>
        <v>-1.489801086</v>
      </c>
      <c r="G155" s="17">
        <f>IFERROR(__xludf.DUMMYFUNCTION("""COMPUTED_VALUE"""),0.011994593906927977)</f>
        <v>0.01199459391</v>
      </c>
      <c r="H155" s="4"/>
      <c r="I155" s="5" t="s">
        <v>2031</v>
      </c>
      <c r="J155" s="5" t="s">
        <v>1887</v>
      </c>
      <c r="K155" s="5">
        <v>176.0</v>
      </c>
      <c r="L155" s="5">
        <v>-1.086805</v>
      </c>
      <c r="M155" s="5">
        <v>-0.230323</v>
      </c>
      <c r="N155" s="5">
        <v>-1.317129</v>
      </c>
      <c r="O155" s="5">
        <v>0.036326</v>
      </c>
    </row>
    <row r="156">
      <c r="A156" s="18" t="str">
        <f>IFERROR(__xludf.DUMMYFUNCTION("""COMPUTED_VALUE"""),"Erden Eryuz")</f>
        <v>Erden Eryuz</v>
      </c>
      <c r="B156" s="19" t="str">
        <f>IFERROR(__xludf.DUMMYFUNCTION("""COMPUTED_VALUE"""),"GAZ")</f>
        <v>GAZ</v>
      </c>
      <c r="C156" s="20">
        <f>IFERROR(__xludf.DUMMYFUNCTION("""COMPUTED_VALUE"""),22.8)</f>
        <v>22.8</v>
      </c>
      <c r="D156" s="21">
        <f>IFERROR(__xludf.DUMMYFUNCTION("""COMPUTED_VALUE"""),-1.339175165063088)</f>
        <v>-1.339175165</v>
      </c>
      <c r="E156" s="21">
        <f>IFERROR(__xludf.DUMMYFUNCTION("""COMPUTED_VALUE"""),-0.1521720964421216)</f>
        <v>-0.1521720964</v>
      </c>
      <c r="F156" s="21">
        <f>IFERROR(__xludf.DUMMYFUNCTION("""COMPUTED_VALUE"""),-1.4913472615052097)</f>
        <v>-1.491347262</v>
      </c>
      <c r="G156" s="23">
        <f>IFERROR(__xludf.DUMMYFUNCTION("""COMPUTED_VALUE"""),0.0034850779981993197)</f>
        <v>0.003485077998</v>
      </c>
      <c r="H156" s="4"/>
      <c r="I156" s="5" t="s">
        <v>368</v>
      </c>
      <c r="J156" s="5" t="s">
        <v>1592</v>
      </c>
      <c r="K156" s="5">
        <v>99.0</v>
      </c>
      <c r="L156" s="5">
        <v>-1.326292</v>
      </c>
      <c r="M156" s="5">
        <v>0.005685</v>
      </c>
      <c r="N156" s="5">
        <v>-1.320607</v>
      </c>
      <c r="O156" s="5">
        <v>0.020552</v>
      </c>
    </row>
    <row r="157">
      <c r="A157" s="12" t="str">
        <f>IFERROR(__xludf.DUMMYFUNCTION("""COMPUTED_VALUE"""),"Kerem Gonlum")</f>
        <v>Kerem Gonlum</v>
      </c>
      <c r="B157" s="13" t="str">
        <f>IFERROR(__xludf.DUMMYFUNCTION("""COMPUTED_VALUE"""),"SAK")</f>
        <v>SAK</v>
      </c>
      <c r="C157" s="14">
        <f>IFERROR(__xludf.DUMMYFUNCTION("""COMPUTED_VALUE"""),25.5)</f>
        <v>25.5</v>
      </c>
      <c r="D157" s="15">
        <f>IFERROR(__xludf.DUMMYFUNCTION("""COMPUTED_VALUE"""),-1.5829933404538277)</f>
        <v>-1.58299334</v>
      </c>
      <c r="E157" s="15">
        <f>IFERROR(__xludf.DUMMYFUNCTION("""COMPUTED_VALUE"""),0.04319488861955145)</f>
        <v>0.04319488862</v>
      </c>
      <c r="F157" s="15">
        <f>IFERROR(__xludf.DUMMYFUNCTION("""COMPUTED_VALUE"""),-1.5397984518342762)</f>
        <v>-1.539798452</v>
      </c>
      <c r="G157" s="17">
        <f>IFERROR(__xludf.DUMMYFUNCTION("""COMPUTED_VALUE"""),0.0035789607727919745)</f>
        <v>0.003578960773</v>
      </c>
      <c r="H157" s="4"/>
      <c r="I157" s="5" t="s">
        <v>2032</v>
      </c>
      <c r="J157" s="5" t="s">
        <v>1926</v>
      </c>
      <c r="K157" s="5">
        <v>810.0</v>
      </c>
      <c r="L157" s="5">
        <v>-2.353415</v>
      </c>
      <c r="M157" s="5">
        <v>1.025181</v>
      </c>
      <c r="N157" s="5">
        <v>-1.328234</v>
      </c>
      <c r="O157" s="5">
        <v>0.166963</v>
      </c>
    </row>
    <row r="158">
      <c r="A158" s="18" t="str">
        <f>IFERROR(__xludf.DUMMYFUNCTION("""COMPUTED_VALUE"""),"Erkan Veyseloglu")</f>
        <v>Erkan Veyseloglu</v>
      </c>
      <c r="B158" s="19" t="str">
        <f>IFERROR(__xludf.DUMMYFUNCTION("""COMPUTED_VALUE"""),"BES")</f>
        <v>BES</v>
      </c>
      <c r="C158" s="20">
        <f>IFERROR(__xludf.DUMMYFUNCTION("""COMPUTED_VALUE"""),296.9)</f>
        <v>296.9</v>
      </c>
      <c r="D158" s="21">
        <f>IFERROR(__xludf.DUMMYFUNCTION("""COMPUTED_VALUE"""),-1.9345198019900125)</f>
        <v>-1.934519802</v>
      </c>
      <c r="E158" s="21">
        <f>IFERROR(__xludf.DUMMYFUNCTION("""COMPUTED_VALUE"""),0.3704875731586974)</f>
        <v>0.3704875732</v>
      </c>
      <c r="F158" s="21">
        <f>IFERROR(__xludf.DUMMYFUNCTION("""COMPUTED_VALUE"""),-1.564032228831315)</f>
        <v>-1.564032229</v>
      </c>
      <c r="G158" s="23">
        <f>IFERROR(__xludf.DUMMYFUNCTION("""COMPUTED_VALUE"""),0.04275086719086798)</f>
        <v>0.04275086719</v>
      </c>
      <c r="H158" s="4"/>
      <c r="I158" s="5" t="s">
        <v>2033</v>
      </c>
      <c r="J158" s="5" t="s">
        <v>1942</v>
      </c>
      <c r="K158" s="5">
        <v>20.0</v>
      </c>
      <c r="L158" s="5">
        <v>-0.954623</v>
      </c>
      <c r="M158" s="5">
        <v>-0.408527</v>
      </c>
      <c r="N158" s="5">
        <v>-1.36315</v>
      </c>
      <c r="O158" s="5">
        <v>0.003989</v>
      </c>
    </row>
    <row r="159">
      <c r="A159" s="12" t="str">
        <f>IFERROR(__xludf.DUMMYFUNCTION("""COMPUTED_VALUE"""),"Sarunas Vasiliauskas")</f>
        <v>Sarunas Vasiliauskas</v>
      </c>
      <c r="B159" s="13" t="str">
        <f>IFERROR(__xludf.DUMMYFUNCTION("""COMPUTED_VALUE"""),"TRA")</f>
        <v>TRA</v>
      </c>
      <c r="C159" s="14">
        <f>IFERROR(__xludf.DUMMYFUNCTION("""COMPUTED_VALUE"""),827.7)</f>
        <v>827.7</v>
      </c>
      <c r="D159" s="15">
        <f>IFERROR(__xludf.DUMMYFUNCTION("""COMPUTED_VALUE"""),3.4813319835535856)</f>
        <v>3.481331984</v>
      </c>
      <c r="E159" s="15">
        <f>IFERROR(__xludf.DUMMYFUNCTION("""COMPUTED_VALUE"""),-5.063376959180803)</f>
        <v>-5.063376959</v>
      </c>
      <c r="F159" s="15">
        <f>IFERROR(__xludf.DUMMYFUNCTION("""COMPUTED_VALUE"""),-1.5820449756272175)</f>
        <v>-1.582044976</v>
      </c>
      <c r="G159" s="17">
        <f>IFERROR(__xludf.DUMMYFUNCTION("""COMPUTED_VALUE"""),0.1048061586597945)</f>
        <v>0.1048061587</v>
      </c>
      <c r="H159" s="4"/>
      <c r="I159" s="5" t="s">
        <v>1021</v>
      </c>
      <c r="J159" s="5" t="s">
        <v>1953</v>
      </c>
      <c r="K159" s="5">
        <v>257.0</v>
      </c>
      <c r="L159" s="5">
        <v>-0.578336</v>
      </c>
      <c r="M159" s="5">
        <v>-0.846642</v>
      </c>
      <c r="N159" s="5">
        <v>-1.424979</v>
      </c>
      <c r="O159" s="5">
        <v>0.044913</v>
      </c>
    </row>
    <row r="160">
      <c r="A160" s="18" t="str">
        <f>IFERROR(__xludf.DUMMYFUNCTION("""COMPUTED_VALUE"""),"Perrin Buford")</f>
        <v>Perrin Buford</v>
      </c>
      <c r="B160" s="19" t="str">
        <f>IFERROR(__xludf.DUMMYFUNCTION("""COMPUTED_VALUE"""),"YES")</f>
        <v>YES</v>
      </c>
      <c r="C160" s="20">
        <f>IFERROR(__xludf.DUMMYFUNCTION("""COMPUTED_VALUE"""),424.6)</f>
        <v>424.6</v>
      </c>
      <c r="D160" s="21">
        <f>IFERROR(__xludf.DUMMYFUNCTION("""COMPUTED_VALUE"""),-1.987512066652023)</f>
        <v>-1.987512067</v>
      </c>
      <c r="E160" s="21">
        <f>IFERROR(__xludf.DUMMYFUNCTION("""COMPUTED_VALUE"""),0.39701926296515766)</f>
        <v>0.397019263</v>
      </c>
      <c r="F160" s="21">
        <f>IFERROR(__xludf.DUMMYFUNCTION("""COMPUTED_VALUE"""),-1.5904928036868653)</f>
        <v>-1.590492804</v>
      </c>
      <c r="G160" s="23">
        <f>IFERROR(__xludf.DUMMYFUNCTION("""COMPUTED_VALUE"""),0.05342794392436523)</f>
        <v>0.05342794392</v>
      </c>
      <c r="H160" s="4"/>
      <c r="I160" s="5" t="s">
        <v>2034</v>
      </c>
      <c r="J160" s="5" t="s">
        <v>1894</v>
      </c>
      <c r="K160" s="5">
        <v>536.0</v>
      </c>
      <c r="L160" s="5">
        <v>-2.379227</v>
      </c>
      <c r="M160" s="5">
        <v>0.926334</v>
      </c>
      <c r="N160" s="5">
        <v>-1.452893</v>
      </c>
      <c r="O160" s="5">
        <v>0.088017</v>
      </c>
    </row>
    <row r="161">
      <c r="A161" s="12" t="str">
        <f>IFERROR(__xludf.DUMMYFUNCTION("""COMPUTED_VALUE"""),"E.J. Rowland")</f>
        <v>E.J. Rowland</v>
      </c>
      <c r="B161" s="13" t="str">
        <f>IFERROR(__xludf.DUMMYFUNCTION("""COMPUTED_VALUE"""),"ESK")</f>
        <v>ESK</v>
      </c>
      <c r="C161" s="14">
        <f>IFERROR(__xludf.DUMMYFUNCTION("""COMPUTED_VALUE"""),536.0)</f>
        <v>536</v>
      </c>
      <c r="D161" s="15">
        <f>IFERROR(__xludf.DUMMYFUNCTION("""COMPUTED_VALUE"""),-2.37211957293402)</f>
        <v>-2.372119573</v>
      </c>
      <c r="E161" s="15">
        <f>IFERROR(__xludf.DUMMYFUNCTION("""COMPUTED_VALUE"""),0.7554270998924695)</f>
        <v>0.7554270999</v>
      </c>
      <c r="F161" s="15">
        <f>IFERROR(__xludf.DUMMYFUNCTION("""COMPUTED_VALUE"""),-1.6166924730415504)</f>
        <v>-1.616692473</v>
      </c>
      <c r="G161" s="17">
        <f>IFERROR(__xludf.DUMMYFUNCTION("""COMPUTED_VALUE"""),0.06338037795250376)</f>
        <v>0.06338037795</v>
      </c>
      <c r="H161" s="4"/>
      <c r="I161" s="5" t="s">
        <v>2035</v>
      </c>
      <c r="J161" s="5" t="s">
        <v>1923</v>
      </c>
      <c r="K161" s="5">
        <v>78.0</v>
      </c>
      <c r="L161" s="5">
        <v>-1.086788</v>
      </c>
      <c r="M161" s="5">
        <v>-0.402738</v>
      </c>
      <c r="N161" s="5">
        <v>-1.489525</v>
      </c>
      <c r="O161" s="5">
        <v>0.012001</v>
      </c>
    </row>
    <row r="162">
      <c r="A162" s="18" t="str">
        <f>IFERROR(__xludf.DUMMYFUNCTION("""COMPUTED_VALUE"""),"Darrin Dorsey")</f>
        <v>Darrin Dorsey</v>
      </c>
      <c r="B162" s="19" t="str">
        <f>IFERROR(__xludf.DUMMYFUNCTION("""COMPUTED_VALUE"""),"UUB")</f>
        <v>UUB</v>
      </c>
      <c r="C162" s="20">
        <f>IFERROR(__xludf.DUMMYFUNCTION("""COMPUTED_VALUE"""),63.6)</f>
        <v>63.6</v>
      </c>
      <c r="D162" s="21">
        <f>IFERROR(__xludf.DUMMYFUNCTION("""COMPUTED_VALUE"""),-1.5823177723172803)</f>
        <v>-1.582317772</v>
      </c>
      <c r="E162" s="21">
        <f>IFERROR(__xludf.DUMMYFUNCTION("""COMPUTED_VALUE"""),-0.15771488259690503)</f>
        <v>-0.1577148826</v>
      </c>
      <c r="F162" s="21">
        <f>IFERROR(__xludf.DUMMYFUNCTION("""COMPUTED_VALUE"""),-1.7400326549141854)</f>
        <v>-1.740032655</v>
      </c>
      <c r="G162" s="23">
        <f>IFERROR(__xludf.DUMMYFUNCTION("""COMPUTED_VALUE"""),0.005021080644017011)</f>
        <v>0.005021080644</v>
      </c>
      <c r="H162" s="4"/>
      <c r="I162" s="5" t="s">
        <v>2036</v>
      </c>
      <c r="J162" s="5" t="s">
        <v>1912</v>
      </c>
      <c r="K162" s="5">
        <v>23.0</v>
      </c>
      <c r="L162" s="5">
        <v>-1.340117</v>
      </c>
      <c r="M162" s="5">
        <v>-0.15116</v>
      </c>
      <c r="N162" s="5">
        <v>-1.491277</v>
      </c>
      <c r="O162" s="5">
        <v>0.003486</v>
      </c>
    </row>
    <row r="163">
      <c r="A163" s="12" t="str">
        <f>IFERROR(__xludf.DUMMYFUNCTION("""COMPUTED_VALUE"""),"Ege Arar")</f>
        <v>Ege Arar</v>
      </c>
      <c r="B163" s="13" t="str">
        <f>IFERROR(__xludf.DUMMYFUNCTION("""COMPUTED_VALUE"""),"GAL")</f>
        <v>GAL</v>
      </c>
      <c r="C163" s="14">
        <f>IFERROR(__xludf.DUMMYFUNCTION("""COMPUTED_VALUE"""),447.8)</f>
        <v>447.8</v>
      </c>
      <c r="D163" s="15">
        <f>IFERROR(__xludf.DUMMYFUNCTION("""COMPUTED_VALUE"""),-4.949073385936135)</f>
        <v>-4.949073386</v>
      </c>
      <c r="E163" s="15">
        <f>IFERROR(__xludf.DUMMYFUNCTION("""COMPUTED_VALUE"""),3.206373662424377)</f>
        <v>3.206373662</v>
      </c>
      <c r="F163" s="15">
        <f>IFERROR(__xludf.DUMMYFUNCTION("""COMPUTED_VALUE"""),-1.742699723511758)</f>
        <v>-1.742699724</v>
      </c>
      <c r="G163" s="17">
        <f>IFERROR(__xludf.DUMMYFUNCTION("""COMPUTED_VALUE"""),0.03538459655379772)</f>
        <v>0.03538459655</v>
      </c>
      <c r="H163" s="4"/>
      <c r="I163" s="5" t="s">
        <v>2037</v>
      </c>
      <c r="J163" s="5" t="s">
        <v>1900</v>
      </c>
      <c r="K163" s="5">
        <v>527.0</v>
      </c>
      <c r="L163" s="5">
        <v>-2.495355</v>
      </c>
      <c r="M163" s="5">
        <v>0.990559</v>
      </c>
      <c r="N163" s="5">
        <v>-1.504796</v>
      </c>
      <c r="O163" s="5">
        <v>0.085693</v>
      </c>
    </row>
    <row r="164">
      <c r="A164" s="18" t="str">
        <f>IFERROR(__xludf.DUMMYFUNCTION("""COMPUTED_VALUE"""),"Scott Wood")</f>
        <v>Scott Wood</v>
      </c>
      <c r="B164" s="19" t="str">
        <f>IFERROR(__xludf.DUMMYFUNCTION("""COMPUTED_VALUE"""),"PIN")</f>
        <v>PIN</v>
      </c>
      <c r="C164" s="20">
        <f>IFERROR(__xludf.DUMMYFUNCTION("""COMPUTED_VALUE"""),708.9)</f>
        <v>708.9</v>
      </c>
      <c r="D164" s="21">
        <f>IFERROR(__xludf.DUMMYFUNCTION("""COMPUTED_VALUE"""),0.813428194273484)</f>
        <v>0.8134281943</v>
      </c>
      <c r="E164" s="21">
        <f>IFERROR(__xludf.DUMMYFUNCTION("""COMPUTED_VALUE"""),-2.571634181552122)</f>
        <v>-2.571634182</v>
      </c>
      <c r="F164" s="21">
        <f>IFERROR(__xludf.DUMMYFUNCTION("""COMPUTED_VALUE"""),-1.7582059872786384)</f>
        <v>-1.758205987</v>
      </c>
      <c r="G164" s="23">
        <f>IFERROR(__xludf.DUMMYFUNCTION("""COMPUTED_VALUE"""),0.05205890902500979)</f>
        <v>0.05205890903</v>
      </c>
      <c r="H164" s="4"/>
      <c r="I164" s="5" t="s">
        <v>2038</v>
      </c>
      <c r="J164" s="5" t="s">
        <v>1874</v>
      </c>
      <c r="K164" s="24">
        <v>26.0</v>
      </c>
      <c r="L164" s="5">
        <v>-1.569223</v>
      </c>
      <c r="M164" s="5">
        <v>0.044063</v>
      </c>
      <c r="N164" s="5">
        <v>-1.52516</v>
      </c>
      <c r="O164" s="5">
        <v>0.003693</v>
      </c>
    </row>
    <row r="165">
      <c r="A165" s="12" t="str">
        <f>IFERROR(__xludf.DUMMYFUNCTION("""COMPUTED_VALUE"""),"Gian Clavell")</f>
        <v>Gian Clavell</v>
      </c>
      <c r="B165" s="13" t="str">
        <f>IFERROR(__xludf.DUMMYFUNCTION("""COMPUTED_VALUE"""),"SAK")</f>
        <v>SAK</v>
      </c>
      <c r="C165" s="14">
        <f>IFERROR(__xludf.DUMMYFUNCTION("""COMPUTED_VALUE"""),405.0)</f>
        <v>405</v>
      </c>
      <c r="D165" s="15">
        <f>IFERROR(__xludf.DUMMYFUNCTION("""COMPUTED_VALUE"""),-0.48669525995856977)</f>
        <v>-0.48669526</v>
      </c>
      <c r="E165" s="15">
        <f>IFERROR(__xludf.DUMMYFUNCTION("""COMPUTED_VALUE"""),-1.2768484354110319)</f>
        <v>-1.276848435</v>
      </c>
      <c r="F165" s="15">
        <f>IFERROR(__xludf.DUMMYFUNCTION("""COMPUTED_VALUE"""),-1.7635436953696018)</f>
        <v>-1.763543695</v>
      </c>
      <c r="G165" s="17">
        <f>IFERROR(__xludf.DUMMYFUNCTION("""COMPUTED_VALUE"""),0.02920616966933473)</f>
        <v>0.02920616967</v>
      </c>
      <c r="H165" s="4"/>
      <c r="I165" s="5" t="s">
        <v>109</v>
      </c>
      <c r="J165" s="5" t="s">
        <v>1946</v>
      </c>
      <c r="K165" s="5">
        <v>425.0</v>
      </c>
      <c r="L165" s="5">
        <v>-1.995347</v>
      </c>
      <c r="M165" s="5">
        <v>0.421422</v>
      </c>
      <c r="N165" s="5">
        <v>-1.573925</v>
      </c>
      <c r="O165" s="5">
        <v>0.05559</v>
      </c>
    </row>
    <row r="166">
      <c r="A166" s="18" t="str">
        <f>IFERROR(__xludf.DUMMYFUNCTION("""COMPUTED_VALUE"""),"Bekir Sabri Karli")</f>
        <v>Bekir Sabri Karli</v>
      </c>
      <c r="B166" s="19" t="str">
        <f>IFERROR(__xludf.DUMMYFUNCTION("""COMPUTED_VALUE"""),"IBB")</f>
        <v>IBB</v>
      </c>
      <c r="C166" s="20">
        <f>IFERROR(__xludf.DUMMYFUNCTION("""COMPUTED_VALUE"""),47.5)</f>
        <v>47.5</v>
      </c>
      <c r="D166" s="21">
        <f>IFERROR(__xludf.DUMMYFUNCTION("""COMPUTED_VALUE"""),-1.26646736968895)</f>
        <v>-1.26646737</v>
      </c>
      <c r="E166" s="21">
        <f>IFERROR(__xludf.DUMMYFUNCTION("""COMPUTED_VALUE"""),-0.504494915782228)</f>
        <v>-0.5044949158</v>
      </c>
      <c r="F166" s="21">
        <f>IFERROR(__xludf.DUMMYFUNCTION("""COMPUTED_VALUE"""),-1.770962285471178)</f>
        <v>-1.770962285</v>
      </c>
      <c r="G166" s="23">
        <f>IFERROR(__xludf.DUMMYFUNCTION("""COMPUTED_VALUE"""),0.003339902473444526)</f>
        <v>0.003339902473</v>
      </c>
      <c r="H166" s="4"/>
      <c r="I166" s="5" t="s">
        <v>2039</v>
      </c>
      <c r="J166" s="5" t="s">
        <v>1923</v>
      </c>
      <c r="K166" s="5">
        <v>828.0</v>
      </c>
      <c r="L166" s="5">
        <v>3.467757</v>
      </c>
      <c r="M166" s="5">
        <v>-5.049834</v>
      </c>
      <c r="N166" s="5">
        <v>-1.582077</v>
      </c>
      <c r="O166" s="5">
        <v>0.104798</v>
      </c>
    </row>
    <row r="167">
      <c r="A167" s="12" t="str">
        <f>IFERROR(__xludf.DUMMYFUNCTION("""COMPUTED_VALUE"""),"Mehmet Erim Ozgul")</f>
        <v>Mehmet Erim Ozgul</v>
      </c>
      <c r="B167" s="13" t="str">
        <f>IFERROR(__xludf.DUMMYFUNCTION("""COMPUTED_VALUE"""),"UUB")</f>
        <v>UUB</v>
      </c>
      <c r="C167" s="14">
        <f>IFERROR(__xludf.DUMMYFUNCTION("""COMPUTED_VALUE"""),21.4)</f>
        <v>21.4</v>
      </c>
      <c r="D167" s="15">
        <f>IFERROR(__xludf.DUMMYFUNCTION("""COMPUTED_VALUE"""),-1.1384700280065814)</f>
        <v>-1.138470028</v>
      </c>
      <c r="E167" s="15">
        <f>IFERROR(__xludf.DUMMYFUNCTION("""COMPUTED_VALUE"""),-0.6490579939312098)</f>
        <v>-0.6490579939</v>
      </c>
      <c r="F167" s="15">
        <f>IFERROR(__xludf.DUMMYFUNCTION("""COMPUTED_VALUE"""),-1.7875280219377911)</f>
        <v>-1.787528022</v>
      </c>
      <c r="G167" s="17">
        <f>IFERROR(__xludf.DUMMYFUNCTION("""COMPUTED_VALUE"""),0.0013808188798443406)</f>
        <v>0.00138081888</v>
      </c>
      <c r="H167" s="4"/>
      <c r="I167" s="5" t="s">
        <v>2040</v>
      </c>
      <c r="J167" s="5" t="s">
        <v>1887</v>
      </c>
      <c r="K167" s="5">
        <v>32.0</v>
      </c>
      <c r="L167" s="5">
        <v>-1.79076</v>
      </c>
      <c r="M167" s="5">
        <v>0.19469</v>
      </c>
      <c r="N167" s="5">
        <v>-1.59607</v>
      </c>
      <c r="O167" s="5">
        <v>0.003837</v>
      </c>
    </row>
    <row r="168">
      <c r="A168" s="18" t="str">
        <f>IFERROR(__xludf.DUMMYFUNCTION("""COMPUTED_VALUE"""),"Toney Douglas")</f>
        <v>Toney Douglas</v>
      </c>
      <c r="B168" s="19" t="str">
        <f>IFERROR(__xludf.DUMMYFUNCTION("""COMPUTED_VALUE"""),"EFE")</f>
        <v>EFE</v>
      </c>
      <c r="C168" s="20">
        <f>IFERROR(__xludf.DUMMYFUNCTION("""COMPUTED_VALUE"""),214.9)</f>
        <v>214.9</v>
      </c>
      <c r="D168" s="21">
        <f>IFERROR(__xludf.DUMMYFUNCTION("""COMPUTED_VALUE"""),0.3114486121128527)</f>
        <v>0.3114486121</v>
      </c>
      <c r="E168" s="21">
        <f>IFERROR(__xludf.DUMMYFUNCTION("""COMPUTED_VALUE"""),-2.1274580608788356)</f>
        <v>-2.127458061</v>
      </c>
      <c r="F168" s="21">
        <f>IFERROR(__xludf.DUMMYFUNCTION("""COMPUTED_VALUE"""),-1.816009448765983)</f>
        <v>-1.816009449</v>
      </c>
      <c r="G168" s="23">
        <f>IFERROR(__xludf.DUMMYFUNCTION("""COMPUTED_VALUE"""),0.01170269083728828)</f>
        <v>0.01170269084</v>
      </c>
      <c r="H168" s="4"/>
      <c r="I168" s="5" t="s">
        <v>1614</v>
      </c>
      <c r="J168" s="5" t="s">
        <v>1953</v>
      </c>
      <c r="K168" s="5">
        <v>64.0</v>
      </c>
      <c r="L168" s="5">
        <v>-1.585109</v>
      </c>
      <c r="M168" s="5">
        <v>-0.154859</v>
      </c>
      <c r="N168" s="5">
        <v>-1.739968</v>
      </c>
      <c r="O168" s="5">
        <v>0.005022</v>
      </c>
    </row>
    <row r="169">
      <c r="A169" s="12" t="str">
        <f>IFERROR(__xludf.DUMMYFUNCTION("""COMPUTED_VALUE"""),"Berke Atar")</f>
        <v>Berke Atar</v>
      </c>
      <c r="B169" s="13" t="str">
        <f>IFERROR(__xludf.DUMMYFUNCTION("""COMPUTED_VALUE"""),"BVS")</f>
        <v>BVS</v>
      </c>
      <c r="C169" s="14">
        <f>IFERROR(__xludf.DUMMYFUNCTION("""COMPUTED_VALUE"""),42.1)</f>
        <v>42.1</v>
      </c>
      <c r="D169" s="15">
        <f>IFERROR(__xludf.DUMMYFUNCTION("""COMPUTED_VALUE"""),-2.0780130556563234)</f>
        <v>-2.078013056</v>
      </c>
      <c r="E169" s="15">
        <f>IFERROR(__xludf.DUMMYFUNCTION("""COMPUTED_VALUE"""),0.26183070429416655)</f>
        <v>0.2618307043</v>
      </c>
      <c r="F169" s="15">
        <f>IFERROR(__xludf.DUMMYFUNCTION("""COMPUTED_VALUE"""),-1.8161823513621569)</f>
        <v>-1.816182351</v>
      </c>
      <c r="G169" s="17">
        <f>IFERROR(__xludf.DUMMYFUNCTION("""COMPUTED_VALUE"""),0.002329154311838131)</f>
        <v>0.002329154312</v>
      </c>
      <c r="H169" s="4"/>
      <c r="I169" s="5" t="s">
        <v>2041</v>
      </c>
      <c r="J169" s="5" t="s">
        <v>1592</v>
      </c>
      <c r="K169" s="5">
        <v>448.0</v>
      </c>
      <c r="L169" s="5">
        <v>-4.962379</v>
      </c>
      <c r="M169" s="5">
        <v>3.219852</v>
      </c>
      <c r="N169" s="5">
        <v>-1.742527</v>
      </c>
      <c r="O169" s="5">
        <v>0.035408</v>
      </c>
    </row>
    <row r="170">
      <c r="A170" s="18" t="str">
        <f>IFERROR(__xludf.DUMMYFUNCTION("""COMPUTED_VALUE"""),"Deividas Dulkys")</f>
        <v>Deividas Dulkys</v>
      </c>
      <c r="B170" s="19" t="str">
        <f>IFERROR(__xludf.DUMMYFUNCTION("""COMPUTED_VALUE"""),"IBB")</f>
        <v>IBB</v>
      </c>
      <c r="C170" s="20">
        <f>IFERROR(__xludf.DUMMYFUNCTION("""COMPUTED_VALUE"""),99.1)</f>
        <v>99.1</v>
      </c>
      <c r="D170" s="21">
        <f>IFERROR(__xludf.DUMMYFUNCTION("""COMPUTED_VALUE"""),-1.9708399848105338)</f>
        <v>-1.970839985</v>
      </c>
      <c r="E170" s="21">
        <f>IFERROR(__xludf.DUMMYFUNCTION("""COMPUTED_VALUE"""),0.08124855689485488)</f>
        <v>0.08124855689</v>
      </c>
      <c r="F170" s="21">
        <f>IFERROR(__xludf.DUMMYFUNCTION("""COMPUTED_VALUE"""),-1.889591427915679)</f>
        <v>-1.889591428</v>
      </c>
      <c r="G170" s="23">
        <f>IFERROR(__xludf.DUMMYFUNCTION("""COMPUTED_VALUE"""),0.0033589970471731225)</f>
        <v>0.003358997047</v>
      </c>
      <c r="H170" s="4"/>
      <c r="I170" s="5" t="s">
        <v>2042</v>
      </c>
      <c r="J170" s="5" t="s">
        <v>1915</v>
      </c>
      <c r="K170" s="5">
        <v>709.0</v>
      </c>
      <c r="L170" s="5">
        <v>0.80034</v>
      </c>
      <c r="M170" s="5">
        <v>-2.558178</v>
      </c>
      <c r="N170" s="5">
        <v>-1.757838</v>
      </c>
      <c r="O170" s="5">
        <v>0.052138</v>
      </c>
    </row>
    <row r="171">
      <c r="A171" s="12" t="str">
        <f>IFERROR(__xludf.DUMMYFUNCTION("""COMPUTED_VALUE"""),"Can Korkmaz")</f>
        <v>Can Korkmaz</v>
      </c>
      <c r="B171" s="13" t="str">
        <f>IFERROR(__xludf.DUMMYFUNCTION("""COMPUTED_VALUE"""),"SAK")</f>
        <v>SAK</v>
      </c>
      <c r="C171" s="14">
        <f>IFERROR(__xludf.DUMMYFUNCTION("""COMPUTED_VALUE"""),595.3)</f>
        <v>595.3</v>
      </c>
      <c r="D171" s="15">
        <f>IFERROR(__xludf.DUMMYFUNCTION("""COMPUTED_VALUE"""),-0.2619372507357921)</f>
        <v>-0.2619372507</v>
      </c>
      <c r="E171" s="15">
        <f>IFERROR(__xludf.DUMMYFUNCTION("""COMPUTED_VALUE"""),-1.6398126208134762)</f>
        <v>-1.639812621</v>
      </c>
      <c r="F171" s="15">
        <f>IFERROR(__xludf.DUMMYFUNCTION("""COMPUTED_VALUE"""),-1.9017498715492684)</f>
        <v>-1.901749872</v>
      </c>
      <c r="G171" s="17">
        <f>IFERROR(__xludf.DUMMYFUNCTION("""COMPUTED_VALUE"""),0.01783765220728921)</f>
        <v>0.01783765221</v>
      </c>
      <c r="H171" s="4"/>
      <c r="I171" s="5" t="s">
        <v>2043</v>
      </c>
      <c r="J171" s="5" t="s">
        <v>1926</v>
      </c>
      <c r="K171" s="5">
        <v>48.0</v>
      </c>
      <c r="L171" s="5">
        <v>-1.268457</v>
      </c>
      <c r="M171" s="5">
        <v>-0.502379</v>
      </c>
      <c r="N171" s="5">
        <v>-1.770836</v>
      </c>
      <c r="O171" s="5">
        <v>0.003342</v>
      </c>
    </row>
    <row r="172">
      <c r="A172" s="18" t="str">
        <f>IFERROR(__xludf.DUMMYFUNCTION("""COMPUTED_VALUE"""),"Victor Rudd")</f>
        <v>Victor Rudd</v>
      </c>
      <c r="B172" s="19" t="str">
        <f>IFERROR(__xludf.DUMMYFUNCTION("""COMPUTED_VALUE"""),"GAZ")</f>
        <v>GAZ</v>
      </c>
      <c r="C172" s="20">
        <f>IFERROR(__xludf.DUMMYFUNCTION("""COMPUTED_VALUE"""),504.2)</f>
        <v>504.2</v>
      </c>
      <c r="D172" s="21">
        <f>IFERROR(__xludf.DUMMYFUNCTION("""COMPUTED_VALUE"""),-2.4352732878310794)</f>
        <v>-2.435273288</v>
      </c>
      <c r="E172" s="21">
        <f>IFERROR(__xludf.DUMMYFUNCTION("""COMPUTED_VALUE"""),0.5230040092677133)</f>
        <v>0.5230040093</v>
      </c>
      <c r="F172" s="21">
        <f>IFERROR(__xludf.DUMMYFUNCTION("""COMPUTED_VALUE"""),-1.9122692785633661)</f>
        <v>-1.912269279</v>
      </c>
      <c r="G172" s="23">
        <f>IFERROR(__xludf.DUMMYFUNCTION("""COMPUTED_VALUE"""),0.013292626756350224)</f>
        <v>0.01329262676</v>
      </c>
      <c r="H172" s="4"/>
      <c r="I172" s="5" t="s">
        <v>2044</v>
      </c>
      <c r="J172" s="5" t="s">
        <v>1953</v>
      </c>
      <c r="K172" s="5">
        <v>21.0</v>
      </c>
      <c r="L172" s="5">
        <v>-1.1395</v>
      </c>
      <c r="M172" s="5">
        <v>-0.648081</v>
      </c>
      <c r="N172" s="5">
        <v>-1.787581</v>
      </c>
      <c r="O172" s="5">
        <v>0.00138</v>
      </c>
    </row>
    <row r="173">
      <c r="A173" s="12" t="str">
        <f>IFERROR(__xludf.DUMMYFUNCTION("""COMPUTED_VALUE"""),"Yigit Ozkan")</f>
        <v>Yigit Ozkan</v>
      </c>
      <c r="B173" s="13" t="str">
        <f>IFERROR(__xludf.DUMMYFUNCTION("""COMPUTED_VALUE"""),"TRA")</f>
        <v>TRA</v>
      </c>
      <c r="C173" s="14">
        <f>IFERROR(__xludf.DUMMYFUNCTION("""COMPUTED_VALUE"""),55.5)</f>
        <v>55.5</v>
      </c>
      <c r="D173" s="15">
        <f>IFERROR(__xludf.DUMMYFUNCTION("""COMPUTED_VALUE"""),-1.2996297390972564)</f>
        <v>-1.299629739</v>
      </c>
      <c r="E173" s="15">
        <f>IFERROR(__xludf.DUMMYFUNCTION("""COMPUTED_VALUE"""),-0.6149423013033246)</f>
        <v>-0.6149423013</v>
      </c>
      <c r="F173" s="15">
        <f>IFERROR(__xludf.DUMMYFUNCTION("""COMPUTED_VALUE"""),-1.914572040400581)</f>
        <v>-1.91457204</v>
      </c>
      <c r="G173" s="17">
        <f>IFERROR(__xludf.DUMMYFUNCTION("""COMPUTED_VALUE"""),0.001436406344503435)</f>
        <v>0.001436406345</v>
      </c>
      <c r="H173" s="4"/>
      <c r="I173" s="5" t="s">
        <v>381</v>
      </c>
      <c r="J173" s="5" t="s">
        <v>60</v>
      </c>
      <c r="K173" s="5">
        <v>111.0</v>
      </c>
      <c r="L173" s="5">
        <v>-1.755127</v>
      </c>
      <c r="M173" s="5">
        <v>-0.045428</v>
      </c>
      <c r="N173" s="5">
        <v>-1.800555</v>
      </c>
      <c r="O173" s="5">
        <v>0.006578</v>
      </c>
    </row>
    <row r="174">
      <c r="A174" s="18" t="str">
        <f>IFERROR(__xludf.DUMMYFUNCTION("""COMPUTED_VALUE"""),"Kenny Kadji")</f>
        <v>Kenny Kadji</v>
      </c>
      <c r="B174" s="19" t="str">
        <f>IFERROR(__xludf.DUMMYFUNCTION("""COMPUTED_VALUE"""),"TOF")</f>
        <v>TOF</v>
      </c>
      <c r="C174" s="20">
        <f>IFERROR(__xludf.DUMMYFUNCTION("""COMPUTED_VALUE"""),755.1)</f>
        <v>755.1</v>
      </c>
      <c r="D174" s="21">
        <f>IFERROR(__xludf.DUMMYFUNCTION("""COMPUTED_VALUE"""),-2.2544984707568476)</f>
        <v>-2.254498471</v>
      </c>
      <c r="E174" s="21">
        <f>IFERROR(__xludf.DUMMYFUNCTION("""COMPUTED_VALUE"""),0.30635127054318145)</f>
        <v>0.3063512705</v>
      </c>
      <c r="F174" s="21">
        <f>IFERROR(__xludf.DUMMYFUNCTION("""COMPUTED_VALUE"""),-1.9481472002136662)</f>
        <v>-1.9481472</v>
      </c>
      <c r="G174" s="23">
        <f>IFERROR(__xludf.DUMMYFUNCTION("""COMPUTED_VALUE"""),0.011852514007474238)</f>
        <v>0.01185251401</v>
      </c>
      <c r="H174" s="4"/>
      <c r="I174" s="5" t="s">
        <v>2045</v>
      </c>
      <c r="J174" s="5" t="s">
        <v>1926</v>
      </c>
      <c r="K174" s="5">
        <v>99.0</v>
      </c>
      <c r="L174" s="5">
        <v>-1.975179</v>
      </c>
      <c r="M174" s="5">
        <v>0.085696</v>
      </c>
      <c r="N174" s="5">
        <v>-1.889483</v>
      </c>
      <c r="O174" s="5">
        <v>0.003362</v>
      </c>
    </row>
    <row r="175">
      <c r="A175" s="12" t="str">
        <f>IFERROR(__xludf.DUMMYFUNCTION("""COMPUTED_VALUE"""),"Metehan Akyel")</f>
        <v>Metehan Akyel</v>
      </c>
      <c r="B175" s="13" t="str">
        <f>IFERROR(__xludf.DUMMYFUNCTION("""COMPUTED_VALUE"""),"BVS")</f>
        <v>BVS</v>
      </c>
      <c r="C175" s="14">
        <f>IFERROR(__xludf.DUMMYFUNCTION("""COMPUTED_VALUE"""),54.5)</f>
        <v>54.5</v>
      </c>
      <c r="D175" s="15">
        <f>IFERROR(__xludf.DUMMYFUNCTION("""COMPUTED_VALUE"""),-1.7264261258828117)</f>
        <v>-1.726426126</v>
      </c>
      <c r="E175" s="15">
        <f>IFERROR(__xludf.DUMMYFUNCTION("""COMPUTED_VALUE"""),-0.2874396013698197)</f>
        <v>-0.2874396014</v>
      </c>
      <c r="F175" s="15">
        <f>IFERROR(__xludf.DUMMYFUNCTION("""COMPUTED_VALUE"""),-2.0138657272526315)</f>
        <v>-2.013865727</v>
      </c>
      <c r="G175" s="17">
        <f>IFERROR(__xludf.DUMMYFUNCTION("""COMPUTED_VALUE"""),-2.2744066456427324E-4)</f>
        <v>-0.0002274406646</v>
      </c>
      <c r="H175" s="4"/>
      <c r="I175" s="5" t="s">
        <v>335</v>
      </c>
      <c r="J175" s="5" t="s">
        <v>1912</v>
      </c>
      <c r="K175" s="5">
        <v>504.0</v>
      </c>
      <c r="L175" s="5">
        <v>-2.448928</v>
      </c>
      <c r="M175" s="5">
        <v>0.536546</v>
      </c>
      <c r="N175" s="5">
        <v>-1.912382</v>
      </c>
      <c r="O175" s="5">
        <v>0.013276</v>
      </c>
    </row>
    <row r="176">
      <c r="A176" s="18" t="str">
        <f>IFERROR(__xludf.DUMMYFUNCTION("""COMPUTED_VALUE"""),"Tevfik Akdamar")</f>
        <v>Tevfik Akdamar</v>
      </c>
      <c r="B176" s="19" t="str">
        <f>IFERROR(__xludf.DUMMYFUNCTION("""COMPUTED_VALUE"""),"IBB")</f>
        <v>IBB</v>
      </c>
      <c r="C176" s="20">
        <f>IFERROR(__xludf.DUMMYFUNCTION("""COMPUTED_VALUE"""),149.5)</f>
        <v>149.5</v>
      </c>
      <c r="D176" s="21">
        <f>IFERROR(__xludf.DUMMYFUNCTION("""COMPUTED_VALUE"""),-1.352944971296874)</f>
        <v>-1.352944971</v>
      </c>
      <c r="E176" s="21">
        <f>IFERROR(__xludf.DUMMYFUNCTION("""COMPUTED_VALUE"""),-0.6945865005340166)</f>
        <v>-0.6945865005</v>
      </c>
      <c r="F176" s="21">
        <f>IFERROR(__xludf.DUMMYFUNCTION("""COMPUTED_VALUE"""),-2.0475314718308906)</f>
        <v>-2.047531472</v>
      </c>
      <c r="G176" s="23">
        <f>IFERROR(__xludf.DUMMYFUNCTION("""COMPUTED_VALUE"""),-0.0021815020712176647)</f>
        <v>-0.002181502071</v>
      </c>
      <c r="H176" s="4"/>
      <c r="I176" s="5" t="s">
        <v>2046</v>
      </c>
      <c r="J176" s="5" t="s">
        <v>1923</v>
      </c>
      <c r="K176" s="5">
        <v>56.0</v>
      </c>
      <c r="L176" s="5">
        <v>-1.302053</v>
      </c>
      <c r="M176" s="5">
        <v>-0.612453</v>
      </c>
      <c r="N176" s="5">
        <v>-1.914505</v>
      </c>
      <c r="O176" s="5">
        <v>0.001438</v>
      </c>
    </row>
    <row r="177">
      <c r="A177" s="12" t="str">
        <f>IFERROR(__xludf.DUMMYFUNCTION("""COMPUTED_VALUE"""),"Mutlu Akpinar")</f>
        <v>Mutlu Akpinar</v>
      </c>
      <c r="B177" s="13" t="str">
        <f>IFERROR(__xludf.DUMMYFUNCTION("""COMPUTED_VALUE"""),"UUB")</f>
        <v>UUB</v>
      </c>
      <c r="C177" s="14">
        <f>IFERROR(__xludf.DUMMYFUNCTION("""COMPUTED_VALUE"""),156.7)</f>
        <v>156.7</v>
      </c>
      <c r="D177" s="15">
        <f>IFERROR(__xludf.DUMMYFUNCTION("""COMPUTED_VALUE"""),-1.2327027752768507)</f>
        <v>-1.232702775</v>
      </c>
      <c r="E177" s="15">
        <f>IFERROR(__xludf.DUMMYFUNCTION("""COMPUTED_VALUE"""),-0.833043540819822)</f>
        <v>-0.8330435408</v>
      </c>
      <c r="F177" s="15">
        <f>IFERROR(__xludf.DUMMYFUNCTION("""COMPUTED_VALUE"""),-2.0657463160966727)</f>
        <v>-2.065746316</v>
      </c>
      <c r="G177" s="17">
        <f>IFERROR(__xludf.DUMMYFUNCTION("""COMPUTED_VALUE"""),-0.0031286840052142297)</f>
        <v>-0.003128684005</v>
      </c>
      <c r="H177" s="4"/>
      <c r="I177" s="5" t="s">
        <v>2047</v>
      </c>
      <c r="J177" s="5" t="s">
        <v>1894</v>
      </c>
      <c r="K177" s="5">
        <v>409.0</v>
      </c>
      <c r="L177" s="5">
        <v>-2.804518</v>
      </c>
      <c r="M177" s="5">
        <v>0.864654</v>
      </c>
      <c r="N177" s="5">
        <v>-1.939865</v>
      </c>
      <c r="O177" s="5">
        <v>0.007375</v>
      </c>
    </row>
    <row r="178">
      <c r="A178" s="18" t="str">
        <f>IFERROR(__xludf.DUMMYFUNCTION("""COMPUTED_VALUE"""),"C.J. Harris")</f>
        <v>C.J. Harris</v>
      </c>
      <c r="B178" s="19" t="str">
        <f>IFERROR(__xludf.DUMMYFUNCTION("""COMPUTED_VALUE"""),"SAK")</f>
        <v>SAK</v>
      </c>
      <c r="C178" s="20">
        <f>IFERROR(__xludf.DUMMYFUNCTION("""COMPUTED_VALUE"""),897.6)</f>
        <v>897.6</v>
      </c>
      <c r="D178" s="21">
        <f>IFERROR(__xludf.DUMMYFUNCTION("""COMPUTED_VALUE"""),-1.7252030475692104)</f>
        <v>-1.725203048</v>
      </c>
      <c r="E178" s="21">
        <f>IFERROR(__xludf.DUMMYFUNCTION("""COMPUTED_VALUE"""),-0.34675882409976877)</f>
        <v>-0.3467588241</v>
      </c>
      <c r="F178" s="21">
        <f>IFERROR(__xludf.DUMMYFUNCTION("""COMPUTED_VALUE"""),-2.071961871668979)</f>
        <v>-2.071961872</v>
      </c>
      <c r="G178" s="23">
        <f>IFERROR(__xludf.DUMMYFUNCTION("""COMPUTED_VALUE"""),-0.019699444371060994)</f>
        <v>-0.01969944437</v>
      </c>
      <c r="H178" s="4"/>
      <c r="I178" s="5" t="s">
        <v>2048</v>
      </c>
      <c r="J178" s="5" t="s">
        <v>1887</v>
      </c>
      <c r="K178" s="5">
        <v>55.0</v>
      </c>
      <c r="L178" s="5">
        <v>-1.717895</v>
      </c>
      <c r="M178" s="5">
        <v>-0.225881</v>
      </c>
      <c r="N178" s="5">
        <v>-1.943776</v>
      </c>
      <c r="O178" s="5">
        <v>9.24E-4</v>
      </c>
    </row>
    <row r="179">
      <c r="A179" s="12" t="str">
        <f>IFERROR(__xludf.DUMMYFUNCTION("""COMPUTED_VALUE"""),"Ivan Paunic")</f>
        <v>Ivan Paunic</v>
      </c>
      <c r="B179" s="13" t="str">
        <f>IFERROR(__xludf.DUMMYFUNCTION("""COMPUTED_VALUE"""),"TOF")</f>
        <v>TOF</v>
      </c>
      <c r="C179" s="14">
        <f>IFERROR(__xludf.DUMMYFUNCTION("""COMPUTED_VALUE"""),133.4)</f>
        <v>133.4</v>
      </c>
      <c r="D179" s="15">
        <f>IFERROR(__xludf.DUMMYFUNCTION("""COMPUTED_VALUE"""),-1.4253685039671793)</f>
        <v>-1.425368504</v>
      </c>
      <c r="E179" s="15">
        <f>IFERROR(__xludf.DUMMYFUNCTION("""COMPUTED_VALUE"""),-0.6784355615942714)</f>
        <v>-0.6784355616</v>
      </c>
      <c r="F179" s="15">
        <f>IFERROR(__xludf.DUMMYFUNCTION("""COMPUTED_VALUE"""),-2.1038040655614507)</f>
        <v>-2.103804066</v>
      </c>
      <c r="G179" s="17">
        <f>IFERROR(__xludf.DUMMYFUNCTION("""COMPUTED_VALUE"""),-0.004191833159459874)</f>
        <v>-0.004191833159</v>
      </c>
      <c r="H179" s="4"/>
      <c r="I179" s="5" t="s">
        <v>2049</v>
      </c>
      <c r="J179" s="5" t="s">
        <v>1874</v>
      </c>
      <c r="K179" s="5">
        <v>204.0</v>
      </c>
      <c r="L179" s="5">
        <v>0.300759</v>
      </c>
      <c r="M179" s="5">
        <v>-2.248467</v>
      </c>
      <c r="N179" s="5">
        <v>-1.947709</v>
      </c>
      <c r="O179" s="5">
        <v>0.003249</v>
      </c>
    </row>
    <row r="180">
      <c r="A180" s="18" t="str">
        <f>IFERROR(__xludf.DUMMYFUNCTION("""COMPUTED_VALUE"""),"Goksenin Koksal")</f>
        <v>Goksenin Koksal</v>
      </c>
      <c r="B180" s="19" t="str">
        <f>IFERROR(__xludf.DUMMYFUNCTION("""COMPUTED_VALUE"""),"GAL")</f>
        <v>GAL</v>
      </c>
      <c r="C180" s="20">
        <f>IFERROR(__xludf.DUMMYFUNCTION("""COMPUTED_VALUE"""),665.5)</f>
        <v>665.5</v>
      </c>
      <c r="D180" s="21">
        <f>IFERROR(__xludf.DUMMYFUNCTION("""COMPUTED_VALUE"""),-0.6690493543552805)</f>
        <v>-0.6690493544</v>
      </c>
      <c r="E180" s="21">
        <f>IFERROR(__xludf.DUMMYFUNCTION("""COMPUTED_VALUE"""),-1.4420138834951786)</f>
        <v>-1.442013883</v>
      </c>
      <c r="F180" s="21">
        <f>IFERROR(__xludf.DUMMYFUNCTION("""COMPUTED_VALUE"""),-2.111063237850459)</f>
        <v>-2.111063238</v>
      </c>
      <c r="G180" s="23">
        <f>IFERROR(__xludf.DUMMYFUNCTION("""COMPUTED_VALUE"""),-0.022699082135438902)</f>
        <v>-0.02269908214</v>
      </c>
      <c r="H180" s="4"/>
      <c r="I180" s="5" t="s">
        <v>2050</v>
      </c>
      <c r="J180" s="5" t="s">
        <v>1878</v>
      </c>
      <c r="K180" s="5">
        <v>655.0</v>
      </c>
      <c r="L180" s="5">
        <v>-2.60512</v>
      </c>
      <c r="M180" s="5">
        <v>0.633362</v>
      </c>
      <c r="N180" s="5">
        <v>-1.971758</v>
      </c>
      <c r="O180" s="5">
        <v>0.005614</v>
      </c>
    </row>
    <row r="181">
      <c r="A181" s="12" t="str">
        <f>IFERROR(__xludf.DUMMYFUNCTION("""COMPUTED_VALUE"""),"Mutlu Demir")</f>
        <v>Mutlu Demir</v>
      </c>
      <c r="B181" s="13" t="str">
        <f>IFERROR(__xludf.DUMMYFUNCTION("""COMPUTED_VALUE"""),"UUB")</f>
        <v>UUB</v>
      </c>
      <c r="C181" s="14">
        <f>IFERROR(__xludf.DUMMYFUNCTION("""COMPUTED_VALUE"""),34.5)</f>
        <v>34.5</v>
      </c>
      <c r="D181" s="15">
        <f>IFERROR(__xludf.DUMMYFUNCTION("""COMPUTED_VALUE"""),-2.130741658885064)</f>
        <v>-2.130741659</v>
      </c>
      <c r="E181" s="15">
        <f>IFERROR(__xludf.DUMMYFUNCTION("""COMPUTED_VALUE"""),0.01933709979385867)</f>
        <v>0.01933709979</v>
      </c>
      <c r="F181" s="15">
        <f>IFERROR(__xludf.DUMMYFUNCTION("""COMPUTED_VALUE"""),-2.111404559091205)</f>
        <v>-2.111404559</v>
      </c>
      <c r="G181" s="17">
        <f>IFERROR(__xludf.DUMMYFUNCTION("""COMPUTED_VALUE"""),-0.001167194792549684)</f>
        <v>-0.001167194793</v>
      </c>
      <c r="H181" s="4"/>
      <c r="I181" s="5" t="s">
        <v>2051</v>
      </c>
      <c r="J181" s="5" t="s">
        <v>1874</v>
      </c>
      <c r="K181" s="5">
        <v>848.0</v>
      </c>
      <c r="L181" s="5">
        <v>-1.664446</v>
      </c>
      <c r="M181" s="5">
        <v>-0.353415</v>
      </c>
      <c r="N181" s="5">
        <v>-2.017861</v>
      </c>
      <c r="O181" s="5">
        <v>-0.004617</v>
      </c>
    </row>
    <row r="182">
      <c r="A182" s="18" t="str">
        <f>IFERROR(__xludf.DUMMYFUNCTION("""COMPUTED_VALUE"""),"Tayfun Erulku")</f>
        <v>Tayfun Erulku</v>
      </c>
      <c r="B182" s="19" t="str">
        <f>IFERROR(__xludf.DUMMYFUNCTION("""COMPUTED_VALUE"""),"UUB")</f>
        <v>UUB</v>
      </c>
      <c r="C182" s="20">
        <f>IFERROR(__xludf.DUMMYFUNCTION("""COMPUTED_VALUE"""),510.2)</f>
        <v>510.2</v>
      </c>
      <c r="D182" s="21">
        <f>IFERROR(__xludf.DUMMYFUNCTION("""COMPUTED_VALUE"""),-2.06259514588385)</f>
        <v>-2.062595146</v>
      </c>
      <c r="E182" s="21">
        <f>IFERROR(__xludf.DUMMYFUNCTION("""COMPUTED_VALUE"""),-0.054090472157508174)</f>
        <v>-0.05409047216</v>
      </c>
      <c r="F182" s="21">
        <f>IFERROR(__xludf.DUMMYFUNCTION("""COMPUTED_VALUE"""),-2.116685618041358)</f>
        <v>-2.116685618</v>
      </c>
      <c r="G182" s="23">
        <f>IFERROR(__xludf.DUMMYFUNCTION("""COMPUTED_VALUE"""),-0.018079194090044864)</f>
        <v>-0.01807919409</v>
      </c>
      <c r="H182" s="4"/>
      <c r="I182" s="5" t="s">
        <v>2052</v>
      </c>
      <c r="J182" s="5" t="s">
        <v>1926</v>
      </c>
      <c r="K182" s="5">
        <v>150.0</v>
      </c>
      <c r="L182" s="5">
        <v>-1.359316</v>
      </c>
      <c r="M182" s="5">
        <v>-0.687908</v>
      </c>
      <c r="N182" s="5">
        <v>-2.047224</v>
      </c>
      <c r="O182" s="5">
        <v>-0.002167</v>
      </c>
    </row>
    <row r="183">
      <c r="A183" s="12" t="str">
        <f>IFERROR(__xludf.DUMMYFUNCTION("""COMPUTED_VALUE"""),"Onuralp Bitim")</f>
        <v>Onuralp Bitim</v>
      </c>
      <c r="B183" s="13" t="str">
        <f>IFERROR(__xludf.DUMMYFUNCTION("""COMPUTED_VALUE"""),"EFE")</f>
        <v>EFE</v>
      </c>
      <c r="C183" s="14">
        <f>IFERROR(__xludf.DUMMYFUNCTION("""COMPUTED_VALUE"""),126.2)</f>
        <v>126.2</v>
      </c>
      <c r="D183" s="15">
        <f>IFERROR(__xludf.DUMMYFUNCTION("""COMPUTED_VALUE"""),-2.241421510888523)</f>
        <v>-2.241421511</v>
      </c>
      <c r="E183" s="15">
        <f>IFERROR(__xludf.DUMMYFUNCTION("""COMPUTED_VALUE"""),0.12114986019134388)</f>
        <v>0.1211498602</v>
      </c>
      <c r="F183" s="15">
        <f>IFERROR(__xludf.DUMMYFUNCTION("""COMPUTED_VALUE"""),-2.120271650697179)</f>
        <v>-2.120271651</v>
      </c>
      <c r="G183" s="17">
        <f>IFERROR(__xludf.DUMMYFUNCTION("""COMPUTED_VALUE"""),-0.004492379351456684)</f>
        <v>-0.004492379351</v>
      </c>
      <c r="H183" s="4"/>
      <c r="I183" s="5" t="s">
        <v>2053</v>
      </c>
      <c r="J183" s="5" t="s">
        <v>1878</v>
      </c>
      <c r="K183" s="5">
        <v>133.0</v>
      </c>
      <c r="L183" s="5">
        <v>-1.485896</v>
      </c>
      <c r="M183" s="5">
        <v>-0.576545</v>
      </c>
      <c r="N183" s="5">
        <v>-2.062441</v>
      </c>
      <c r="O183" s="5">
        <v>-0.002527</v>
      </c>
    </row>
    <row r="184">
      <c r="A184" s="18" t="str">
        <f>IFERROR(__xludf.DUMMYFUNCTION("""COMPUTED_VALUE"""),"Rodney Pryor")</f>
        <v>Rodney Pryor</v>
      </c>
      <c r="B184" s="19" t="str">
        <f>IFERROR(__xludf.DUMMYFUNCTION("""COMPUTED_VALUE"""),"SAK")</f>
        <v>SAK</v>
      </c>
      <c r="C184" s="20">
        <f>IFERROR(__xludf.DUMMYFUNCTION("""COMPUTED_VALUE"""),81.7)</f>
        <v>81.7</v>
      </c>
      <c r="D184" s="21">
        <f>IFERROR(__xludf.DUMMYFUNCTION("""COMPUTED_VALUE"""),-1.413971186872943)</f>
        <v>-1.413971187</v>
      </c>
      <c r="E184" s="21">
        <f>IFERROR(__xludf.DUMMYFUNCTION("""COMPUTED_VALUE"""),-0.7303953319172796)</f>
        <v>-0.7303953319</v>
      </c>
      <c r="F184" s="21">
        <f>IFERROR(__xludf.DUMMYFUNCTION("""COMPUTED_VALUE"""),-2.1443665187902226)</f>
        <v>-2.144366519</v>
      </c>
      <c r="G184" s="23">
        <f>IFERROR(__xludf.DUMMYFUNCTION("""COMPUTED_VALUE"""),-0.003597139026231148)</f>
        <v>-0.003597139026</v>
      </c>
      <c r="H184" s="4"/>
      <c r="I184" s="5" t="s">
        <v>2054</v>
      </c>
      <c r="J184" s="5" t="s">
        <v>1953</v>
      </c>
      <c r="K184" s="5">
        <v>157.0</v>
      </c>
      <c r="L184" s="5">
        <v>-1.239569</v>
      </c>
      <c r="M184" s="5">
        <v>-0.82601</v>
      </c>
      <c r="N184" s="5">
        <v>-2.065579</v>
      </c>
      <c r="O184" s="5">
        <v>-0.003121</v>
      </c>
    </row>
    <row r="185">
      <c r="A185" s="12" t="str">
        <f>IFERROR(__xludf.DUMMYFUNCTION("""COMPUTED_VALUE"""),"Earl Clark")</f>
        <v>Earl Clark</v>
      </c>
      <c r="B185" s="13" t="str">
        <f>IFERROR(__xludf.DUMMYFUNCTION("""COMPUTED_VALUE"""),"BES")</f>
        <v>BES</v>
      </c>
      <c r="C185" s="14">
        <f>IFERROR(__xludf.DUMMYFUNCTION("""COMPUTED_VALUE"""),636.8)</f>
        <v>636.8</v>
      </c>
      <c r="D185" s="15">
        <f>IFERROR(__xludf.DUMMYFUNCTION("""COMPUTED_VALUE"""),-4.937001412271379)</f>
        <v>-4.937001412</v>
      </c>
      <c r="E185" s="15">
        <f>IFERROR(__xludf.DUMMYFUNCTION("""COMPUTED_VALUE"""),2.761797062215395)</f>
        <v>2.761797062</v>
      </c>
      <c r="F185" s="15">
        <f>IFERROR(__xludf.DUMMYFUNCTION("""COMPUTED_VALUE"""),-2.175204350055984)</f>
        <v>-2.17520435</v>
      </c>
      <c r="G185" s="17">
        <f>IFERROR(__xludf.DUMMYFUNCTION("""COMPUTED_VALUE"""),-0.03684921880561397)</f>
        <v>-0.03684921881</v>
      </c>
      <c r="H185" s="4"/>
      <c r="I185" s="5" t="s">
        <v>2055</v>
      </c>
      <c r="J185" s="5" t="s">
        <v>1874</v>
      </c>
      <c r="K185" s="5">
        <v>82.0</v>
      </c>
      <c r="L185" s="5">
        <v>-1.363852</v>
      </c>
      <c r="M185" s="5">
        <v>-0.7275</v>
      </c>
      <c r="N185" s="5">
        <v>-2.091352</v>
      </c>
      <c r="O185" s="5">
        <v>-0.002276</v>
      </c>
    </row>
    <row r="186">
      <c r="A186" s="18" t="str">
        <f>IFERROR(__xludf.DUMMYFUNCTION("""COMPUTED_VALUE"""),"Berkay Candan")</f>
        <v>Berkay Candan</v>
      </c>
      <c r="B186" s="19" t="str">
        <f>IFERROR(__xludf.DUMMYFUNCTION("""COMPUTED_VALUE"""),"ESK")</f>
        <v>ESK</v>
      </c>
      <c r="C186" s="20">
        <f>IFERROR(__xludf.DUMMYFUNCTION("""COMPUTED_VALUE"""),409.3)</f>
        <v>409.3</v>
      </c>
      <c r="D186" s="21">
        <f>IFERROR(__xludf.DUMMYFUNCTION("""COMPUTED_VALUE"""),-2.838705142104847)</f>
        <v>-2.838705142</v>
      </c>
      <c r="E186" s="21">
        <f>IFERROR(__xludf.DUMMYFUNCTION("""COMPUTED_VALUE"""),0.6620134778907052)</f>
        <v>0.6620134779</v>
      </c>
      <c r="F186" s="21">
        <f>IFERROR(__xludf.DUMMYFUNCTION("""COMPUTED_VALUE"""),-2.176691664214142)</f>
        <v>-2.176691664</v>
      </c>
      <c r="G186" s="23">
        <f>IFERROR(__xludf.DUMMYFUNCTION("""COMPUTED_VALUE"""),-0.02231004741951834)</f>
        <v>-0.02231004742</v>
      </c>
      <c r="H186" s="4"/>
      <c r="I186" s="5" t="s">
        <v>2056</v>
      </c>
      <c r="J186" s="5" t="s">
        <v>1953</v>
      </c>
      <c r="K186" s="5">
        <v>35.0</v>
      </c>
      <c r="L186" s="5">
        <v>-2.132249</v>
      </c>
      <c r="M186" s="5">
        <v>0.020885</v>
      </c>
      <c r="N186" s="5">
        <v>-2.111364</v>
      </c>
      <c r="O186" s="5">
        <v>-0.001167</v>
      </c>
    </row>
    <row r="187">
      <c r="A187" s="12" t="str">
        <f>IFERROR(__xludf.DUMMYFUNCTION("""COMPUTED_VALUE"""),"Richard Solomon")</f>
        <v>Richard Solomon</v>
      </c>
      <c r="B187" s="13" t="str">
        <f>IFERROR(__xludf.DUMMYFUNCTION("""COMPUTED_VALUE"""),"UUB")</f>
        <v>UUB</v>
      </c>
      <c r="C187" s="14">
        <f>IFERROR(__xludf.DUMMYFUNCTION("""COMPUTED_VALUE"""),350.5)</f>
        <v>350.5</v>
      </c>
      <c r="D187" s="15">
        <f>IFERROR(__xludf.DUMMYFUNCTION("""COMPUTED_VALUE"""),-1.8048882111648274)</f>
        <v>-1.804888211</v>
      </c>
      <c r="E187" s="15">
        <f>IFERROR(__xludf.DUMMYFUNCTION("""COMPUTED_VALUE"""),-0.38624158623097493)</f>
        <v>-0.3862415862</v>
      </c>
      <c r="F187" s="15">
        <f>IFERROR(__xludf.DUMMYFUNCTION("""COMPUTED_VALUE"""),-2.1911297973958024)</f>
        <v>-2.191129797</v>
      </c>
      <c r="G187" s="17">
        <f>IFERROR(__xludf.DUMMYFUNCTION("""COMPUTED_VALUE"""),-0.02034406354939739)</f>
        <v>-0.02034406355</v>
      </c>
      <c r="H187" s="4"/>
      <c r="I187" s="5" t="s">
        <v>2057</v>
      </c>
      <c r="J187" s="5" t="s">
        <v>1592</v>
      </c>
      <c r="K187" s="5">
        <v>666.0</v>
      </c>
      <c r="L187" s="5">
        <v>-0.683051</v>
      </c>
      <c r="M187" s="5">
        <v>-1.428411</v>
      </c>
      <c r="N187" s="5">
        <v>-2.111462</v>
      </c>
      <c r="O187" s="5">
        <v>-0.022781</v>
      </c>
    </row>
    <row r="188">
      <c r="A188" s="18" t="str">
        <f>IFERROR(__xludf.DUMMYFUNCTION("""COMPUTED_VALUE"""),"Sonny Weems")</f>
        <v>Sonny Weems</v>
      </c>
      <c r="B188" s="19" t="str">
        <f>IFERROR(__xludf.DUMMYFUNCTION("""COMPUTED_VALUE"""),"EFE")</f>
        <v>EFE</v>
      </c>
      <c r="C188" s="20">
        <f>IFERROR(__xludf.DUMMYFUNCTION("""COMPUTED_VALUE"""),416.0)</f>
        <v>416</v>
      </c>
      <c r="D188" s="21">
        <f>IFERROR(__xludf.DUMMYFUNCTION("""COMPUTED_VALUE"""),-1.186323719719829)</f>
        <v>-1.18632372</v>
      </c>
      <c r="E188" s="21">
        <f>IFERROR(__xludf.DUMMYFUNCTION("""COMPUTED_VALUE"""),-1.0559111141313318)</f>
        <v>-1.055911114</v>
      </c>
      <c r="F188" s="21">
        <f>IFERROR(__xludf.DUMMYFUNCTION("""COMPUTED_VALUE"""),-2.242234833851161)</f>
        <v>-2.242234834</v>
      </c>
      <c r="G188" s="23">
        <f>IFERROR(__xludf.DUMMYFUNCTION("""COMPUTED_VALUE"""),-0.029825224560157612)</f>
        <v>-0.02982522456</v>
      </c>
      <c r="H188" s="4"/>
      <c r="I188" s="5" t="s">
        <v>2058</v>
      </c>
      <c r="J188" s="5" t="s">
        <v>1953</v>
      </c>
      <c r="K188" s="5">
        <v>510.0</v>
      </c>
      <c r="L188" s="5">
        <v>-2.075937</v>
      </c>
      <c r="M188" s="5">
        <v>-0.040589</v>
      </c>
      <c r="N188" s="5">
        <v>-2.116526</v>
      </c>
      <c r="O188" s="5">
        <v>-0.018054</v>
      </c>
    </row>
    <row r="189">
      <c r="A189" s="12" t="str">
        <f>IFERROR(__xludf.DUMMYFUNCTION("""COMPUTED_VALUE"""),"Mehmet Yagmur")</f>
        <v>Mehmet Yagmur</v>
      </c>
      <c r="B189" s="13" t="str">
        <f>IFERROR(__xludf.DUMMYFUNCTION("""COMPUTED_VALUE"""),"GAL")</f>
        <v>GAL</v>
      </c>
      <c r="C189" s="14">
        <f>IFERROR(__xludf.DUMMYFUNCTION("""COMPUTED_VALUE"""),367.5)</f>
        <v>367.5</v>
      </c>
      <c r="D189" s="15">
        <f>IFERROR(__xludf.DUMMYFUNCTION("""COMPUTED_VALUE"""),-1.4335478177083045)</f>
        <v>-1.433547818</v>
      </c>
      <c r="E189" s="15">
        <f>IFERROR(__xludf.DUMMYFUNCTION("""COMPUTED_VALUE"""),-0.8097656708405792)</f>
        <v>-0.8097656708</v>
      </c>
      <c r="F189" s="15">
        <f>IFERROR(__xludf.DUMMYFUNCTION("""COMPUTED_VALUE"""),-2.2433134885488837)</f>
        <v>-2.243313489</v>
      </c>
      <c r="G189" s="17">
        <f>IFERROR(__xludf.DUMMYFUNCTION("""COMPUTED_VALUE"""),-0.02746081580401408)</f>
        <v>-0.0274608158</v>
      </c>
      <c r="H189" s="4"/>
      <c r="I189" s="5" t="s">
        <v>2059</v>
      </c>
      <c r="J189" s="5" t="s">
        <v>1900</v>
      </c>
      <c r="K189" s="5">
        <v>572.0</v>
      </c>
      <c r="L189" s="5">
        <v>-5.079199</v>
      </c>
      <c r="M189" s="5">
        <v>2.932094</v>
      </c>
      <c r="N189" s="5">
        <v>-2.147105</v>
      </c>
      <c r="O189" s="5">
        <v>-0.0276</v>
      </c>
    </row>
    <row r="190">
      <c r="A190" s="18" t="str">
        <f>IFERROR(__xludf.DUMMYFUNCTION("""COMPUTED_VALUE"""),"Ra'Shad James")</f>
        <v>Ra'Shad James</v>
      </c>
      <c r="B190" s="19" t="str">
        <f>IFERROR(__xludf.DUMMYFUNCTION("""COMPUTED_VALUE"""),"YES")</f>
        <v>YES</v>
      </c>
      <c r="C190" s="20">
        <f>IFERROR(__xludf.DUMMYFUNCTION("""COMPUTED_VALUE"""),947.8)</f>
        <v>947.8</v>
      </c>
      <c r="D190" s="21">
        <f>IFERROR(__xludf.DUMMYFUNCTION("""COMPUTED_VALUE"""),0.5537355502177495)</f>
        <v>0.5537355502</v>
      </c>
      <c r="E190" s="21">
        <f>IFERROR(__xludf.DUMMYFUNCTION("""COMPUTED_VALUE"""),-2.8676363324909593)</f>
        <v>-2.867636332</v>
      </c>
      <c r="F190" s="21">
        <f>IFERROR(__xludf.DUMMYFUNCTION("""COMPUTED_VALUE"""),-2.31390078227321)</f>
        <v>-2.313900782</v>
      </c>
      <c r="G190" s="23">
        <f>IFERROR(__xludf.DUMMYFUNCTION("""COMPUTED_VALUE"""),-0.09141890939527968)</f>
        <v>-0.0914189094</v>
      </c>
      <c r="H190" s="4"/>
      <c r="I190" s="5" t="s">
        <v>2060</v>
      </c>
      <c r="J190" s="5" t="s">
        <v>1953</v>
      </c>
      <c r="K190" s="5">
        <v>351.0</v>
      </c>
      <c r="L190" s="5">
        <v>-1.819002</v>
      </c>
      <c r="M190" s="5">
        <v>-0.372603</v>
      </c>
      <c r="N190" s="5">
        <v>-2.191605</v>
      </c>
      <c r="O190" s="5">
        <v>-0.020395</v>
      </c>
    </row>
    <row r="191">
      <c r="A191" s="12" t="str">
        <f>IFERROR(__xludf.DUMMYFUNCTION("""COMPUTED_VALUE"""),"Jordan Taylor")</f>
        <v>Jordan Taylor</v>
      </c>
      <c r="B191" s="13" t="str">
        <f>IFERROR(__xludf.DUMMYFUNCTION("""COMPUTED_VALUE"""),"GAL")</f>
        <v>GAL</v>
      </c>
      <c r="C191" s="14">
        <f>IFERROR(__xludf.DUMMYFUNCTION("""COMPUTED_VALUE"""),412.3)</f>
        <v>412.3</v>
      </c>
      <c r="D191" s="15">
        <f>IFERROR(__xludf.DUMMYFUNCTION("""COMPUTED_VALUE"""),-0.979826371506606)</f>
        <v>-0.9798263715</v>
      </c>
      <c r="E191" s="15">
        <f>IFERROR(__xludf.DUMMYFUNCTION("""COMPUTED_VALUE"""),-1.3455622080423923)</f>
        <v>-1.345562208</v>
      </c>
      <c r="F191" s="15">
        <f>IFERROR(__xludf.DUMMYFUNCTION("""COMPUTED_VALUE"""),-2.3253885795489984)</f>
        <v>-2.32538858</v>
      </c>
      <c r="G191" s="17">
        <f>IFERROR(__xludf.DUMMYFUNCTION("""COMPUTED_VALUE"""),-0.04120079033449455)</f>
        <v>-0.04120079033</v>
      </c>
      <c r="H191" s="4"/>
      <c r="I191" s="5" t="s">
        <v>2061</v>
      </c>
      <c r="J191" s="5" t="s">
        <v>1592</v>
      </c>
      <c r="K191" s="5">
        <v>368.0</v>
      </c>
      <c r="L191" s="5">
        <v>-1.446845</v>
      </c>
      <c r="M191" s="5">
        <v>-0.796289</v>
      </c>
      <c r="N191" s="5">
        <v>-2.243133</v>
      </c>
      <c r="O191" s="5">
        <v>-0.02744</v>
      </c>
    </row>
    <row r="192">
      <c r="A192" s="18" t="str">
        <f>IFERROR(__xludf.DUMMYFUNCTION("""COMPUTED_VALUE"""),"Leon Harun Apaydin")</f>
        <v>Leon Harun Apaydin</v>
      </c>
      <c r="B192" s="19" t="str">
        <f>IFERROR(__xludf.DUMMYFUNCTION("""COMPUTED_VALUE"""),"YES")</f>
        <v>YES</v>
      </c>
      <c r="C192" s="20">
        <f>IFERROR(__xludf.DUMMYFUNCTION("""COMPUTED_VALUE"""),93.3)</f>
        <v>93.3</v>
      </c>
      <c r="D192" s="21">
        <f>IFERROR(__xludf.DUMMYFUNCTION("""COMPUTED_VALUE"""),-0.6739767175993542)</f>
        <v>-0.6739767176</v>
      </c>
      <c r="E192" s="21">
        <f>IFERROR(__xludf.DUMMYFUNCTION("""COMPUTED_VALUE"""),-1.6609476827939007)</f>
        <v>-1.660947683</v>
      </c>
      <c r="F192" s="21">
        <f>IFERROR(__xludf.DUMMYFUNCTION("""COMPUTED_VALUE"""),-2.334924400393255)</f>
        <v>-2.3349244</v>
      </c>
      <c r="G192" s="23">
        <f>IFERROR(__xludf.DUMMYFUNCTION("""COMPUTED_VALUE"""),-0.009601859921009082)</f>
        <v>-0.009601859921</v>
      </c>
      <c r="H192" s="4"/>
      <c r="I192" s="5" t="s">
        <v>2062</v>
      </c>
      <c r="J192" s="5" t="s">
        <v>1946</v>
      </c>
      <c r="K192" s="5">
        <v>948.0</v>
      </c>
      <c r="L192" s="5">
        <v>0.544942</v>
      </c>
      <c r="M192" s="5">
        <v>-2.843063</v>
      </c>
      <c r="N192" s="5">
        <v>-2.298121</v>
      </c>
      <c r="O192" s="5">
        <v>-0.086823</v>
      </c>
    </row>
    <row r="193">
      <c r="A193" s="12" t="str">
        <f>IFERROR(__xludf.DUMMYFUNCTION("""COMPUTED_VALUE"""),"Berk Ugurlu")</f>
        <v>Berk Ugurlu</v>
      </c>
      <c r="B193" s="13" t="str">
        <f>IFERROR(__xludf.DUMMYFUNCTION("""COMPUTED_VALUE"""),"PIN")</f>
        <v>PIN</v>
      </c>
      <c r="C193" s="14">
        <f>IFERROR(__xludf.DUMMYFUNCTION("""COMPUTED_VALUE"""),668.6)</f>
        <v>668.6</v>
      </c>
      <c r="D193" s="15">
        <f>IFERROR(__xludf.DUMMYFUNCTION("""COMPUTED_VALUE"""),-0.8032665026213057)</f>
        <v>-0.8032665026</v>
      </c>
      <c r="E193" s="15">
        <f>IFERROR(__xludf.DUMMYFUNCTION("""COMPUTED_VALUE"""),-1.5407793426066054)</f>
        <v>-1.540779343</v>
      </c>
      <c r="F193" s="15">
        <f>IFERROR(__xludf.DUMMYFUNCTION("""COMPUTED_VALUE"""),-2.344045845227911)</f>
        <v>-2.344045845</v>
      </c>
      <c r="G193" s="17">
        <f>IFERROR(__xludf.DUMMYFUNCTION("""COMPUTED_VALUE"""),-0.06986300040476387)</f>
        <v>-0.0698630004</v>
      </c>
      <c r="H193" s="4"/>
      <c r="I193" s="5" t="s">
        <v>2063</v>
      </c>
      <c r="J193" s="5" t="s">
        <v>1884</v>
      </c>
      <c r="K193" s="5">
        <v>278.0</v>
      </c>
      <c r="L193" s="5">
        <v>-2.858053</v>
      </c>
      <c r="M193" s="5">
        <v>0.552892</v>
      </c>
      <c r="N193" s="5">
        <v>-2.305162</v>
      </c>
      <c r="O193" s="5">
        <v>-0.025548</v>
      </c>
    </row>
    <row r="194">
      <c r="A194" s="18" t="str">
        <f>IFERROR(__xludf.DUMMYFUNCTION("""COMPUTED_VALUE"""),"Yusuf Necip Secen")</f>
        <v>Yusuf Necip Secen</v>
      </c>
      <c r="B194" s="19" t="str">
        <f>IFERROR(__xludf.DUMMYFUNCTION("""COMPUTED_VALUE"""),"TRA")</f>
        <v>TRA</v>
      </c>
      <c r="C194" s="20">
        <f>IFERROR(__xludf.DUMMYFUNCTION("""COMPUTED_VALUE"""),42.7)</f>
        <v>42.7</v>
      </c>
      <c r="D194" s="21">
        <f>IFERROR(__xludf.DUMMYFUNCTION("""COMPUTED_VALUE"""),-1.8076975844111651)</f>
        <v>-1.807697584</v>
      </c>
      <c r="E194" s="21">
        <f>IFERROR(__xludf.DUMMYFUNCTION("""COMPUTED_VALUE"""),-0.5456011821772802)</f>
        <v>-0.5456011822</v>
      </c>
      <c r="F194" s="21">
        <f>IFERROR(__xludf.DUMMYFUNCTION("""COMPUTED_VALUE"""),-2.3532987665884453)</f>
        <v>-2.353298767</v>
      </c>
      <c r="G194" s="23">
        <f>IFERROR(__xludf.DUMMYFUNCTION("""COMPUTED_VALUE"""),-0.004570400875752333)</f>
        <v>-0.004570400876</v>
      </c>
      <c r="H194" s="4"/>
      <c r="I194" s="5" t="s">
        <v>2064</v>
      </c>
      <c r="J194" s="5" t="s">
        <v>1592</v>
      </c>
      <c r="K194" s="5">
        <v>412.0</v>
      </c>
      <c r="L194" s="5">
        <v>-0.993586</v>
      </c>
      <c r="M194" s="5">
        <v>-1.332003</v>
      </c>
      <c r="N194" s="5">
        <v>-2.325588</v>
      </c>
      <c r="O194" s="5">
        <v>-0.041226</v>
      </c>
    </row>
    <row r="195">
      <c r="A195" s="12" t="str">
        <f>IFERROR(__xludf.DUMMYFUNCTION("""COMPUTED_VALUE"""),"Dusan Cantekin")</f>
        <v>Dusan Cantekin</v>
      </c>
      <c r="B195" s="13" t="str">
        <f>IFERROR(__xludf.DUMMYFUNCTION("""COMPUTED_VALUE"""),"YES")</f>
        <v>YES</v>
      </c>
      <c r="C195" s="14">
        <f>IFERROR(__xludf.DUMMYFUNCTION("""COMPUTED_VALUE"""),268.0)</f>
        <v>268</v>
      </c>
      <c r="D195" s="15">
        <f>IFERROR(__xludf.DUMMYFUNCTION("""COMPUTED_VALUE"""),0.42609193189593075)</f>
        <v>0.4260919319</v>
      </c>
      <c r="E195" s="15">
        <f>IFERROR(__xludf.DUMMYFUNCTION("""COMPUTED_VALUE"""),-2.8485337039451415)</f>
        <v>-2.848533704</v>
      </c>
      <c r="F195" s="15">
        <f>IFERROR(__xludf.DUMMYFUNCTION("""COMPUTED_VALUE"""),-2.422441772049211)</f>
        <v>-2.422441772</v>
      </c>
      <c r="G195" s="17">
        <f>IFERROR(__xludf.DUMMYFUNCTION("""COMPUTED_VALUE"""),-0.03478792966516528)</f>
        <v>-0.03478792967</v>
      </c>
      <c r="H195" s="4"/>
      <c r="I195" s="5" t="s">
        <v>2065</v>
      </c>
      <c r="J195" s="5" t="s">
        <v>1946</v>
      </c>
      <c r="K195" s="5">
        <v>93.0</v>
      </c>
      <c r="L195" s="5">
        <v>-0.676456</v>
      </c>
      <c r="M195" s="5">
        <v>-1.653351</v>
      </c>
      <c r="N195" s="5">
        <v>-2.329807</v>
      </c>
      <c r="O195" s="5">
        <v>-0.009455</v>
      </c>
    </row>
    <row r="196">
      <c r="A196" s="18" t="str">
        <f>IFERROR(__xludf.DUMMYFUNCTION("""COMPUTED_VALUE"""),"Lazeric Jones")</f>
        <v>Lazeric Jones</v>
      </c>
      <c r="B196" s="19" t="str">
        <f>IFERROR(__xludf.DUMMYFUNCTION("""COMPUTED_VALUE"""),"SAK")</f>
        <v>SAK</v>
      </c>
      <c r="C196" s="20">
        <f>IFERROR(__xludf.DUMMYFUNCTION("""COMPUTED_VALUE"""),810.1)</f>
        <v>810.1</v>
      </c>
      <c r="D196" s="21">
        <f>IFERROR(__xludf.DUMMYFUNCTION("""COMPUTED_VALUE"""),-1.217461262390397)</f>
        <v>-1.217461262</v>
      </c>
      <c r="E196" s="21">
        <f>IFERROR(__xludf.DUMMYFUNCTION("""COMPUTED_VALUE"""),-1.2391554300372993)</f>
        <v>-1.23915543</v>
      </c>
      <c r="F196" s="21">
        <f>IFERROR(__xludf.DUMMYFUNCTION("""COMPUTED_VALUE"""),-2.4566166924276964)</f>
        <v>-2.456616692</v>
      </c>
      <c r="G196" s="23">
        <f>IFERROR(__xludf.DUMMYFUNCTION("""COMPUTED_VALUE"""),-0.11281298704664204)</f>
        <v>-0.112812987</v>
      </c>
      <c r="H196" s="4"/>
      <c r="I196" s="5" t="s">
        <v>2066</v>
      </c>
      <c r="J196" s="5" t="s">
        <v>1915</v>
      </c>
      <c r="K196" s="5">
        <v>669.0</v>
      </c>
      <c r="L196" s="5">
        <v>-0.816388</v>
      </c>
      <c r="M196" s="5">
        <v>-1.527317</v>
      </c>
      <c r="N196" s="5">
        <v>-2.343705</v>
      </c>
      <c r="O196" s="5">
        <v>-0.069794</v>
      </c>
    </row>
    <row r="197">
      <c r="A197" s="12" t="str">
        <f>IFERROR(__xludf.DUMMYFUNCTION("""COMPUTED_VALUE"""),"Melih Yildiz")</f>
        <v>Melih Yildiz</v>
      </c>
      <c r="B197" s="13" t="str">
        <f>IFERROR(__xludf.DUMMYFUNCTION("""COMPUTED_VALUE"""),"DEM")</f>
        <v>DEM</v>
      </c>
      <c r="C197" s="14">
        <f>IFERROR(__xludf.DUMMYFUNCTION("""COMPUTED_VALUE"""),122.2)</f>
        <v>122.2</v>
      </c>
      <c r="D197" s="15">
        <f>IFERROR(__xludf.DUMMYFUNCTION("""COMPUTED_VALUE"""),-2.1767256084198756)</f>
        <v>-2.176725608</v>
      </c>
      <c r="E197" s="15">
        <f>IFERROR(__xludf.DUMMYFUNCTION("""COMPUTED_VALUE"""),-0.31813944444435727)</f>
        <v>-0.3181394444</v>
      </c>
      <c r="F197" s="15">
        <f>IFERROR(__xludf.DUMMYFUNCTION("""COMPUTED_VALUE"""),-2.494865052864233)</f>
        <v>-2.494865053</v>
      </c>
      <c r="G197" s="17">
        <f>IFERROR(__xludf.DUMMYFUNCTION("""COMPUTED_VALUE"""),-0.01874922781934971)</f>
        <v>-0.01874922782</v>
      </c>
      <c r="H197" s="4"/>
      <c r="I197" s="5" t="s">
        <v>2067</v>
      </c>
      <c r="J197" s="5" t="s">
        <v>1923</v>
      </c>
      <c r="K197" s="5">
        <v>43.0</v>
      </c>
      <c r="L197" s="5">
        <v>-1.809567</v>
      </c>
      <c r="M197" s="5">
        <v>-0.543685</v>
      </c>
      <c r="N197" s="5">
        <v>-2.353252</v>
      </c>
      <c r="O197" s="5">
        <v>-0.00457</v>
      </c>
    </row>
    <row r="198">
      <c r="A198" s="18" t="str">
        <f>IFERROR(__xludf.DUMMYFUNCTION("""COMPUTED_VALUE"""),"Gorkem Dogan")</f>
        <v>Gorkem Dogan</v>
      </c>
      <c r="B198" s="19" t="str">
        <f>IFERROR(__xludf.DUMMYFUNCTION("""COMPUTED_VALUE"""),"PIN")</f>
        <v>PIN</v>
      </c>
      <c r="C198" s="20">
        <f>IFERROR(__xludf.DUMMYFUNCTION("""COMPUTED_VALUE"""),48.3)</f>
        <v>48.3</v>
      </c>
      <c r="D198" s="21">
        <f>IFERROR(__xludf.DUMMYFUNCTION("""COMPUTED_VALUE"""),-1.3291455640467216)</f>
        <v>-1.329145564</v>
      </c>
      <c r="E198" s="21">
        <f>IFERROR(__xludf.DUMMYFUNCTION("""COMPUTED_VALUE"""),-1.1992248674305557)</f>
        <v>-1.199224867</v>
      </c>
      <c r="F198" s="21">
        <f>IFERROR(__xludf.DUMMYFUNCTION("""COMPUTED_VALUE"""),-2.5283704314772772)</f>
        <v>-2.528370431</v>
      </c>
      <c r="G198" s="23">
        <f>IFERROR(__xludf.DUMMYFUNCTION("""COMPUTED_VALUE"""),-0.007750865130926719)</f>
        <v>-0.007750865131</v>
      </c>
      <c r="H198" s="4"/>
      <c r="I198" s="5" t="s">
        <v>2068</v>
      </c>
      <c r="J198" s="5" t="s">
        <v>1946</v>
      </c>
      <c r="K198" s="24">
        <v>268.0</v>
      </c>
      <c r="L198" s="5">
        <v>0.418713</v>
      </c>
      <c r="M198" s="5">
        <v>-2.826666</v>
      </c>
      <c r="N198" s="5">
        <v>-2.407954</v>
      </c>
      <c r="O198" s="5">
        <v>-0.033595</v>
      </c>
    </row>
    <row r="199">
      <c r="A199" s="12" t="str">
        <f>IFERROR(__xludf.DUMMYFUNCTION("""COMPUTED_VALUE"""),"Antywane Robinson")</f>
        <v>Antywane Robinson</v>
      </c>
      <c r="B199" s="13" t="str">
        <f>IFERROR(__xludf.DUMMYFUNCTION("""COMPUTED_VALUE"""),"DEM")</f>
        <v>DEM</v>
      </c>
      <c r="C199" s="14">
        <f>IFERROR(__xludf.DUMMYFUNCTION("""COMPUTED_VALUE"""),222.7)</f>
        <v>222.7</v>
      </c>
      <c r="D199" s="15">
        <f>IFERROR(__xludf.DUMMYFUNCTION("""COMPUTED_VALUE"""),-2.0929346551254904)</f>
        <v>-2.092934655</v>
      </c>
      <c r="E199" s="15">
        <f>IFERROR(__xludf.DUMMYFUNCTION("""COMPUTED_VALUE"""),-0.4533745619978289)</f>
        <v>-0.453374562</v>
      </c>
      <c r="F199" s="15">
        <f>IFERROR(__xludf.DUMMYFUNCTION("""COMPUTED_VALUE"""),-2.5463092171233193)</f>
        <v>-2.546309217</v>
      </c>
      <c r="G199" s="17">
        <f>IFERROR(__xludf.DUMMYFUNCTION("""COMPUTED_VALUE"""),-0.03772108184788028)</f>
        <v>-0.03772108185</v>
      </c>
      <c r="H199" s="4"/>
      <c r="I199" s="5" t="s">
        <v>520</v>
      </c>
      <c r="J199" s="5" t="s">
        <v>60</v>
      </c>
      <c r="K199" s="5">
        <v>167.0</v>
      </c>
      <c r="L199" s="5">
        <v>-1.735549</v>
      </c>
      <c r="M199" s="5">
        <v>-0.698005</v>
      </c>
      <c r="N199" s="5">
        <v>-2.433554</v>
      </c>
      <c r="O199" s="5">
        <v>-0.021437</v>
      </c>
    </row>
    <row r="200">
      <c r="A200" s="18" t="str">
        <f>IFERROR(__xludf.DUMMYFUNCTION("""COMPUTED_VALUE"""),"Sehmus Hazer")</f>
        <v>Sehmus Hazer</v>
      </c>
      <c r="B200" s="19" t="str">
        <f>IFERROR(__xludf.DUMMYFUNCTION("""COMPUTED_VALUE"""),"BVS")</f>
        <v>BVS</v>
      </c>
      <c r="C200" s="20">
        <f>IFERROR(__xludf.DUMMYFUNCTION("""COMPUTED_VALUE"""),213.8)</f>
        <v>213.8</v>
      </c>
      <c r="D200" s="21">
        <f>IFERROR(__xludf.DUMMYFUNCTION("""COMPUTED_VALUE"""),-1.7954327565532178)</f>
        <v>-1.795432757</v>
      </c>
      <c r="E200" s="21">
        <f>IFERROR(__xludf.DUMMYFUNCTION("""COMPUTED_VALUE"""),-0.7775076293097776)</f>
        <v>-0.7775076293</v>
      </c>
      <c r="F200" s="21">
        <f>IFERROR(__xludf.DUMMYFUNCTION("""COMPUTED_VALUE"""),-2.5729403858629953)</f>
        <v>-2.572940386</v>
      </c>
      <c r="G200" s="23">
        <f>IFERROR(__xludf.DUMMYFUNCTION("""COMPUTED_VALUE"""),-0.03686770445431863)</f>
        <v>-0.03686770445</v>
      </c>
      <c r="H200" s="4"/>
      <c r="I200" s="5" t="s">
        <v>2069</v>
      </c>
      <c r="J200" s="5" t="s">
        <v>1942</v>
      </c>
      <c r="K200" s="5">
        <v>122.0</v>
      </c>
      <c r="L200" s="5">
        <v>-2.181894</v>
      </c>
      <c r="M200" s="5">
        <v>-0.312687</v>
      </c>
      <c r="N200" s="5">
        <v>-2.494582</v>
      </c>
      <c r="O200" s="5">
        <v>-0.018738</v>
      </c>
    </row>
    <row r="201">
      <c r="A201" s="12" t="str">
        <f>IFERROR(__xludf.DUMMYFUNCTION("""COMPUTED_VALUE"""),"Dorde Gagic")</f>
        <v>Dorde Gagic</v>
      </c>
      <c r="B201" s="13" t="str">
        <f>IFERROR(__xludf.DUMMYFUNCTION("""COMPUTED_VALUE"""),"YES")</f>
        <v>YES</v>
      </c>
      <c r="C201" s="14">
        <f>IFERROR(__xludf.DUMMYFUNCTION("""COMPUTED_VALUE"""),271.7)</f>
        <v>271.7</v>
      </c>
      <c r="D201" s="15">
        <f>IFERROR(__xludf.DUMMYFUNCTION("""COMPUTED_VALUE"""),-1.8411069159481273)</f>
        <v>-1.841106916</v>
      </c>
      <c r="E201" s="15">
        <f>IFERROR(__xludf.DUMMYFUNCTION("""COMPUTED_VALUE"""),-0.7365925118284575)</f>
        <v>-0.7365925118</v>
      </c>
      <c r="F201" s="15">
        <f>IFERROR(__xludf.DUMMYFUNCTION("""COMPUTED_VALUE"""),-2.577699427776585)</f>
        <v>-2.577699428</v>
      </c>
      <c r="G201" s="17">
        <f>IFERROR(__xludf.DUMMYFUNCTION("""COMPUTED_VALUE"""),-0.048230138533886906)</f>
        <v>-0.04823013853</v>
      </c>
      <c r="H201" s="4"/>
      <c r="I201" s="5" t="s">
        <v>2070</v>
      </c>
      <c r="J201" s="5" t="s">
        <v>1915</v>
      </c>
      <c r="K201" s="5">
        <v>48.0</v>
      </c>
      <c r="L201" s="5">
        <v>-1.331333</v>
      </c>
      <c r="M201" s="5">
        <v>-1.197044</v>
      </c>
      <c r="N201" s="5">
        <v>-2.528377</v>
      </c>
      <c r="O201" s="5">
        <v>-0.007751</v>
      </c>
    </row>
    <row r="202">
      <c r="A202" s="18" t="str">
        <f>IFERROR(__xludf.DUMMYFUNCTION("""COMPUTED_VALUE"""),"Gani Erdi Gulaslan")</f>
        <v>Gani Erdi Gulaslan</v>
      </c>
      <c r="B202" s="19" t="str">
        <f>IFERROR(__xludf.DUMMYFUNCTION("""COMPUTED_VALUE"""),"PIN")</f>
        <v>PIN</v>
      </c>
      <c r="C202" s="20">
        <f>IFERROR(__xludf.DUMMYFUNCTION("""COMPUTED_VALUE"""),225.5)</f>
        <v>225.5</v>
      </c>
      <c r="D202" s="21">
        <f>IFERROR(__xludf.DUMMYFUNCTION("""COMPUTED_VALUE"""),-1.183666899375742)</f>
        <v>-1.183666899</v>
      </c>
      <c r="E202" s="21">
        <f>IFERROR(__xludf.DUMMYFUNCTION("""COMPUTED_VALUE"""),-1.4756532855402629)</f>
        <v>-1.475653286</v>
      </c>
      <c r="F202" s="21">
        <f>IFERROR(__xludf.DUMMYFUNCTION("""COMPUTED_VALUE"""),-2.659320184916005)</f>
        <v>-2.659320185</v>
      </c>
      <c r="G202" s="23">
        <f>IFERROR(__xludf.DUMMYFUNCTION("""COMPUTED_VALUE"""),-0.04515516790268172)</f>
        <v>-0.0451551679</v>
      </c>
      <c r="H202" s="4"/>
      <c r="I202" s="5" t="s">
        <v>2071</v>
      </c>
      <c r="J202" s="5" t="s">
        <v>1942</v>
      </c>
      <c r="K202" s="5">
        <v>223.0</v>
      </c>
      <c r="L202" s="5">
        <v>-2.102801</v>
      </c>
      <c r="M202" s="5">
        <v>-0.443359</v>
      </c>
      <c r="N202" s="5">
        <v>-2.546159</v>
      </c>
      <c r="O202" s="5">
        <v>-0.037711</v>
      </c>
    </row>
    <row r="203">
      <c r="A203" s="12" t="str">
        <f>IFERROR(__xludf.DUMMYFUNCTION("""COMPUTED_VALUE"""),"Ricky Ledo")</f>
        <v>Ricky Ledo</v>
      </c>
      <c r="B203" s="13" t="str">
        <f>IFERROR(__xludf.DUMMYFUNCTION("""COMPUTED_VALUE"""),"EFE")</f>
        <v>EFE</v>
      </c>
      <c r="C203" s="14">
        <f>IFERROR(__xludf.DUMMYFUNCTION("""COMPUTED_VALUE"""),167.0)</f>
        <v>167</v>
      </c>
      <c r="D203" s="15">
        <f>IFERROR(__xludf.DUMMYFUNCTION("""COMPUTED_VALUE"""),-1.7433618057676874)</f>
        <v>-1.743361806</v>
      </c>
      <c r="E203" s="15">
        <f>IFERROR(__xludf.DUMMYFUNCTION("""COMPUTED_VALUE"""),-0.9517023639424136)</f>
        <v>-0.9517023639</v>
      </c>
      <c r="F203" s="15">
        <f>IFERROR(__xludf.DUMMYFUNCTION("""COMPUTED_VALUE"""),-2.695064169710101)</f>
        <v>-2.69506417</v>
      </c>
      <c r="G203" s="17">
        <f>IFERROR(__xludf.DUMMYFUNCTION("""COMPUTED_VALUE"""),-0.03435541258055535)</f>
        <v>-0.03435541258</v>
      </c>
      <c r="H203" s="4"/>
      <c r="I203" s="5" t="s">
        <v>1035</v>
      </c>
      <c r="J203" s="5" t="s">
        <v>1946</v>
      </c>
      <c r="K203" s="5">
        <v>272.0</v>
      </c>
      <c r="L203" s="5">
        <v>-1.848334</v>
      </c>
      <c r="M203" s="5">
        <v>-0.714469</v>
      </c>
      <c r="N203" s="5">
        <v>-2.562803</v>
      </c>
      <c r="O203" s="5">
        <v>-0.046986</v>
      </c>
    </row>
    <row r="204">
      <c r="A204" s="18" t="str">
        <f>IFERROR(__xludf.DUMMYFUNCTION("""COMPUTED_VALUE"""),"Muhammed Baygul")</f>
        <v>Muhammed Baygul</v>
      </c>
      <c r="B204" s="19" t="str">
        <f>IFERROR(__xludf.DUMMYFUNCTION("""COMPUTED_VALUE"""),"DBI")</f>
        <v>DBI</v>
      </c>
      <c r="C204" s="20">
        <f>IFERROR(__xludf.DUMMYFUNCTION("""COMPUTED_VALUE"""),284.6)</f>
        <v>284.6</v>
      </c>
      <c r="D204" s="21">
        <f>IFERROR(__xludf.DUMMYFUNCTION("""COMPUTED_VALUE"""),-3.1371579314810387)</f>
        <v>-3.137157931</v>
      </c>
      <c r="E204" s="21">
        <f>IFERROR(__xludf.DUMMYFUNCTION("""COMPUTED_VALUE"""),0.41774509909538926)</f>
        <v>0.4177450991</v>
      </c>
      <c r="F204" s="21">
        <f>IFERROR(__xludf.DUMMYFUNCTION("""COMPUTED_VALUE"""),-2.7194128323856495)</f>
        <v>-2.719412832</v>
      </c>
      <c r="G204" s="23">
        <f>IFERROR(__xludf.DUMMYFUNCTION("""COMPUTED_VALUE"""),-0.06176882484992579)</f>
        <v>-0.06176882485</v>
      </c>
      <c r="H204" s="4"/>
      <c r="I204" s="5" t="s">
        <v>2072</v>
      </c>
      <c r="J204" s="5" t="s">
        <v>1874</v>
      </c>
      <c r="K204" s="5">
        <v>765.0</v>
      </c>
      <c r="L204" s="5">
        <v>-1.267147</v>
      </c>
      <c r="M204" s="5">
        <v>-1.298894</v>
      </c>
      <c r="N204" s="5">
        <v>-2.566041</v>
      </c>
      <c r="O204" s="5">
        <v>-0.131996</v>
      </c>
    </row>
    <row r="205">
      <c r="A205" s="12" t="str">
        <f>IFERROR(__xludf.DUMMYFUNCTION("""COMPUTED_VALUE"""),"Tufan Onen")</f>
        <v>Tufan Onen</v>
      </c>
      <c r="B205" s="13" t="str">
        <f>IFERROR(__xludf.DUMMYFUNCTION("""COMPUTED_VALUE"""),"SAK")</f>
        <v>SAK</v>
      </c>
      <c r="C205" s="14">
        <f>IFERROR(__xludf.DUMMYFUNCTION("""COMPUTED_VALUE"""),159.5)</f>
        <v>159.5</v>
      </c>
      <c r="D205" s="15">
        <f>IFERROR(__xludf.DUMMYFUNCTION("""COMPUTED_VALUE"""),-2.754592801249863)</f>
        <v>-2.754592801</v>
      </c>
      <c r="E205" s="15">
        <f>IFERROR(__xludf.DUMMYFUNCTION("""COMPUTED_VALUE"""),0.031695739684920454)</f>
        <v>0.03169573968</v>
      </c>
      <c r="F205" s="15">
        <f>IFERROR(__xludf.DUMMYFUNCTION("""COMPUTED_VALUE"""),-2.7228970615649426)</f>
        <v>-2.722897062</v>
      </c>
      <c r="G205" s="17">
        <f>IFERROR(__xludf.DUMMYFUNCTION("""COMPUTED_VALUE"""),-0.03516461196135114)</f>
        <v>-0.03516461196</v>
      </c>
      <c r="H205" s="4"/>
      <c r="I205" s="5" t="s">
        <v>2073</v>
      </c>
      <c r="J205" s="5" t="s">
        <v>1874</v>
      </c>
      <c r="K205" s="5">
        <v>160.0</v>
      </c>
      <c r="L205" s="5">
        <v>-2.651308</v>
      </c>
      <c r="M205" s="5">
        <v>0.037592</v>
      </c>
      <c r="N205" s="5">
        <v>-2.613717</v>
      </c>
      <c r="O205" s="5">
        <v>-0.029854</v>
      </c>
    </row>
    <row r="206">
      <c r="A206" s="18" t="str">
        <f>IFERROR(__xludf.DUMMYFUNCTION("""COMPUTED_VALUE"""),"Adonis Thomas")</f>
        <v>Adonis Thomas</v>
      </c>
      <c r="B206" s="19" t="str">
        <f>IFERROR(__xludf.DUMMYFUNCTION("""COMPUTED_VALUE"""),"BVS")</f>
        <v>BVS</v>
      </c>
      <c r="C206" s="20">
        <f>IFERROR(__xludf.DUMMYFUNCTION("""COMPUTED_VALUE"""),875.6)</f>
        <v>875.6</v>
      </c>
      <c r="D206" s="21">
        <f>IFERROR(__xludf.DUMMYFUNCTION("""COMPUTED_VALUE"""),-2.2028656910842876)</f>
        <v>-2.202865691</v>
      </c>
      <c r="E206" s="21">
        <f>IFERROR(__xludf.DUMMYFUNCTION("""COMPUTED_VALUE"""),-0.5339062177610154)</f>
        <v>-0.5339062178</v>
      </c>
      <c r="F206" s="21">
        <f>IFERROR(__xludf.DUMMYFUNCTION("""COMPUTED_VALUE"""),-2.736771908845303)</f>
        <v>-2.736771909</v>
      </c>
      <c r="G206" s="23">
        <f>IFERROR(__xludf.DUMMYFUNCTION("""COMPUTED_VALUE"""),-0.19416358055227487)</f>
        <v>-0.1941635806</v>
      </c>
      <c r="H206" s="4"/>
      <c r="I206" s="5" t="s">
        <v>2074</v>
      </c>
      <c r="J206" s="5" t="s">
        <v>1887</v>
      </c>
      <c r="K206" s="5">
        <v>732.0</v>
      </c>
      <c r="L206" s="5">
        <v>-2.473146</v>
      </c>
      <c r="M206" s="5">
        <v>-0.174071</v>
      </c>
      <c r="N206" s="5">
        <v>-2.647217</v>
      </c>
      <c r="O206" s="5">
        <v>-0.142849</v>
      </c>
    </row>
    <row r="207">
      <c r="A207" s="12" t="str">
        <f>IFERROR(__xludf.DUMMYFUNCTION("""COMPUTED_VALUE"""),"Ugur Dokuyan")</f>
        <v>Ugur Dokuyan</v>
      </c>
      <c r="B207" s="13" t="str">
        <f>IFERROR(__xludf.DUMMYFUNCTION("""COMPUTED_VALUE"""),"IBB")</f>
        <v>IBB</v>
      </c>
      <c r="C207" s="14">
        <f>IFERROR(__xludf.DUMMYFUNCTION("""COMPUTED_VALUE"""),544.6)</f>
        <v>544.6</v>
      </c>
      <c r="D207" s="15">
        <f>IFERROR(__xludf.DUMMYFUNCTION("""COMPUTED_VALUE"""),-3.5667148047843873)</f>
        <v>-3.566714805</v>
      </c>
      <c r="E207" s="15">
        <f>IFERROR(__xludf.DUMMYFUNCTION("""COMPUTED_VALUE"""),0.8264767742672725)</f>
        <v>0.8264767743</v>
      </c>
      <c r="F207" s="15">
        <f>IFERROR(__xludf.DUMMYFUNCTION("""COMPUTED_VALUE"""),-2.740238030517115)</f>
        <v>-2.740238031</v>
      </c>
      <c r="G207" s="17">
        <f>IFERROR(__xludf.DUMMYFUNCTION("""COMPUTED_VALUE"""),-0.12376054268956432)</f>
        <v>-0.1237605427</v>
      </c>
      <c r="H207" s="4"/>
      <c r="I207" s="5" t="s">
        <v>517</v>
      </c>
      <c r="J207" s="5" t="s">
        <v>60</v>
      </c>
      <c r="K207" s="5">
        <v>333.0</v>
      </c>
      <c r="L207" s="5">
        <v>-2.072967</v>
      </c>
      <c r="M207" s="5">
        <v>-0.583224</v>
      </c>
      <c r="N207" s="5">
        <v>-2.65619</v>
      </c>
      <c r="O207" s="5">
        <v>-0.064774</v>
      </c>
    </row>
    <row r="208">
      <c r="A208" s="18" t="str">
        <f>IFERROR(__xludf.DUMMYFUNCTION("""COMPUTED_VALUE"""),"Deniz Kilicli")</f>
        <v>Deniz Kilicli</v>
      </c>
      <c r="B208" s="19" t="str">
        <f>IFERROR(__xludf.DUMMYFUNCTION("""COMPUTED_VALUE"""),"TRA")</f>
        <v>TRA</v>
      </c>
      <c r="C208" s="20">
        <f>IFERROR(__xludf.DUMMYFUNCTION("""COMPUTED_VALUE"""),118.4)</f>
        <v>118.4</v>
      </c>
      <c r="D208" s="21">
        <f>IFERROR(__xludf.DUMMYFUNCTION("""COMPUTED_VALUE"""),-0.9753411342597363)</f>
        <v>-0.9753411343</v>
      </c>
      <c r="E208" s="21">
        <f>IFERROR(__xludf.DUMMYFUNCTION("""COMPUTED_VALUE"""),-1.7904880805510035)</f>
        <v>-1.790488081</v>
      </c>
      <c r="F208" s="21">
        <f>IFERROR(__xludf.DUMMYFUNCTION("""COMPUTED_VALUE"""),-2.76582921481074)</f>
        <v>-2.765829215</v>
      </c>
      <c r="G208" s="23">
        <f>IFERROR(__xludf.DUMMYFUNCTION("""COMPUTED_VALUE"""),-0.027470586398013277)</f>
        <v>-0.0274705864</v>
      </c>
      <c r="H208" s="4"/>
      <c r="I208" s="5" t="s">
        <v>2075</v>
      </c>
      <c r="J208" s="5" t="s">
        <v>1915</v>
      </c>
      <c r="K208" s="5">
        <v>226.0</v>
      </c>
      <c r="L208" s="5">
        <v>-1.193108</v>
      </c>
      <c r="M208" s="5">
        <v>-1.465609</v>
      </c>
      <c r="N208" s="5">
        <v>-2.658718</v>
      </c>
      <c r="O208" s="5">
        <v>-0.045114</v>
      </c>
    </row>
    <row r="209">
      <c r="A209" s="12" t="str">
        <f>IFERROR(__xludf.DUMMYFUNCTION("""COMPUTED_VALUE"""),"DaJuan Summers")</f>
        <v>DaJuan Summers</v>
      </c>
      <c r="B209" s="13" t="str">
        <f>IFERROR(__xludf.DUMMYFUNCTION("""COMPUTED_VALUE"""),"GAL")</f>
        <v>GAL</v>
      </c>
      <c r="C209" s="14">
        <f>IFERROR(__xludf.DUMMYFUNCTION("""COMPUTED_VALUE"""),603.6)</f>
        <v>603.6</v>
      </c>
      <c r="D209" s="15">
        <f>IFERROR(__xludf.DUMMYFUNCTION("""COMPUTED_VALUE"""),-2.5316251849070355)</f>
        <v>-2.531625185</v>
      </c>
      <c r="E209" s="15">
        <f>IFERROR(__xludf.DUMMYFUNCTION("""COMPUTED_VALUE"""),-0.28559150814838663)</f>
        <v>-0.2855915081</v>
      </c>
      <c r="F209" s="15">
        <f>IFERROR(__xludf.DUMMYFUNCTION("""COMPUTED_VALUE"""),-2.817216693055422)</f>
        <v>-2.817216693</v>
      </c>
      <c r="G209" s="17">
        <f>IFERROR(__xludf.DUMMYFUNCTION("""COMPUTED_VALUE"""),-0.15148734931376484)</f>
        <v>-0.1514873493</v>
      </c>
      <c r="H209" s="4"/>
      <c r="I209" s="5" t="s">
        <v>2076</v>
      </c>
      <c r="J209" s="5" t="s">
        <v>1926</v>
      </c>
      <c r="K209" s="5">
        <v>545.0</v>
      </c>
      <c r="L209" s="5">
        <v>-3.579407</v>
      </c>
      <c r="M209" s="5">
        <v>0.839863</v>
      </c>
      <c r="N209" s="5">
        <v>-2.739545</v>
      </c>
      <c r="O209" s="5">
        <v>-0.123645</v>
      </c>
    </row>
    <row r="210">
      <c r="A210" s="18" t="str">
        <f>IFERROR(__xludf.DUMMYFUNCTION("""COMPUTED_VALUE"""),"Murat Goktas")</f>
        <v>Murat Goktas</v>
      </c>
      <c r="B210" s="19" t="str">
        <f>IFERROR(__xludf.DUMMYFUNCTION("""COMPUTED_VALUE"""),"GAZ")</f>
        <v>GAZ</v>
      </c>
      <c r="C210" s="20">
        <f>IFERROR(__xludf.DUMMYFUNCTION("""COMPUTED_VALUE"""),81.8)</f>
        <v>81.8</v>
      </c>
      <c r="D210" s="21">
        <f>IFERROR(__xludf.DUMMYFUNCTION("""COMPUTED_VALUE"""),-2.153915228871957)</f>
        <v>-2.153915229</v>
      </c>
      <c r="E210" s="21">
        <f>IFERROR(__xludf.DUMMYFUNCTION("""COMPUTED_VALUE"""),-0.680179066037061)</f>
        <v>-0.680179066</v>
      </c>
      <c r="F210" s="21">
        <f>IFERROR(__xludf.DUMMYFUNCTION("""COMPUTED_VALUE"""),-2.834094294909018)</f>
        <v>-2.834094295</v>
      </c>
      <c r="G210" s="23">
        <f>IFERROR(__xludf.DUMMYFUNCTION("""COMPUTED_VALUE"""),-0.020503345153722242)</f>
        <v>-0.02050334515</v>
      </c>
      <c r="H210" s="4"/>
      <c r="I210" s="5" t="s">
        <v>2077</v>
      </c>
      <c r="J210" s="5" t="s">
        <v>1923</v>
      </c>
      <c r="K210" s="5">
        <v>118.0</v>
      </c>
      <c r="L210" s="5">
        <v>-0.985044</v>
      </c>
      <c r="M210" s="5">
        <v>-1.780039</v>
      </c>
      <c r="N210" s="5">
        <v>-2.765083</v>
      </c>
      <c r="O210" s="5">
        <v>-0.027444</v>
      </c>
    </row>
    <row r="211">
      <c r="A211" s="12" t="str">
        <f>IFERROR(__xludf.DUMMYFUNCTION("""COMPUTED_VALUE"""),"Mehmet Ozdogan")</f>
        <v>Mehmet Ozdogan</v>
      </c>
      <c r="B211" s="13" t="str">
        <f>IFERROR(__xludf.DUMMYFUNCTION("""COMPUTED_VALUE"""),"SAK")</f>
        <v>SAK</v>
      </c>
      <c r="C211" s="14">
        <f>IFERROR(__xludf.DUMMYFUNCTION("""COMPUTED_VALUE"""),223.7)</f>
        <v>223.7</v>
      </c>
      <c r="D211" s="15">
        <f>IFERROR(__xludf.DUMMYFUNCTION("""COMPUTED_VALUE"""),-0.5142807994667152)</f>
        <v>-0.5142807995</v>
      </c>
      <c r="E211" s="15">
        <f>IFERROR(__xludf.DUMMYFUNCTION("""COMPUTED_VALUE"""),-2.324100013260471)</f>
        <v>-2.324100013</v>
      </c>
      <c r="F211" s="15">
        <f>IFERROR(__xludf.DUMMYFUNCTION("""COMPUTED_VALUE"""),-2.8383808127271863)</f>
        <v>-2.838380813</v>
      </c>
      <c r="G211" s="17">
        <f>IFERROR(__xludf.DUMMYFUNCTION("""COMPUTED_VALUE"""),-0.057197361727936366)</f>
        <v>-0.05719736173</v>
      </c>
      <c r="H211" s="4"/>
      <c r="I211" s="5" t="s">
        <v>2078</v>
      </c>
      <c r="J211" s="5" t="s">
        <v>1592</v>
      </c>
      <c r="K211" s="5">
        <v>604.0</v>
      </c>
      <c r="L211" s="5">
        <v>-2.545465</v>
      </c>
      <c r="M211" s="5">
        <v>-0.272018</v>
      </c>
      <c r="N211" s="5">
        <v>-2.817482</v>
      </c>
      <c r="O211" s="5">
        <v>-0.151537</v>
      </c>
    </row>
    <row r="212">
      <c r="A212" s="18" t="str">
        <f>IFERROR(__xludf.DUMMYFUNCTION("""COMPUTED_VALUE"""),"Anton Odabasi")</f>
        <v>Anton Odabasi</v>
      </c>
      <c r="B212" s="19" t="str">
        <f>IFERROR(__xludf.DUMMYFUNCTION("""COMPUTED_VALUE"""),"TRA")</f>
        <v>TRA</v>
      </c>
      <c r="C212" s="20">
        <f>IFERROR(__xludf.DUMMYFUNCTION("""COMPUTED_VALUE"""),261.0)</f>
        <v>261</v>
      </c>
      <c r="D212" s="21">
        <f>IFERROR(__xludf.DUMMYFUNCTION("""COMPUTED_VALUE"""),-0.16814284880786132)</f>
        <v>-0.1681428488</v>
      </c>
      <c r="E212" s="21">
        <f>IFERROR(__xludf.DUMMYFUNCTION("""COMPUTED_VALUE"""),-2.8030090830127494)</f>
        <v>-2.803009083</v>
      </c>
      <c r="F212" s="21">
        <f>IFERROR(__xludf.DUMMYFUNCTION("""COMPUTED_VALUE"""),-2.9711519318206108)</f>
        <v>-2.971151932</v>
      </c>
      <c r="G212" s="23">
        <f>IFERROR(__xludf.DUMMYFUNCTION("""COMPUTED_VALUE"""),-0.07679129361761064)</f>
        <v>-0.07679129362</v>
      </c>
      <c r="H212" s="4"/>
      <c r="I212" s="5" t="s">
        <v>2079</v>
      </c>
      <c r="J212" s="5" t="s">
        <v>1912</v>
      </c>
      <c r="K212" s="5">
        <v>82.0</v>
      </c>
      <c r="L212" s="5">
        <v>-2.157373</v>
      </c>
      <c r="M212" s="5">
        <v>-0.676534</v>
      </c>
      <c r="N212" s="5">
        <v>-2.833907</v>
      </c>
      <c r="O212" s="5">
        <v>-0.020499</v>
      </c>
    </row>
    <row r="213">
      <c r="A213" s="12" t="str">
        <f>IFERROR(__xludf.DUMMYFUNCTION("""COMPUTED_VALUE"""),"Derrick Brown")</f>
        <v>Derrick Brown</v>
      </c>
      <c r="B213" s="13" t="str">
        <f>IFERROR(__xludf.DUMMYFUNCTION("""COMPUTED_VALUE"""),"EFE")</f>
        <v>EFE</v>
      </c>
      <c r="C213" s="14">
        <f>IFERROR(__xludf.DUMMYFUNCTION("""COMPUTED_VALUE"""),398.1)</f>
        <v>398.1</v>
      </c>
      <c r="D213" s="15">
        <f>IFERROR(__xludf.DUMMYFUNCTION("""COMPUTED_VALUE"""),-1.806253742979984)</f>
        <v>-1.806253743</v>
      </c>
      <c r="E213" s="15">
        <f>IFERROR(__xludf.DUMMYFUNCTION("""COMPUTED_VALUE"""),-1.1902451012101811)</f>
        <v>-1.190245101</v>
      </c>
      <c r="F213" s="15">
        <f>IFERROR(__xludf.DUMMYFUNCTION("""COMPUTED_VALUE"""),-2.996498844190165)</f>
        <v>-2.996498844</v>
      </c>
      <c r="G213" s="17">
        <f>IFERROR(__xludf.DUMMYFUNCTION("""COMPUTED_VALUE"""),-0.11741478110898701)</f>
        <v>-0.1174147811</v>
      </c>
      <c r="H213" s="4"/>
      <c r="I213" s="5" t="s">
        <v>448</v>
      </c>
      <c r="J213" s="5" t="s">
        <v>60</v>
      </c>
      <c r="K213" s="5">
        <v>62.0</v>
      </c>
      <c r="L213" s="5">
        <v>-1.67586</v>
      </c>
      <c r="M213" s="5">
        <v>-1.162436</v>
      </c>
      <c r="N213" s="5">
        <v>-2.838296</v>
      </c>
      <c r="O213" s="5">
        <v>-0.015339</v>
      </c>
    </row>
    <row r="214">
      <c r="A214" s="18" t="str">
        <f>IFERROR(__xludf.DUMMYFUNCTION("""COMPUTED_VALUE"""),"Erol Can Cinko")</f>
        <v>Erol Can Cinko</v>
      </c>
      <c r="B214" s="19" t="str">
        <f>IFERROR(__xludf.DUMMYFUNCTION("""COMPUTED_VALUE"""),"GAZ")</f>
        <v>GAZ</v>
      </c>
      <c r="C214" s="20">
        <f>IFERROR(__xludf.DUMMYFUNCTION("""COMPUTED_VALUE"""),623.5)</f>
        <v>623.5</v>
      </c>
      <c r="D214" s="21">
        <f>IFERROR(__xludf.DUMMYFUNCTION("""COMPUTED_VALUE"""),-0.8188697716766341)</f>
        <v>-0.8188697717</v>
      </c>
      <c r="E214" s="21">
        <f>IFERROR(__xludf.DUMMYFUNCTION("""COMPUTED_VALUE"""),-2.2633843081308775)</f>
        <v>-2.263384308</v>
      </c>
      <c r="F214" s="21">
        <f>IFERROR(__xludf.DUMMYFUNCTION("""COMPUTED_VALUE"""),-3.0822540798075115)</f>
        <v>-3.08225408</v>
      </c>
      <c r="G214" s="23">
        <f>IFERROR(__xludf.DUMMYFUNCTION("""COMPUTED_VALUE"""),-0.20277852411226882)</f>
        <v>-0.2027785241</v>
      </c>
      <c r="H214" s="4"/>
      <c r="I214" s="5" t="s">
        <v>2080</v>
      </c>
      <c r="J214" s="5" t="s">
        <v>1923</v>
      </c>
      <c r="K214" s="5">
        <v>261.0</v>
      </c>
      <c r="L214" s="5">
        <v>-0.179837</v>
      </c>
      <c r="M214" s="5">
        <v>-2.791247</v>
      </c>
      <c r="N214" s="5">
        <v>-2.971085</v>
      </c>
      <c r="O214" s="5">
        <v>-0.076786</v>
      </c>
    </row>
    <row r="215">
      <c r="A215" s="12" t="str">
        <f>IFERROR(__xludf.DUMMYFUNCTION("""COMPUTED_VALUE"""),"Merthan Mutlu")</f>
        <v>Merthan Mutlu</v>
      </c>
      <c r="B215" s="13" t="str">
        <f>IFERROR(__xludf.DUMMYFUNCTION("""COMPUTED_VALUE"""),"DEM")</f>
        <v>DEM</v>
      </c>
      <c r="C215" s="14">
        <f>IFERROR(__xludf.DUMMYFUNCTION("""COMPUTED_VALUE"""),376.9)</f>
        <v>376.9</v>
      </c>
      <c r="D215" s="15">
        <f>IFERROR(__xludf.DUMMYFUNCTION("""COMPUTED_VALUE"""),-2.916151381936225)</f>
        <v>-2.916151382</v>
      </c>
      <c r="E215" s="15">
        <f>IFERROR(__xludf.DUMMYFUNCTION("""COMPUTED_VALUE"""),-0.23938213070393788)</f>
        <v>-0.2393821307</v>
      </c>
      <c r="F215" s="15">
        <f>IFERROR(__xludf.DUMMYFUNCTION("""COMPUTED_VALUE"""),-3.155533512640163)</f>
        <v>-3.155533513</v>
      </c>
      <c r="G215" s="17">
        <f>IFERROR(__xludf.DUMMYFUNCTION("""COMPUTED_VALUE"""),-0.13503118465711372)</f>
        <v>-0.1350311847</v>
      </c>
      <c r="H215" s="4"/>
      <c r="I215" s="5" t="s">
        <v>2081</v>
      </c>
      <c r="J215" s="5" t="s">
        <v>1887</v>
      </c>
      <c r="K215" s="5">
        <v>115.0</v>
      </c>
      <c r="L215" s="5">
        <v>-2.091031</v>
      </c>
      <c r="M215" s="5">
        <v>-0.897556</v>
      </c>
      <c r="N215" s="5">
        <v>-2.988587</v>
      </c>
      <c r="O215" s="5">
        <v>-0.034194</v>
      </c>
    </row>
    <row r="216">
      <c r="A216" s="18" t="str">
        <f>IFERROR(__xludf.DUMMYFUNCTION("""COMPUTED_VALUE"""),"Ryan Toolson")</f>
        <v>Ryan Toolson</v>
      </c>
      <c r="B216" s="19" t="str">
        <f>IFERROR(__xludf.DUMMYFUNCTION("""COMPUTED_VALUE"""),"IBB")</f>
        <v>IBB</v>
      </c>
      <c r="C216" s="20">
        <f>IFERROR(__xludf.DUMMYFUNCTION("""COMPUTED_VALUE"""),697.6)</f>
        <v>697.6</v>
      </c>
      <c r="D216" s="21">
        <f>IFERROR(__xludf.DUMMYFUNCTION("""COMPUTED_VALUE"""),-0.9786990686240783)</f>
        <v>-0.9786990686</v>
      </c>
      <c r="E216" s="21">
        <f>IFERROR(__xludf.DUMMYFUNCTION("""COMPUTED_VALUE"""),-2.1769680310880313)</f>
        <v>-2.176968031</v>
      </c>
      <c r="F216" s="21">
        <f>IFERROR(__xludf.DUMMYFUNCTION("""COMPUTED_VALUE"""),-3.1556670997121095)</f>
        <v>-3.1556671</v>
      </c>
      <c r="G216" s="23">
        <f>IFERROR(__xludf.DUMMYFUNCTION("""COMPUTED_VALUE"""),-0.24749840016822403)</f>
        <v>-0.2474984002</v>
      </c>
      <c r="H216" s="4"/>
      <c r="I216" s="5" t="s">
        <v>2082</v>
      </c>
      <c r="J216" s="5" t="s">
        <v>1912</v>
      </c>
      <c r="K216" s="5">
        <v>624.0</v>
      </c>
      <c r="L216" s="5">
        <v>-0.83166</v>
      </c>
      <c r="M216" s="5">
        <v>-2.249996</v>
      </c>
      <c r="N216" s="5">
        <v>-3.081656</v>
      </c>
      <c r="O216" s="5">
        <v>-0.202667</v>
      </c>
    </row>
    <row r="217">
      <c r="A217" s="12" t="str">
        <f>IFERROR(__xludf.DUMMYFUNCTION("""COMPUTED_VALUE"""),"Muhaymin Mustafa")</f>
        <v>Muhaymin Mustafa</v>
      </c>
      <c r="B217" s="13" t="str">
        <f>IFERROR(__xludf.DUMMYFUNCTION("""COMPUTED_VALUE"""),"EFE")</f>
        <v>EFE</v>
      </c>
      <c r="C217" s="14">
        <f>IFERROR(__xludf.DUMMYFUNCTION("""COMPUTED_VALUE"""),69.5)</f>
        <v>69.5</v>
      </c>
      <c r="D217" s="15">
        <f>IFERROR(__xludf.DUMMYFUNCTION("""COMPUTED_VALUE"""),-1.9227240306811606)</f>
        <v>-1.922724031</v>
      </c>
      <c r="E217" s="15">
        <f>IFERROR(__xludf.DUMMYFUNCTION("""COMPUTED_VALUE"""),-1.2458269921235623)</f>
        <v>-1.245826992</v>
      </c>
      <c r="F217" s="15">
        <f>IFERROR(__xludf.DUMMYFUNCTION("""COMPUTED_VALUE"""),-3.168551022804723)</f>
        <v>-3.168551023</v>
      </c>
      <c r="G217" s="17">
        <f>IFERROR(__xludf.DUMMYFUNCTION("""COMPUTED_VALUE"""),-0.024037333021717077)</f>
        <v>-0.02403733302</v>
      </c>
      <c r="H217" s="4"/>
      <c r="I217" s="5" t="s">
        <v>2083</v>
      </c>
      <c r="J217" s="5" t="s">
        <v>1900</v>
      </c>
      <c r="K217" s="5">
        <v>134.0</v>
      </c>
      <c r="L217" s="5">
        <v>-3.009216</v>
      </c>
      <c r="M217" s="5">
        <v>-0.09007</v>
      </c>
      <c r="N217" s="5">
        <v>-3.099287</v>
      </c>
      <c r="O217" s="5">
        <v>-0.048459</v>
      </c>
    </row>
    <row r="218">
      <c r="A218" s="18" t="str">
        <f>IFERROR(__xludf.DUMMYFUNCTION("""COMPUTED_VALUE"""),"Erkin Senel")</f>
        <v>Erkin Senel</v>
      </c>
      <c r="B218" s="19" t="str">
        <f>IFERROR(__xludf.DUMMYFUNCTION("""COMPUTED_VALUE"""),"BVS")</f>
        <v>BVS</v>
      </c>
      <c r="C218" s="20">
        <f>IFERROR(__xludf.DUMMYFUNCTION("""COMPUTED_VALUE"""),114.7)</f>
        <v>114.7</v>
      </c>
      <c r="D218" s="21">
        <f>IFERROR(__xludf.DUMMYFUNCTION("""COMPUTED_VALUE"""),-2.1517575999114626)</f>
        <v>-2.1517576</v>
      </c>
      <c r="E218" s="21">
        <f>IFERROR(__xludf.DUMMYFUNCTION("""COMPUTED_VALUE"""),-1.028762452576696)</f>
        <v>-1.028762453</v>
      </c>
      <c r="F218" s="21">
        <f>IFERROR(__xludf.DUMMYFUNCTION("""COMPUTED_VALUE"""),-3.1805200524881587)</f>
        <v>-3.180520052</v>
      </c>
      <c r="G218" s="23">
        <f>IFERROR(__xludf.DUMMYFUNCTION("""COMPUTED_VALUE"""),-0.04075357824286325)</f>
        <v>-0.04075357824</v>
      </c>
      <c r="H218" s="4"/>
      <c r="I218" s="5" t="s">
        <v>2084</v>
      </c>
      <c r="J218" s="5" t="s">
        <v>1942</v>
      </c>
      <c r="K218" s="5">
        <v>377.0</v>
      </c>
      <c r="L218" s="5">
        <v>-2.928793</v>
      </c>
      <c r="M218" s="5">
        <v>-0.226005</v>
      </c>
      <c r="N218" s="5">
        <v>-3.154799</v>
      </c>
      <c r="O218" s="5">
        <v>-0.134945</v>
      </c>
    </row>
    <row r="219">
      <c r="A219" s="12" t="str">
        <f>IFERROR(__xludf.DUMMYFUNCTION("""COMPUTED_VALUE"""),"Egemen Guven")</f>
        <v>Egemen Guven</v>
      </c>
      <c r="B219" s="13" t="str">
        <f>IFERROR(__xludf.DUMMYFUNCTION("""COMPUTED_VALUE"""),"PIN")</f>
        <v>PIN</v>
      </c>
      <c r="C219" s="14">
        <f>IFERROR(__xludf.DUMMYFUNCTION("""COMPUTED_VALUE"""),321.2)</f>
        <v>321.2</v>
      </c>
      <c r="D219" s="15">
        <f>IFERROR(__xludf.DUMMYFUNCTION("""COMPUTED_VALUE"""),-1.6449701511647206)</f>
        <v>-1.644970151</v>
      </c>
      <c r="E219" s="15">
        <f>IFERROR(__xludf.DUMMYFUNCTION("""COMPUTED_VALUE"""),-1.568844010063402)</f>
        <v>-1.56884401</v>
      </c>
      <c r="F219" s="15">
        <f>IFERROR(__xludf.DUMMYFUNCTION("""COMPUTED_VALUE"""),-3.2138141612281226)</f>
        <v>-3.213814161</v>
      </c>
      <c r="G219" s="17">
        <f>IFERROR(__xludf.DUMMYFUNCTION("""COMPUTED_VALUE"""),-0.11841106305497817)</f>
        <v>-0.1184110631</v>
      </c>
      <c r="H219" s="4"/>
      <c r="I219" s="5" t="s">
        <v>2085</v>
      </c>
      <c r="J219" s="5" t="s">
        <v>1926</v>
      </c>
      <c r="K219" s="5">
        <v>698.0</v>
      </c>
      <c r="L219" s="5">
        <v>-0.99208</v>
      </c>
      <c r="M219" s="5">
        <v>-2.16346</v>
      </c>
      <c r="N219" s="5">
        <v>-3.15554</v>
      </c>
      <c r="O219" s="5">
        <v>-0.247471</v>
      </c>
    </row>
    <row r="220">
      <c r="A220" s="18" t="str">
        <f>IFERROR(__xludf.DUMMYFUNCTION("""COMPUTED_VALUE"""),"Marko Banic")</f>
        <v>Marko Banic</v>
      </c>
      <c r="B220" s="19" t="str">
        <f>IFERROR(__xludf.DUMMYFUNCTION("""COMPUTED_VALUE"""),"PIN")</f>
        <v>PIN</v>
      </c>
      <c r="C220" s="20">
        <f>IFERROR(__xludf.DUMMYFUNCTION("""COMPUTED_VALUE"""),372.1)</f>
        <v>372.1</v>
      </c>
      <c r="D220" s="21">
        <f>IFERROR(__xludf.DUMMYFUNCTION("""COMPUTED_VALUE"""),-0.06520766596497901)</f>
        <v>-0.06520766596</v>
      </c>
      <c r="E220" s="21">
        <f>IFERROR(__xludf.DUMMYFUNCTION("""COMPUTED_VALUE"""),-3.1781897135449615)</f>
        <v>-3.178189714</v>
      </c>
      <c r="F220" s="21">
        <f>IFERROR(__xludf.DUMMYFUNCTION("""COMPUTED_VALUE"""),-3.2433973795099407)</f>
        <v>-3.24339738</v>
      </c>
      <c r="G220" s="23">
        <f>IFERROR(__xludf.DUMMYFUNCTION("""COMPUTED_VALUE"""),-0.14051871228855917)</f>
        <v>-0.1405187123</v>
      </c>
      <c r="H220" s="4"/>
      <c r="I220" s="5" t="s">
        <v>2086</v>
      </c>
      <c r="J220" s="5" t="s">
        <v>1915</v>
      </c>
      <c r="K220" s="5">
        <v>321.0</v>
      </c>
      <c r="L220" s="5">
        <v>-1.658707</v>
      </c>
      <c r="M220" s="5">
        <v>-1.555272</v>
      </c>
      <c r="N220" s="5">
        <v>-3.213979</v>
      </c>
      <c r="O220" s="5">
        <v>-0.118427</v>
      </c>
    </row>
    <row r="221">
      <c r="A221" s="12" t="str">
        <f>IFERROR(__xludf.DUMMYFUNCTION("""COMPUTED_VALUE"""),"Cady Lalanne")</f>
        <v>Cady Lalanne</v>
      </c>
      <c r="B221" s="13" t="str">
        <f>IFERROR(__xludf.DUMMYFUNCTION("""COMPUTED_VALUE"""),"BES")</f>
        <v>BES</v>
      </c>
      <c r="C221" s="14">
        <f>IFERROR(__xludf.DUMMYFUNCTION("""COMPUTED_VALUE"""),157.7)</f>
        <v>157.7</v>
      </c>
      <c r="D221" s="15">
        <f>IFERROR(__xludf.DUMMYFUNCTION("""COMPUTED_VALUE"""),-3.3626208459584133)</f>
        <v>-3.362620846</v>
      </c>
      <c r="E221" s="15">
        <f>IFERROR(__xludf.DUMMYFUNCTION("""COMPUTED_VALUE"""),0.0717344901044239)</f>
        <v>0.0717344901</v>
      </c>
      <c r="F221" s="15">
        <f>IFERROR(__xludf.DUMMYFUNCTION("""COMPUTED_VALUE"""),-3.2908863558539894)</f>
        <v>-3.290886356</v>
      </c>
      <c r="G221" s="17">
        <f>IFERROR(__xludf.DUMMYFUNCTION("""COMPUTED_VALUE"""),-0.06723571840722323)</f>
        <v>-0.06723571841</v>
      </c>
      <c r="H221" s="4"/>
      <c r="I221" s="5" t="s">
        <v>2087</v>
      </c>
      <c r="J221" s="5" t="s">
        <v>1915</v>
      </c>
      <c r="K221" s="5">
        <v>372.0</v>
      </c>
      <c r="L221" s="5">
        <v>-0.078455</v>
      </c>
      <c r="M221" s="5">
        <v>-3.164705</v>
      </c>
      <c r="N221" s="5">
        <v>-3.24316</v>
      </c>
      <c r="O221" s="5">
        <v>-0.140492</v>
      </c>
    </row>
    <row r="222">
      <c r="A222" s="18" t="str">
        <f>IFERROR(__xludf.DUMMYFUNCTION("""COMPUTED_VALUE"""),"Quinton Hosley")</f>
        <v>Quinton Hosley</v>
      </c>
      <c r="B222" s="19" t="str">
        <f>IFERROR(__xludf.DUMMYFUNCTION("""COMPUTED_VALUE"""),"YES")</f>
        <v>YES</v>
      </c>
      <c r="C222" s="20">
        <f>IFERROR(__xludf.DUMMYFUNCTION("""COMPUTED_VALUE"""),441.1)</f>
        <v>441.1</v>
      </c>
      <c r="D222" s="21">
        <f>IFERROR(__xludf.DUMMYFUNCTION("""COMPUTED_VALUE"""),-3.6652724929045064)</f>
        <v>-3.665272493</v>
      </c>
      <c r="E222" s="21">
        <f>IFERROR(__xludf.DUMMYFUNCTION("""COMPUTED_VALUE"""),0.15971944603021315)</f>
        <v>0.159719446</v>
      </c>
      <c r="F222" s="21">
        <f>IFERROR(__xludf.DUMMYFUNCTION("""COMPUTED_VALUE"""),-3.5055530468742933)</f>
        <v>-3.505553047</v>
      </c>
      <c r="G222" s="23">
        <f>IFERROR(__xludf.DUMMYFUNCTION("""COMPUTED_VALUE"""),-0.2040610201573034)</f>
        <v>-0.2040610202</v>
      </c>
      <c r="H222" s="4"/>
      <c r="I222" s="5" t="s">
        <v>470</v>
      </c>
      <c r="J222" s="5" t="s">
        <v>60</v>
      </c>
      <c r="K222" s="5">
        <v>177.0</v>
      </c>
      <c r="L222" s="5">
        <v>-3.199477</v>
      </c>
      <c r="M222" s="5">
        <v>-0.075082</v>
      </c>
      <c r="N222" s="5">
        <v>-3.274559</v>
      </c>
      <c r="O222" s="5">
        <v>-0.066681</v>
      </c>
    </row>
    <row r="223">
      <c r="A223" s="12" t="str">
        <f>IFERROR(__xludf.DUMMYFUNCTION("""COMPUTED_VALUE"""),"Zoran Dragic")</f>
        <v>Zoran Dragic</v>
      </c>
      <c r="B223" s="13" t="str">
        <f>IFERROR(__xludf.DUMMYFUNCTION("""COMPUTED_VALUE"""),"EFE")</f>
        <v>EFE</v>
      </c>
      <c r="C223" s="14">
        <f>IFERROR(__xludf.DUMMYFUNCTION("""COMPUTED_VALUE"""),176.7)</f>
        <v>176.7</v>
      </c>
      <c r="D223" s="15">
        <f>IFERROR(__xludf.DUMMYFUNCTION("""COMPUTED_VALUE"""),-3.2218109781572584)</f>
        <v>-3.221810978</v>
      </c>
      <c r="E223" s="15">
        <f>IFERROR(__xludf.DUMMYFUNCTION("""COMPUTED_VALUE"""),-0.3440853649914395)</f>
        <v>-0.344085365</v>
      </c>
      <c r="F223" s="15">
        <f>IFERROR(__xludf.DUMMYFUNCTION("""COMPUTED_VALUE"""),-3.565896343148698)</f>
        <v>-3.565896343</v>
      </c>
      <c r="G223" s="17">
        <f>IFERROR(__xludf.DUMMYFUNCTION("""COMPUTED_VALUE"""),-0.0818942397018874)</f>
        <v>-0.0818942397</v>
      </c>
      <c r="H223" s="4"/>
      <c r="I223" s="5" t="s">
        <v>2088</v>
      </c>
      <c r="J223" s="5" t="s">
        <v>1946</v>
      </c>
      <c r="K223" s="5">
        <v>441.0</v>
      </c>
      <c r="L223" s="5">
        <v>-3.673312</v>
      </c>
      <c r="M223" s="5">
        <v>0.184159</v>
      </c>
      <c r="N223" s="5">
        <v>-3.489154</v>
      </c>
      <c r="O223" s="5">
        <v>-0.201838</v>
      </c>
    </row>
    <row r="224">
      <c r="A224" s="18" t="str">
        <f>IFERROR(__xludf.DUMMYFUNCTION("""COMPUTED_VALUE"""),"Sean Marshall")</f>
        <v>Sean Marshall</v>
      </c>
      <c r="B224" s="19" t="str">
        <f>IFERROR(__xludf.DUMMYFUNCTION("""COMPUTED_VALUE"""),"ESK")</f>
        <v>ESK</v>
      </c>
      <c r="C224" s="20">
        <f>IFERROR(__xludf.DUMMYFUNCTION("""COMPUTED_VALUE"""),580.8)</f>
        <v>580.8</v>
      </c>
      <c r="D224" s="21">
        <f>IFERROR(__xludf.DUMMYFUNCTION("""COMPUTED_VALUE"""),-2.6852274640849023)</f>
        <v>-2.685227464</v>
      </c>
      <c r="E224" s="21">
        <f>IFERROR(__xludf.DUMMYFUNCTION("""COMPUTED_VALUE"""),-0.9256957616102004)</f>
        <v>-0.9256957616</v>
      </c>
      <c r="F224" s="21">
        <f>IFERROR(__xludf.DUMMYFUNCTION("""COMPUTED_VALUE"""),-3.6109232256951027)</f>
        <v>-3.610923226</v>
      </c>
      <c r="G224" s="23">
        <f>IFERROR(__xludf.DUMMYFUNCTION("""COMPUTED_VALUE"""),-0.2886317736984069)</f>
        <v>-0.2886317737</v>
      </c>
      <c r="H224" s="4"/>
      <c r="I224" s="5" t="s">
        <v>247</v>
      </c>
      <c r="J224" s="5" t="s">
        <v>36</v>
      </c>
      <c r="K224" s="5">
        <v>146.0</v>
      </c>
      <c r="L224" s="5">
        <v>-3.835038</v>
      </c>
      <c r="M224" s="5">
        <v>0.267709</v>
      </c>
      <c r="N224" s="5">
        <v>-3.567329</v>
      </c>
      <c r="O224" s="5">
        <v>-0.069775</v>
      </c>
    </row>
    <row r="225">
      <c r="A225" s="12" t="str">
        <f>IFERROR(__xludf.DUMMYFUNCTION("""COMPUTED_VALUE"""),"Murat Kozan")</f>
        <v>Murat Kozan</v>
      </c>
      <c r="B225" s="13" t="str">
        <f>IFERROR(__xludf.DUMMYFUNCTION("""COMPUTED_VALUE"""),"UUB")</f>
        <v>UUB</v>
      </c>
      <c r="C225" s="14">
        <f>IFERROR(__xludf.DUMMYFUNCTION("""COMPUTED_VALUE"""),172.8)</f>
        <v>172.8</v>
      </c>
      <c r="D225" s="15">
        <f>IFERROR(__xludf.DUMMYFUNCTION("""COMPUTED_VALUE"""),-2.8397419997641964)</f>
        <v>-2.839742</v>
      </c>
      <c r="E225" s="15">
        <f>IFERROR(__xludf.DUMMYFUNCTION("""COMPUTED_VALUE"""),-0.7946879825218418)</f>
        <v>-0.7946879825</v>
      </c>
      <c r="F225" s="15">
        <f>IFERROR(__xludf.DUMMYFUNCTION("""COMPUTED_VALUE"""),-3.634429982286038)</f>
        <v>-3.634429982</v>
      </c>
      <c r="G225" s="17">
        <f>IFERROR(__xludf.DUMMYFUNCTION("""COMPUTED_VALUE"""),-0.08576919632545749)</f>
        <v>-0.08576919633</v>
      </c>
      <c r="H225" s="4"/>
      <c r="I225" s="5" t="s">
        <v>2089</v>
      </c>
      <c r="J225" s="5" t="s">
        <v>1953</v>
      </c>
      <c r="K225" s="5">
        <v>173.0</v>
      </c>
      <c r="L225" s="5">
        <v>-2.847044</v>
      </c>
      <c r="M225" s="5">
        <v>-0.786979</v>
      </c>
      <c r="N225" s="5">
        <v>-3.634023</v>
      </c>
      <c r="O225" s="5">
        <v>-0.085748</v>
      </c>
    </row>
    <row r="226">
      <c r="A226" s="18" t="str">
        <f>IFERROR(__xludf.DUMMYFUNCTION("""COMPUTED_VALUE"""),"Alp Karahan")</f>
        <v>Alp Karahan</v>
      </c>
      <c r="B226" s="19" t="str">
        <f>IFERROR(__xludf.DUMMYFUNCTION("""COMPUTED_VALUE"""),"PIN")</f>
        <v>PIN</v>
      </c>
      <c r="C226" s="20">
        <f>IFERROR(__xludf.DUMMYFUNCTION("""COMPUTED_VALUE"""),158.7)</f>
        <v>158.7</v>
      </c>
      <c r="D226" s="21">
        <f>IFERROR(__xludf.DUMMYFUNCTION("""COMPUTED_VALUE"""),-2.409650327753079)</f>
        <v>-2.409650328</v>
      </c>
      <c r="E226" s="21">
        <f>IFERROR(__xludf.DUMMYFUNCTION("""COMPUTED_VALUE"""),-1.437995924036196)</f>
        <v>-1.437995924</v>
      </c>
      <c r="F226" s="21">
        <f>IFERROR(__xludf.DUMMYFUNCTION("""COMPUTED_VALUE"""),-3.847646251789275)</f>
        <v>-3.847646252</v>
      </c>
      <c r="G226" s="23">
        <f>IFERROR(__xludf.DUMMYFUNCTION("""COMPUTED_VALUE"""),-0.08905540757147132)</f>
        <v>-0.08905540757</v>
      </c>
      <c r="H226" s="4"/>
      <c r="I226" s="5" t="s">
        <v>2090</v>
      </c>
      <c r="J226" s="5" t="s">
        <v>1887</v>
      </c>
      <c r="K226" s="5">
        <v>298.0</v>
      </c>
      <c r="L226" s="5">
        <v>-2.871402</v>
      </c>
      <c r="M226" s="5">
        <v>-0.78031</v>
      </c>
      <c r="N226" s="5">
        <v>-3.651712</v>
      </c>
      <c r="O226" s="5">
        <v>-0.148182</v>
      </c>
    </row>
    <row r="227">
      <c r="A227" s="12" t="str">
        <f>IFERROR(__xludf.DUMMYFUNCTION("""COMPUTED_VALUE"""),"Will Bynum")</f>
        <v>Will Bynum</v>
      </c>
      <c r="B227" s="13" t="str">
        <f>IFERROR(__xludf.DUMMYFUNCTION("""COMPUTED_VALUE"""),"YES")</f>
        <v>YES</v>
      </c>
      <c r="C227" s="14">
        <f>IFERROR(__xludf.DUMMYFUNCTION("""COMPUTED_VALUE"""),83.6)</f>
        <v>83.6</v>
      </c>
      <c r="D227" s="15">
        <f>IFERROR(__xludf.DUMMYFUNCTION("""COMPUTED_VALUE"""),-2.329022946223472)</f>
        <v>-2.329022946</v>
      </c>
      <c r="E227" s="15">
        <f>IFERROR(__xludf.DUMMYFUNCTION("""COMPUTED_VALUE"""),-1.5209837506583659)</f>
        <v>-1.520983751</v>
      </c>
      <c r="F227" s="15">
        <f>IFERROR(__xludf.DUMMYFUNCTION("""COMPUTED_VALUE"""),-3.850006696881838)</f>
        <v>-3.850006697</v>
      </c>
      <c r="G227" s="17">
        <f>IFERROR(__xludf.DUMMYFUNCTION("""COMPUTED_VALUE"""),-0.04752329138601877)</f>
        <v>-0.04752329139</v>
      </c>
      <c r="H227" s="4"/>
      <c r="I227" s="5" t="s">
        <v>2091</v>
      </c>
      <c r="J227" s="5" t="s">
        <v>1894</v>
      </c>
      <c r="K227" s="5">
        <v>553.0</v>
      </c>
      <c r="L227" s="5">
        <v>-2.91477</v>
      </c>
      <c r="M227" s="5">
        <v>-0.893997</v>
      </c>
      <c r="N227" s="5">
        <v>-3.808767</v>
      </c>
      <c r="O227" s="5">
        <v>-0.300435</v>
      </c>
    </row>
    <row r="228">
      <c r="A228" s="18" t="str">
        <f>IFERROR(__xludf.DUMMYFUNCTION("""COMPUTED_VALUE"""),"Orhan Haciyeva")</f>
        <v>Orhan Haciyeva</v>
      </c>
      <c r="B228" s="19" t="str">
        <f>IFERROR(__xludf.DUMMYFUNCTION("""COMPUTED_VALUE"""),"GAZ")</f>
        <v>GAZ</v>
      </c>
      <c r="C228" s="20">
        <f>IFERROR(__xludf.DUMMYFUNCTION("""COMPUTED_VALUE"""),362.7)</f>
        <v>362.7</v>
      </c>
      <c r="D228" s="21">
        <f>IFERROR(__xludf.DUMMYFUNCTION("""COMPUTED_VALUE"""),-3.0681145242341357)</f>
        <v>-3.068114524</v>
      </c>
      <c r="E228" s="21">
        <f>IFERROR(__xludf.DUMMYFUNCTION("""COMPUTED_VALUE"""),-0.8944884861211237)</f>
        <v>-0.8944884861</v>
      </c>
      <c r="F228" s="21">
        <f>IFERROR(__xludf.DUMMYFUNCTION("""COMPUTED_VALUE"""),-3.9626030103552594)</f>
        <v>-3.96260301</v>
      </c>
      <c r="G228" s="23">
        <f>IFERROR(__xludf.DUMMYFUNCTION("""COMPUTED_VALUE"""),-0.21391255969520032)</f>
        <v>-0.2139125597</v>
      </c>
      <c r="H228" s="4"/>
      <c r="I228" s="5" t="s">
        <v>2092</v>
      </c>
      <c r="J228" s="5" t="s">
        <v>1946</v>
      </c>
      <c r="K228" s="5">
        <v>84.0</v>
      </c>
      <c r="L228" s="5">
        <v>-2.331497</v>
      </c>
      <c r="M228" s="5">
        <v>-1.514132</v>
      </c>
      <c r="N228" s="5">
        <v>-3.845629</v>
      </c>
      <c r="O228" s="5">
        <v>-0.047411</v>
      </c>
    </row>
    <row r="229">
      <c r="A229" s="12" t="str">
        <f>IFERROR(__xludf.DUMMYFUNCTION("""COMPUTED_VALUE"""),"Jure Balazic")</f>
        <v>Jure Balazic</v>
      </c>
      <c r="B229" s="13" t="str">
        <f>IFERROR(__xludf.DUMMYFUNCTION("""COMPUTED_VALUE"""),"GAZ")</f>
        <v>GAZ</v>
      </c>
      <c r="C229" s="14">
        <f>IFERROR(__xludf.DUMMYFUNCTION("""COMPUTED_VALUE"""),497.1)</f>
        <v>497.1</v>
      </c>
      <c r="D229" s="15">
        <f>IFERROR(__xludf.DUMMYFUNCTION("""COMPUTED_VALUE"""),-2.2923871111616787)</f>
        <v>-2.292387111</v>
      </c>
      <c r="E229" s="15">
        <f>IFERROR(__xludf.DUMMYFUNCTION("""COMPUTED_VALUE"""),-1.826701970013925)</f>
        <v>-1.82670197</v>
      </c>
      <c r="F229" s="15">
        <f>IFERROR(__xludf.DUMMYFUNCTION("""COMPUTED_VALUE"""),-4.119089081175604)</f>
        <v>-4.119089081</v>
      </c>
      <c r="G229" s="17">
        <f>IFERROR(__xludf.DUMMYFUNCTION("""COMPUTED_VALUE"""),-0.3165550492640232)</f>
        <v>-0.3165550493</v>
      </c>
      <c r="H229" s="4"/>
      <c r="I229" s="5" t="s">
        <v>2093</v>
      </c>
      <c r="J229" s="5" t="s">
        <v>1915</v>
      </c>
      <c r="K229" s="24">
        <v>159.0</v>
      </c>
      <c r="L229" s="5">
        <v>-2.416303</v>
      </c>
      <c r="M229" s="5">
        <v>-1.430926</v>
      </c>
      <c r="N229" s="5">
        <v>-3.847229</v>
      </c>
      <c r="O229" s="5">
        <v>-0.089035</v>
      </c>
    </row>
    <row r="230">
      <c r="A230" s="18" t="str">
        <f>IFERROR(__xludf.DUMMYFUNCTION("""COMPUTED_VALUE"""),"Ogulcan Baykan")</f>
        <v>Ogulcan Baykan</v>
      </c>
      <c r="B230" s="19" t="str">
        <f>IFERROR(__xludf.DUMMYFUNCTION("""COMPUTED_VALUE"""),"DEM")</f>
        <v>DEM</v>
      </c>
      <c r="C230" s="20">
        <f>IFERROR(__xludf.DUMMYFUNCTION("""COMPUTED_VALUE"""),288.7)</f>
        <v>288.7</v>
      </c>
      <c r="D230" s="21">
        <f>IFERROR(__xludf.DUMMYFUNCTION("""COMPUTED_VALUE"""),-4.85345089194851)</f>
        <v>-4.853450892</v>
      </c>
      <c r="E230" s="21">
        <f>IFERROR(__xludf.DUMMYFUNCTION("""COMPUTED_VALUE"""),0.6214473263258098)</f>
        <v>0.6214473263</v>
      </c>
      <c r="F230" s="21">
        <f>IFERROR(__xludf.DUMMYFUNCTION("""COMPUTED_VALUE"""),-4.2320035656227)</f>
        <v>-4.232003566</v>
      </c>
      <c r="G230" s="23">
        <f>IFERROR(__xludf.DUMMYFUNCTION("""COMPUTED_VALUE"""),-0.19978692519489674)</f>
        <v>-0.1997869252</v>
      </c>
      <c r="H230" s="4"/>
      <c r="I230" s="5" t="s">
        <v>2094</v>
      </c>
      <c r="J230" s="5" t="s">
        <v>1912</v>
      </c>
      <c r="K230" s="5">
        <v>363.0</v>
      </c>
      <c r="L230" s="5">
        <v>-3.080715</v>
      </c>
      <c r="M230" s="5">
        <v>-0.881134</v>
      </c>
      <c r="N230" s="5">
        <v>-3.961849</v>
      </c>
      <c r="O230" s="5">
        <v>-0.21383</v>
      </c>
    </row>
    <row r="231">
      <c r="A231" s="12" t="str">
        <f>IFERROR(__xludf.DUMMYFUNCTION("""COMPUTED_VALUE"""),"Caner Erdeniz")</f>
        <v>Caner Erdeniz</v>
      </c>
      <c r="B231" s="13" t="str">
        <f>IFERROR(__xludf.DUMMYFUNCTION("""COMPUTED_VALUE"""),"ESK")</f>
        <v>ESK</v>
      </c>
      <c r="C231" s="14">
        <f>IFERROR(__xludf.DUMMYFUNCTION("""COMPUTED_VALUE"""),357.6)</f>
        <v>357.6</v>
      </c>
      <c r="D231" s="15">
        <f>IFERROR(__xludf.DUMMYFUNCTION("""COMPUTED_VALUE"""),-3.136263733357337)</f>
        <v>-3.136263733</v>
      </c>
      <c r="E231" s="15">
        <f>IFERROR(__xludf.DUMMYFUNCTION("""COMPUTED_VALUE"""),-1.1443998840142546)</f>
        <v>-1.144399884</v>
      </c>
      <c r="F231" s="15">
        <f>IFERROR(__xludf.DUMMYFUNCTION("""COMPUTED_VALUE"""),-4.280663617371592)</f>
        <v>-4.280663617</v>
      </c>
      <c r="G231" s="17">
        <f>IFERROR(__xludf.DUMMYFUNCTION("""COMPUTED_VALUE"""),-0.25159466747720705)</f>
        <v>-0.2515946675</v>
      </c>
      <c r="H231" s="4"/>
      <c r="I231" s="5" t="s">
        <v>2095</v>
      </c>
      <c r="J231" s="5" t="s">
        <v>1894</v>
      </c>
      <c r="K231" s="5">
        <v>338.0</v>
      </c>
      <c r="L231" s="5">
        <v>-3.015584</v>
      </c>
      <c r="M231" s="5">
        <v>-1.061339</v>
      </c>
      <c r="N231" s="5">
        <v>-4.076924</v>
      </c>
      <c r="O231" s="5">
        <v>-0.210576</v>
      </c>
    </row>
    <row r="232">
      <c r="A232" s="18" t="str">
        <f>IFERROR(__xludf.DUMMYFUNCTION("""COMPUTED_VALUE"""),"Baris Hersek")</f>
        <v>Baris Hersek</v>
      </c>
      <c r="B232" s="19" t="str">
        <f>IFERROR(__xludf.DUMMYFUNCTION("""COMPUTED_VALUE"""),"FEN")</f>
        <v>FEN</v>
      </c>
      <c r="C232" s="20">
        <f>IFERROR(__xludf.DUMMYFUNCTION("""COMPUTED_VALUE"""),153.8)</f>
        <v>153.8</v>
      </c>
      <c r="D232" s="21">
        <f>IFERROR(__xludf.DUMMYFUNCTION("""COMPUTED_VALUE"""),-4.29858922712234)</f>
        <v>-4.298589227</v>
      </c>
      <c r="E232" s="21">
        <f>IFERROR(__xludf.DUMMYFUNCTION("""COMPUTED_VALUE"""),0.007884447554570073)</f>
        <v>0.007884447555</v>
      </c>
      <c r="F232" s="21">
        <f>IFERROR(__xludf.DUMMYFUNCTION("""COMPUTED_VALUE"""),-4.29070477956777)</f>
        <v>-4.29070478</v>
      </c>
      <c r="G232" s="23">
        <f>IFERROR(__xludf.DUMMYFUNCTION("""COMPUTED_VALUE"""),-0.10724012162781107)</f>
        <v>-0.1072401216</v>
      </c>
      <c r="H232" s="4"/>
      <c r="I232" s="5" t="s">
        <v>2096</v>
      </c>
      <c r="J232" s="5" t="s">
        <v>1912</v>
      </c>
      <c r="K232" s="5">
        <v>497.0</v>
      </c>
      <c r="L232" s="5">
        <v>-2.305407</v>
      </c>
      <c r="M232" s="5">
        <v>-1.813273</v>
      </c>
      <c r="N232" s="5">
        <v>-4.11868</v>
      </c>
      <c r="O232" s="5">
        <v>-0.316494</v>
      </c>
    </row>
    <row r="233">
      <c r="A233" s="12" t="str">
        <f>IFERROR(__xludf.DUMMYFUNCTION("""COMPUTED_VALUE"""),"Can Altintig")</f>
        <v>Can Altintig</v>
      </c>
      <c r="B233" s="13" t="str">
        <f>IFERROR(__xludf.DUMMYFUNCTION("""COMPUTED_VALUE"""),"BVS")</f>
        <v>BVS</v>
      </c>
      <c r="C233" s="14">
        <f>IFERROR(__xludf.DUMMYFUNCTION("""COMPUTED_VALUE"""),356.8)</f>
        <v>356.8</v>
      </c>
      <c r="D233" s="15">
        <f>IFERROR(__xludf.DUMMYFUNCTION("""COMPUTED_VALUE"""),-3.540124533783233)</f>
        <v>-3.540124534</v>
      </c>
      <c r="E233" s="15">
        <f>IFERROR(__xludf.DUMMYFUNCTION("""COMPUTED_VALUE"""),-0.9003482167630956)</f>
        <v>-0.9003482168</v>
      </c>
      <c r="F233" s="15">
        <f>IFERROR(__xludf.DUMMYFUNCTION("""COMPUTED_VALUE"""),-4.440472750546329)</f>
        <v>-4.440472751</v>
      </c>
      <c r="G233" s="17">
        <f>IFERROR(__xludf.DUMMYFUNCTION("""COMPUTED_VALUE"""),-0.2620763121160652)</f>
        <v>-0.2620763121</v>
      </c>
      <c r="H233" s="4"/>
      <c r="I233" s="5" t="s">
        <v>2097</v>
      </c>
      <c r="J233" s="5" t="s">
        <v>1942</v>
      </c>
      <c r="K233" s="24">
        <v>289.0</v>
      </c>
      <c r="L233" s="5">
        <v>-4.865659</v>
      </c>
      <c r="M233" s="5">
        <v>0.634328</v>
      </c>
      <c r="N233" s="5">
        <v>-4.231331</v>
      </c>
      <c r="O233" s="5">
        <v>-0.199727</v>
      </c>
    </row>
    <row r="234">
      <c r="A234" s="18" t="str">
        <f>IFERROR(__xludf.DUMMYFUNCTION("""COMPUTED_VALUE"""),"Rolands Freimanis")</f>
        <v>Rolands Freimanis</v>
      </c>
      <c r="B234" s="19" t="str">
        <f>IFERROR(__xludf.DUMMYFUNCTION("""COMPUTED_VALUE"""),"GAZ")</f>
        <v>GAZ</v>
      </c>
      <c r="C234" s="20">
        <f>IFERROR(__xludf.DUMMYFUNCTION("""COMPUTED_VALUE"""),487.8)</f>
        <v>487.8</v>
      </c>
      <c r="D234" s="21">
        <f>IFERROR(__xludf.DUMMYFUNCTION("""COMPUTED_VALUE"""),-2.4164638652571666)</f>
        <v>-2.416463865</v>
      </c>
      <c r="E234" s="21">
        <f>IFERROR(__xludf.DUMMYFUNCTION("""COMPUTED_VALUE"""),-2.1393376018621213)</f>
        <v>-2.139337602</v>
      </c>
      <c r="F234" s="21">
        <f>IFERROR(__xludf.DUMMYFUNCTION("""COMPUTED_VALUE"""),-4.555801467119288)</f>
        <v>-4.555801467</v>
      </c>
      <c r="G234" s="23">
        <f>IFERROR(__xludf.DUMMYFUNCTION("""COMPUTED_VALUE"""),-0.3746495190349246)</f>
        <v>-0.374649519</v>
      </c>
      <c r="H234" s="4"/>
      <c r="I234" s="5" t="s">
        <v>2098</v>
      </c>
      <c r="J234" s="5" t="s">
        <v>1874</v>
      </c>
      <c r="K234" s="5">
        <v>213.0</v>
      </c>
      <c r="L234" s="5">
        <v>-3.947522</v>
      </c>
      <c r="M234" s="5">
        <v>-0.36006</v>
      </c>
      <c r="N234" s="5">
        <v>-4.307582</v>
      </c>
      <c r="O234" s="5">
        <v>-0.150186</v>
      </c>
    </row>
    <row r="235">
      <c r="A235" s="12" t="str">
        <f>IFERROR(__xludf.DUMMYFUNCTION("""COMPUTED_VALUE"""),"Will Cummings")</f>
        <v>Will Cummings</v>
      </c>
      <c r="B235" s="13" t="str">
        <f>IFERROR(__xludf.DUMMYFUNCTION("""COMPUTED_VALUE"""),"DBI")</f>
        <v>DBI</v>
      </c>
      <c r="C235" s="14">
        <f>IFERROR(__xludf.DUMMYFUNCTION("""COMPUTED_VALUE"""),550.6)</f>
        <v>550.6</v>
      </c>
      <c r="D235" s="15">
        <f>IFERROR(__xludf.DUMMYFUNCTION("""COMPUTED_VALUE"""),-4.270120139315727)</f>
        <v>-4.270120139</v>
      </c>
      <c r="E235" s="15">
        <f>IFERROR(__xludf.DUMMYFUNCTION("""COMPUTED_VALUE"""),-0.3086111771067843)</f>
        <v>-0.3086111771</v>
      </c>
      <c r="F235" s="15">
        <f>IFERROR(__xludf.DUMMYFUNCTION("""COMPUTED_VALUE"""),-4.578731316422512)</f>
        <v>-4.578731316</v>
      </c>
      <c r="G235" s="17">
        <f>IFERROR(__xludf.DUMMYFUNCTION("""COMPUTED_VALUE"""),-0.4283497961003923)</f>
        <v>-0.4283497961</v>
      </c>
      <c r="H235" s="4"/>
      <c r="I235" s="5" t="s">
        <v>2099</v>
      </c>
      <c r="J235" s="5" t="s">
        <v>1884</v>
      </c>
      <c r="K235" s="5">
        <v>546.0</v>
      </c>
      <c r="L235" s="5">
        <v>-4.146022</v>
      </c>
      <c r="M235" s="5">
        <v>-0.204317</v>
      </c>
      <c r="N235" s="5">
        <v>-4.350339</v>
      </c>
      <c r="O235" s="5">
        <v>-0.387013</v>
      </c>
    </row>
    <row r="236">
      <c r="A236" s="18" t="str">
        <f>IFERROR(__xludf.DUMMYFUNCTION("""COMPUTED_VALUE"""),"Bora Hun Pacun")</f>
        <v>Bora Hun Pacun</v>
      </c>
      <c r="B236" s="19" t="str">
        <f>IFERROR(__xludf.DUMMYFUNCTION("""COMPUTED_VALUE"""),"TRA")</f>
        <v>TRA</v>
      </c>
      <c r="C236" s="20">
        <f>IFERROR(__xludf.DUMMYFUNCTION("""COMPUTED_VALUE"""),339.8)</f>
        <v>339.8</v>
      </c>
      <c r="D236" s="21">
        <f>IFERROR(__xludf.DUMMYFUNCTION("""COMPUTED_VALUE"""),-2.159795667273134)</f>
        <v>-2.159795667</v>
      </c>
      <c r="E236" s="21">
        <f>IFERROR(__xludf.DUMMYFUNCTION("""COMPUTED_VALUE"""),-2.451260954318982)</f>
        <v>-2.451260954</v>
      </c>
      <c r="F236" s="21">
        <f>IFERROR(__xludf.DUMMYFUNCTION("""COMPUTED_VALUE"""),-4.611056621592116)</f>
        <v>-4.611056622</v>
      </c>
      <c r="G236" s="23">
        <f>IFERROR(__xludf.DUMMYFUNCTION("""COMPUTED_VALUE"""),-0.26879671834994256)</f>
        <v>-0.2687967183</v>
      </c>
      <c r="H236" s="4"/>
      <c r="I236" s="5" t="s">
        <v>2100</v>
      </c>
      <c r="J236" s="5" t="s">
        <v>1894</v>
      </c>
      <c r="K236" s="5">
        <v>542.0</v>
      </c>
      <c r="L236" s="5">
        <v>-2.921601</v>
      </c>
      <c r="M236" s="5">
        <v>-1.591915</v>
      </c>
      <c r="N236" s="5">
        <v>-4.513516</v>
      </c>
      <c r="O236" s="5">
        <v>-0.408893</v>
      </c>
    </row>
    <row r="237">
      <c r="A237" s="12" t="str">
        <f>IFERROR(__xludf.DUMMYFUNCTION("""COMPUTED_VALUE"""),"Yunus Sonsirma")</f>
        <v>Yunus Sonsirma</v>
      </c>
      <c r="B237" s="13" t="str">
        <f>IFERROR(__xludf.DUMMYFUNCTION("""COMPUTED_VALUE"""),"ESK")</f>
        <v>ESK</v>
      </c>
      <c r="C237" s="14">
        <f>IFERROR(__xludf.DUMMYFUNCTION("""COMPUTED_VALUE"""),558.9)</f>
        <v>558.9</v>
      </c>
      <c r="D237" s="15">
        <f>IFERROR(__xludf.DUMMYFUNCTION("""COMPUTED_VALUE"""),-2.9688253517118963)</f>
        <v>-2.968825352</v>
      </c>
      <c r="E237" s="15">
        <f>IFERROR(__xludf.DUMMYFUNCTION("""COMPUTED_VALUE"""),-1.7220872426169582)</f>
        <v>-1.722087243</v>
      </c>
      <c r="F237" s="15">
        <f>IFERROR(__xludf.DUMMYFUNCTION("""COMPUTED_VALUE"""),-4.6909125943288545)</f>
        <v>-4.690912594</v>
      </c>
      <c r="G237" s="17">
        <f>IFERROR(__xludf.DUMMYFUNCTION("""COMPUTED_VALUE"""),-0.46395556508679725)</f>
        <v>-0.4639555651</v>
      </c>
      <c r="H237" s="4"/>
      <c r="I237" s="5" t="s">
        <v>2101</v>
      </c>
      <c r="J237" s="5" t="s">
        <v>1912</v>
      </c>
      <c r="K237" s="5">
        <v>488.0</v>
      </c>
      <c r="L237" s="5">
        <v>-2.430441</v>
      </c>
      <c r="M237" s="5">
        <v>-2.125738</v>
      </c>
      <c r="N237" s="5">
        <v>-4.556179</v>
      </c>
      <c r="O237" s="5">
        <v>-0.374705</v>
      </c>
    </row>
    <row r="238">
      <c r="A238" s="18" t="str">
        <f>IFERROR(__xludf.DUMMYFUNCTION("""COMPUTED_VALUE"""),"Ivan Marinkovic")</f>
        <v>Ivan Marinkovic</v>
      </c>
      <c r="B238" s="19" t="str">
        <f>IFERROR(__xludf.DUMMYFUNCTION("""COMPUTED_VALUE"""),"YES")</f>
        <v>YES</v>
      </c>
      <c r="C238" s="20">
        <f>IFERROR(__xludf.DUMMYFUNCTION("""COMPUTED_VALUE"""),246.1)</f>
        <v>246.1</v>
      </c>
      <c r="D238" s="21">
        <f>IFERROR(__xludf.DUMMYFUNCTION("""COMPUTED_VALUE"""),-3.1167004508455154)</f>
        <v>-3.116700451</v>
      </c>
      <c r="E238" s="21">
        <f>IFERROR(__xludf.DUMMYFUNCTION("""COMPUTED_VALUE"""),-1.6676330259013952)</f>
        <v>-1.667633026</v>
      </c>
      <c r="F238" s="21">
        <f>IFERROR(__xludf.DUMMYFUNCTION("""COMPUTED_VALUE"""),-4.784333476746911)</f>
        <v>-4.784333477</v>
      </c>
      <c r="G238" s="23">
        <f>IFERROR(__xludf.DUMMYFUNCTION("""COMPUTED_VALUE"""),-0.2105522061799766)</f>
        <v>-0.2105522062</v>
      </c>
      <c r="H238" s="4"/>
      <c r="I238" s="5" t="s">
        <v>2102</v>
      </c>
      <c r="J238" s="5" t="s">
        <v>1923</v>
      </c>
      <c r="K238" s="5">
        <v>340.0</v>
      </c>
      <c r="L238" s="5">
        <v>-2.172939</v>
      </c>
      <c r="M238" s="5">
        <v>-2.437795</v>
      </c>
      <c r="N238" s="5">
        <v>-4.610734</v>
      </c>
      <c r="O238" s="5">
        <v>-0.268763</v>
      </c>
    </row>
    <row r="239">
      <c r="A239" s="12" t="str">
        <f>IFERROR(__xludf.DUMMYFUNCTION("""COMPUTED_VALUE"""),"Burak Yildizli")</f>
        <v>Burak Yildizli</v>
      </c>
      <c r="B239" s="13" t="str">
        <f>IFERROR(__xludf.DUMMYFUNCTION("""COMPUTED_VALUE"""),"DEM")</f>
        <v>DEM</v>
      </c>
      <c r="C239" s="14">
        <f>IFERROR(__xludf.DUMMYFUNCTION("""COMPUTED_VALUE"""),460.3)</f>
        <v>460.3</v>
      </c>
      <c r="D239" s="15">
        <f>IFERROR(__xludf.DUMMYFUNCTION("""COMPUTED_VALUE"""),-4.8755972088462185)</f>
        <v>-4.875597209</v>
      </c>
      <c r="E239" s="15">
        <f>IFERROR(__xludf.DUMMYFUNCTION("""COMPUTED_VALUE"""),0.024658197126223413)</f>
        <v>0.02465819713</v>
      </c>
      <c r="F239" s="15">
        <f>IFERROR(__xludf.DUMMYFUNCTION("""COMPUTED_VALUE"""),-4.850939011719995)</f>
        <v>-4.850939012</v>
      </c>
      <c r="G239" s="17">
        <f>IFERROR(__xludf.DUMMYFUNCTION("""COMPUTED_VALUE"""),-0.4068687144774847)</f>
        <v>-0.4068687145</v>
      </c>
      <c r="H239" s="4"/>
      <c r="I239" s="5" t="s">
        <v>2103</v>
      </c>
      <c r="J239" s="5" t="s">
        <v>1946</v>
      </c>
      <c r="K239" s="5">
        <v>246.0</v>
      </c>
      <c r="L239" s="5">
        <v>-3.123359</v>
      </c>
      <c r="M239" s="5">
        <v>-1.647574</v>
      </c>
      <c r="N239" s="5">
        <v>-4.770933</v>
      </c>
      <c r="O239" s="5">
        <v>-0.209539</v>
      </c>
    </row>
    <row r="240">
      <c r="A240" s="18" t="str">
        <f>IFERROR(__xludf.DUMMYFUNCTION("""COMPUTED_VALUE"""),"Byron Allen")</f>
        <v>Byron Allen</v>
      </c>
      <c r="B240" s="19" t="str">
        <f>IFERROR(__xludf.DUMMYFUNCTION("""COMPUTED_VALUE"""),"PIN")</f>
        <v>PIN</v>
      </c>
      <c r="C240" s="20">
        <f>IFERROR(__xludf.DUMMYFUNCTION("""COMPUTED_VALUE"""),243.8)</f>
        <v>243.8</v>
      </c>
      <c r="D240" s="21">
        <f>IFERROR(__xludf.DUMMYFUNCTION("""COMPUTED_VALUE"""),-3.097557241596402)</f>
        <v>-3.097557242</v>
      </c>
      <c r="E240" s="21">
        <f>IFERROR(__xludf.DUMMYFUNCTION("""COMPUTED_VALUE"""),-1.8118658209132543)</f>
        <v>-1.811865821</v>
      </c>
      <c r="F240" s="21">
        <f>IFERROR(__xludf.DUMMYFUNCTION("""COMPUTED_VALUE"""),-4.909423062509656)</f>
        <v>-4.909423063</v>
      </c>
      <c r="G240" s="23">
        <f>IFERROR(__xludf.DUMMYFUNCTION("""COMPUTED_VALUE"""),-0.2154294744049804)</f>
        <v>-0.2154294744</v>
      </c>
      <c r="H240" s="4"/>
      <c r="I240" s="5" t="s">
        <v>2104</v>
      </c>
      <c r="J240" s="5" t="s">
        <v>1894</v>
      </c>
      <c r="K240" s="5">
        <v>275.0</v>
      </c>
      <c r="L240" s="5">
        <v>-4.134039</v>
      </c>
      <c r="M240" s="5">
        <v>-0.682331</v>
      </c>
      <c r="N240" s="5">
        <v>-4.81637</v>
      </c>
      <c r="O240" s="5">
        <v>-0.232631</v>
      </c>
    </row>
    <row r="241">
      <c r="A241" s="12" t="str">
        <f>IFERROR(__xludf.DUMMYFUNCTION("""COMPUTED_VALUE"""),"Ayberk Olmaz")</f>
        <v>Ayberk Olmaz</v>
      </c>
      <c r="B241" s="13" t="str">
        <f>IFERROR(__xludf.DUMMYFUNCTION("""COMPUTED_VALUE"""),"IBB")</f>
        <v>IBB</v>
      </c>
      <c r="C241" s="14">
        <f>IFERROR(__xludf.DUMMYFUNCTION("""COMPUTED_VALUE"""),308.0)</f>
        <v>308</v>
      </c>
      <c r="D241" s="15">
        <f>IFERROR(__xludf.DUMMYFUNCTION("""COMPUTED_VALUE"""),-5.0905525839464625)</f>
        <v>-5.090552584</v>
      </c>
      <c r="E241" s="15">
        <f>IFERROR(__xludf.DUMMYFUNCTION("""COMPUTED_VALUE"""),0.16080402272951044)</f>
        <v>0.1608040227</v>
      </c>
      <c r="F241" s="15">
        <f>IFERROR(__xludf.DUMMYFUNCTION("""COMPUTED_VALUE"""),-4.929748561216952)</f>
        <v>-4.929748561</v>
      </c>
      <c r="G241" s="17">
        <f>IFERROR(__xludf.DUMMYFUNCTION("""COMPUTED_VALUE"""),-0.27702198733910977)</f>
        <v>-0.2770219873</v>
      </c>
      <c r="H241" s="4"/>
      <c r="I241" s="5" t="s">
        <v>2105</v>
      </c>
      <c r="J241" s="5" t="s">
        <v>1874</v>
      </c>
      <c r="K241" s="24">
        <v>294.0</v>
      </c>
      <c r="L241" s="5">
        <v>-3.266376</v>
      </c>
      <c r="M241" s="5">
        <v>-1.559931</v>
      </c>
      <c r="N241" s="5">
        <v>-4.826308</v>
      </c>
      <c r="O241" s="5">
        <v>-0.253078</v>
      </c>
    </row>
    <row r="242">
      <c r="A242" s="18" t="str">
        <f>IFERROR(__xludf.DUMMYFUNCTION("""COMPUTED_VALUE"""),"Muhammet Senli")</f>
        <v>Muhammet Senli</v>
      </c>
      <c r="B242" s="19" t="str">
        <f>IFERROR(__xludf.DUMMYFUNCTION("""COMPUTED_VALUE"""),"ESK")</f>
        <v>ESK</v>
      </c>
      <c r="C242" s="20">
        <f>IFERROR(__xludf.DUMMYFUNCTION("""COMPUTED_VALUE"""),275.2)</f>
        <v>275.2</v>
      </c>
      <c r="D242" s="21">
        <f>IFERROR(__xludf.DUMMYFUNCTION("""COMPUTED_VALUE"""),-4.122393516059116)</f>
        <v>-4.122393516</v>
      </c>
      <c r="E242" s="21">
        <f>IFERROR(__xludf.DUMMYFUNCTION("""COMPUTED_VALUE"""),-0.838357505191258)</f>
        <v>-0.8383575052</v>
      </c>
      <c r="F242" s="21">
        <f>IFERROR(__xludf.DUMMYFUNCTION("""COMPUTED_VALUE"""),-4.960751021250374)</f>
        <v>-4.960751021</v>
      </c>
      <c r="G242" s="23">
        <f>IFERROR(__xludf.DUMMYFUNCTION("""COMPUTED_VALUE"""),-0.25135816937422856)</f>
        <v>-0.2513581694</v>
      </c>
      <c r="H242" s="4"/>
      <c r="I242" s="5" t="s">
        <v>2106</v>
      </c>
      <c r="J242" s="5" t="s">
        <v>1942</v>
      </c>
      <c r="K242" s="5">
        <v>460.0</v>
      </c>
      <c r="L242" s="5">
        <v>-4.888699</v>
      </c>
      <c r="M242" s="5">
        <v>0.038117</v>
      </c>
      <c r="N242" s="5">
        <v>-4.850582</v>
      </c>
      <c r="O242" s="5">
        <v>-0.406818</v>
      </c>
    </row>
    <row r="243">
      <c r="A243" s="12" t="str">
        <f>IFERROR(__xludf.DUMMYFUNCTION("""COMPUTED_VALUE"""),"Dogukan Sanli")</f>
        <v>Dogukan Sanli</v>
      </c>
      <c r="B243" s="13" t="str">
        <f>IFERROR(__xludf.DUMMYFUNCTION("""COMPUTED_VALUE"""),"SAK")</f>
        <v>SAK</v>
      </c>
      <c r="C243" s="14">
        <f>IFERROR(__xludf.DUMMYFUNCTION("""COMPUTED_VALUE"""),293.6)</f>
        <v>293.6</v>
      </c>
      <c r="D243" s="15">
        <f>IFERROR(__xludf.DUMMYFUNCTION("""COMPUTED_VALUE"""),-3.4481193215788153)</f>
        <v>-3.448119322</v>
      </c>
      <c r="E243" s="15">
        <f>IFERROR(__xludf.DUMMYFUNCTION("""COMPUTED_VALUE"""),-1.5708783210572985)</f>
        <v>-1.570878321</v>
      </c>
      <c r="F243" s="15">
        <f>IFERROR(__xludf.DUMMYFUNCTION("""COMPUTED_VALUE"""),-5.018997642636114)</f>
        <v>-5.018997643</v>
      </c>
      <c r="G243" s="17">
        <f>IFERROR(__xludf.DUMMYFUNCTION("""COMPUTED_VALUE"""),-0.2703258067156832)</f>
        <v>-0.2703258067</v>
      </c>
      <c r="H243" s="4"/>
      <c r="I243" s="5" t="s">
        <v>2107</v>
      </c>
      <c r="J243" s="5" t="s">
        <v>1915</v>
      </c>
      <c r="K243" s="5">
        <v>244.0</v>
      </c>
      <c r="L243" s="5">
        <v>-3.108602</v>
      </c>
      <c r="M243" s="5">
        <v>-1.800858</v>
      </c>
      <c r="N243" s="5">
        <v>-4.90946</v>
      </c>
      <c r="O243" s="5">
        <v>-0.215432</v>
      </c>
    </row>
    <row r="244">
      <c r="A244" s="18" t="str">
        <f>IFERROR(__xludf.DUMMYFUNCTION("""COMPUTED_VALUE"""),"Tadija Dragicevic")</f>
        <v>Tadija Dragicevic</v>
      </c>
      <c r="B244" s="19" t="str">
        <f>IFERROR(__xludf.DUMMYFUNCTION("""COMPUTED_VALUE"""),"YES")</f>
        <v>YES</v>
      </c>
      <c r="C244" s="20">
        <f>IFERROR(__xludf.DUMMYFUNCTION("""COMPUTED_VALUE"""),337.5)</f>
        <v>337.5</v>
      </c>
      <c r="D244" s="21">
        <f>IFERROR(__xludf.DUMMYFUNCTION("""COMPUTED_VALUE"""),-2.165002436846939)</f>
        <v>-2.165002437</v>
      </c>
      <c r="E244" s="21">
        <f>IFERROR(__xludf.DUMMYFUNCTION("""COMPUTED_VALUE"""),-2.915563687437523)</f>
        <v>-2.915563687</v>
      </c>
      <c r="F244" s="21">
        <f>IFERROR(__xludf.DUMMYFUNCTION("""COMPUTED_VALUE"""),-5.080566124284462)</f>
        <v>-5.080566124</v>
      </c>
      <c r="G244" s="23">
        <f>IFERROR(__xludf.DUMMYFUNCTION("""COMPUTED_VALUE"""),-0.31947085650574664)</f>
        <v>-0.3194708565</v>
      </c>
      <c r="H244" s="4"/>
      <c r="I244" s="5" t="s">
        <v>2108</v>
      </c>
      <c r="J244" s="5" t="s">
        <v>1926</v>
      </c>
      <c r="K244" s="5">
        <v>308.0</v>
      </c>
      <c r="L244" s="5">
        <v>-5.10391</v>
      </c>
      <c r="M244" s="5">
        <v>0.174308</v>
      </c>
      <c r="N244" s="5">
        <v>-4.929602</v>
      </c>
      <c r="O244" s="5">
        <v>-0.277008</v>
      </c>
    </row>
    <row r="245">
      <c r="A245" s="12" t="str">
        <f>IFERROR(__xludf.DUMMYFUNCTION("""COMPUTED_VALUE"""),"Ersin Dagli")</f>
        <v>Ersin Dagli</v>
      </c>
      <c r="B245" s="13" t="str">
        <f>IFERROR(__xludf.DUMMYFUNCTION("""COMPUTED_VALUE"""),"SAK")</f>
        <v>SAK</v>
      </c>
      <c r="C245" s="14">
        <f>IFERROR(__xludf.DUMMYFUNCTION("""COMPUTED_VALUE"""),228.8)</f>
        <v>228.8</v>
      </c>
      <c r="D245" s="15">
        <f>IFERROR(__xludf.DUMMYFUNCTION("""COMPUTED_VALUE"""),-4.9591584081181805)</f>
        <v>-4.959158408</v>
      </c>
      <c r="E245" s="15">
        <f>IFERROR(__xludf.DUMMYFUNCTION("""COMPUTED_VALUE"""),-0.40192997057202273)</f>
        <v>-0.4019299706</v>
      </c>
      <c r="F245" s="15">
        <f>IFERROR(__xludf.DUMMYFUNCTION("""COMPUTED_VALUE"""),-5.361088378690203)</f>
        <v>-5.361088379</v>
      </c>
      <c r="G245" s="17">
        <f>IFERROR(__xludf.DUMMYFUNCTION("""COMPUTED_VALUE"""),-0.23453336511540365)</f>
        <v>-0.2345333651</v>
      </c>
      <c r="H245" s="4"/>
      <c r="I245" s="5" t="s">
        <v>2109</v>
      </c>
      <c r="J245" s="5" t="s">
        <v>1946</v>
      </c>
      <c r="K245" s="5">
        <v>338.0</v>
      </c>
      <c r="L245" s="5">
        <v>-2.173399</v>
      </c>
      <c r="M245" s="5">
        <v>-2.891061</v>
      </c>
      <c r="N245" s="5">
        <v>-5.06446</v>
      </c>
      <c r="O245" s="5">
        <v>-0.317801</v>
      </c>
    </row>
    <row r="246">
      <c r="A246" s="18" t="str">
        <f>IFERROR(__xludf.DUMMYFUNCTION("""COMPUTED_VALUE"""),"Brady Heslip")</f>
        <v>Brady Heslip</v>
      </c>
      <c r="B246" s="19" t="str">
        <f>IFERROR(__xludf.DUMMYFUNCTION("""COMPUTED_VALUE"""),"TRA")</f>
        <v>TRA</v>
      </c>
      <c r="C246" s="20">
        <f>IFERROR(__xludf.DUMMYFUNCTION("""COMPUTED_VALUE"""),664.8)</f>
        <v>664.8</v>
      </c>
      <c r="D246" s="21">
        <f>IFERROR(__xludf.DUMMYFUNCTION("""COMPUTED_VALUE"""),1.5112352678547174)</f>
        <v>1.511235268</v>
      </c>
      <c r="E246" s="21">
        <f>IFERROR(__xludf.DUMMYFUNCTION("""COMPUTED_VALUE"""),-6.91501965101037)</f>
        <v>-6.915019651</v>
      </c>
      <c r="F246" s="21">
        <f>IFERROR(__xludf.DUMMYFUNCTION("""COMPUTED_VALUE"""),-5.403784383155653)</f>
        <v>-5.403784383</v>
      </c>
      <c r="G246" s="23">
        <f>IFERROR(__xludf.DUMMYFUNCTION("""COMPUTED_VALUE"""),-0.6855471822528088)</f>
        <v>-0.6855471823</v>
      </c>
      <c r="H246" s="4"/>
      <c r="I246" s="5" t="s">
        <v>2110</v>
      </c>
      <c r="J246" s="5" t="s">
        <v>1923</v>
      </c>
      <c r="K246" s="5">
        <v>665.0</v>
      </c>
      <c r="L246" s="5">
        <v>1.496865</v>
      </c>
      <c r="M246" s="5">
        <v>-6.901335</v>
      </c>
      <c r="N246" s="5">
        <v>-5.40447</v>
      </c>
      <c r="O246" s="5">
        <v>-0.685685</v>
      </c>
    </row>
    <row r="247">
      <c r="A247" s="12" t="str">
        <f>IFERROR(__xludf.DUMMYFUNCTION("""COMPUTED_VALUE"""),"Alper Saruhan")</f>
        <v>Alper Saruhan</v>
      </c>
      <c r="B247" s="13" t="str">
        <f>IFERROR(__xludf.DUMMYFUNCTION("""COMPUTED_VALUE"""),"TRA")</f>
        <v>TRA</v>
      </c>
      <c r="C247" s="14">
        <f>IFERROR(__xludf.DUMMYFUNCTION("""COMPUTED_VALUE"""),324.4)</f>
        <v>324.4</v>
      </c>
      <c r="D247" s="15">
        <f>IFERROR(__xludf.DUMMYFUNCTION("""COMPUTED_VALUE"""),-2.8889704337165765)</f>
        <v>-2.888970434</v>
      </c>
      <c r="E247" s="15">
        <f>IFERROR(__xludf.DUMMYFUNCTION("""COMPUTED_VALUE"""),-2.635071783599423)</f>
        <v>-2.635071784</v>
      </c>
      <c r="F247" s="15">
        <f>IFERROR(__xludf.DUMMYFUNCTION("""COMPUTED_VALUE"""),-5.5240422173159995)</f>
        <v>-5.524042217</v>
      </c>
      <c r="G247" s="17">
        <f>IFERROR(__xludf.DUMMYFUNCTION("""COMPUTED_VALUE"""),-0.346342865701364)</f>
        <v>-0.3463428657</v>
      </c>
      <c r="H247" s="4"/>
      <c r="I247" s="5" t="s">
        <v>2111</v>
      </c>
      <c r="J247" s="5" t="s">
        <v>1923</v>
      </c>
      <c r="K247" s="5">
        <v>324.0</v>
      </c>
      <c r="L247" s="5">
        <v>-2.901964</v>
      </c>
      <c r="M247" s="5">
        <v>-2.621632</v>
      </c>
      <c r="N247" s="5">
        <v>-5.523597</v>
      </c>
      <c r="O247" s="5">
        <v>-0.346299</v>
      </c>
    </row>
    <row r="248">
      <c r="A248" s="18" t="str">
        <f>IFERROR(__xludf.DUMMYFUNCTION("""COMPUTED_VALUE"""),"Enes Taskiran")</f>
        <v>Enes Taskiran</v>
      </c>
      <c r="B248" s="19" t="str">
        <f>IFERROR(__xludf.DUMMYFUNCTION("""COMPUTED_VALUE"""),"YES")</f>
        <v>YES</v>
      </c>
      <c r="C248" s="20">
        <f>IFERROR(__xludf.DUMMYFUNCTION("""COMPUTED_VALUE"""),587.0)</f>
        <v>587</v>
      </c>
      <c r="D248" s="21">
        <f>IFERROR(__xludf.DUMMYFUNCTION("""COMPUTED_VALUE"""),-2.431326451929154)</f>
        <v>-2.431326452</v>
      </c>
      <c r="E248" s="21">
        <f>IFERROR(__xludf.DUMMYFUNCTION("""COMPUTED_VALUE"""),-3.274114069218834)</f>
        <v>-3.274114069</v>
      </c>
      <c r="F248" s="21">
        <f>IFERROR(__xludf.DUMMYFUNCTION("""COMPUTED_VALUE"""),-5.705440521147988)</f>
        <v>-5.705440521</v>
      </c>
      <c r="G248" s="23">
        <f>IFERROR(__xludf.DUMMYFUNCTION("""COMPUTED_VALUE"""),-0.6683514295387772)</f>
        <v>-0.6683514295</v>
      </c>
      <c r="H248" s="4"/>
      <c r="I248" s="5" t="s">
        <v>2112</v>
      </c>
      <c r="J248" s="5" t="s">
        <v>1946</v>
      </c>
      <c r="K248" s="5">
        <v>587.0</v>
      </c>
      <c r="L248" s="5">
        <v>-2.439554</v>
      </c>
      <c r="M248" s="5">
        <v>-3.249642</v>
      </c>
      <c r="N248" s="5">
        <v>-5.689196</v>
      </c>
      <c r="O248" s="5">
        <v>-0.665421</v>
      </c>
    </row>
    <row r="249">
      <c r="A249" s="12" t="str">
        <f>IFERROR(__xludf.DUMMYFUNCTION("""COMPUTED_VALUE"""),"Dominic Waters")</f>
        <v>Dominic Waters</v>
      </c>
      <c r="B249" s="13" t="str">
        <f>IFERROR(__xludf.DUMMYFUNCTION("""COMPUTED_VALUE"""),"PIN")</f>
        <v>PIN</v>
      </c>
      <c r="C249" s="14">
        <f>IFERROR(__xludf.DUMMYFUNCTION("""COMPUTED_VALUE"""),678.5)</f>
        <v>678.5</v>
      </c>
      <c r="D249" s="15">
        <f>IFERROR(__xludf.DUMMYFUNCTION("""COMPUTED_VALUE"""),-0.8215415549527538)</f>
        <v>-0.821541555</v>
      </c>
      <c r="E249" s="15">
        <f>IFERROR(__xludf.DUMMYFUNCTION("""COMPUTED_VALUE"""),-4.889887102847012)</f>
        <v>-4.889887103</v>
      </c>
      <c r="F249" s="15">
        <f>IFERROR(__xludf.DUMMYFUNCTION("""COMPUTED_VALUE"""),-5.7114286577997655)</f>
        <v>-5.711428658</v>
      </c>
      <c r="G249" s="17">
        <f>IFERROR(__xludf.DUMMYFUNCTION("""COMPUTED_VALUE"""),-0.7648134420647095)</f>
        <v>-0.7648134421</v>
      </c>
      <c r="H249" s="4"/>
      <c r="I249" s="5" t="s">
        <v>2113</v>
      </c>
      <c r="J249" s="5" t="s">
        <v>1915</v>
      </c>
      <c r="K249" s="5">
        <v>679.0</v>
      </c>
      <c r="L249" s="5">
        <v>-0.83514</v>
      </c>
      <c r="M249" s="5">
        <v>-4.87634</v>
      </c>
      <c r="N249" s="5">
        <v>-5.71148</v>
      </c>
      <c r="O249" s="5">
        <v>-0.764824</v>
      </c>
    </row>
    <row r="250">
      <c r="A250" s="18" t="str">
        <f>IFERROR(__xludf.DUMMYFUNCTION("""COMPUTED_VALUE"""),"Safak Edge")</f>
        <v>Safak Edge</v>
      </c>
      <c r="B250" s="19" t="str">
        <f>IFERROR(__xludf.DUMMYFUNCTION("""COMPUTED_VALUE"""),"UUB")</f>
        <v>UUB</v>
      </c>
      <c r="C250" s="20">
        <f>IFERROR(__xludf.DUMMYFUNCTION("""COMPUTED_VALUE"""),718.9)</f>
        <v>718.9</v>
      </c>
      <c r="D250" s="21">
        <f>IFERROR(__xludf.DUMMYFUNCTION("""COMPUTED_VALUE"""),-3.0390951820027663)</f>
        <v>-3.039095182</v>
      </c>
      <c r="E250" s="21">
        <f>IFERROR(__xludf.DUMMYFUNCTION("""COMPUTED_VALUE"""),-3.1298993953650953)</f>
        <v>-3.129899395</v>
      </c>
      <c r="F250" s="21">
        <f>IFERROR(__xludf.DUMMYFUNCTION("""COMPUTED_VALUE"""),-6.168994577367862)</f>
        <v>-6.168994577</v>
      </c>
      <c r="G250" s="23">
        <f>IFERROR(__xludf.DUMMYFUNCTION("""COMPUTED_VALUE"""),-0.9101670224160241)</f>
        <v>-0.9101670224</v>
      </c>
      <c r="H250" s="4"/>
      <c r="I250" s="5" t="s">
        <v>2114</v>
      </c>
      <c r="J250" s="5" t="s">
        <v>1953</v>
      </c>
      <c r="K250" s="5">
        <v>719.0</v>
      </c>
      <c r="L250" s="5">
        <v>-3.052488</v>
      </c>
      <c r="M250" s="5">
        <v>-3.116389</v>
      </c>
      <c r="N250" s="5">
        <v>-6.168877</v>
      </c>
      <c r="O250" s="5">
        <v>-0.910141</v>
      </c>
    </row>
    <row r="251">
      <c r="A251" s="12" t="str">
        <f>IFERROR(__xludf.DUMMYFUNCTION("""COMPUTED_VALUE"""),"Ian Miller")</f>
        <v>Ian Miller</v>
      </c>
      <c r="B251" s="13" t="str">
        <f>IFERROR(__xludf.DUMMYFUNCTION("""COMPUTED_VALUE"""),"UUB")</f>
        <v>UUB</v>
      </c>
      <c r="C251" s="14">
        <f>IFERROR(__xludf.DUMMYFUNCTION("""COMPUTED_VALUE"""),412.4)</f>
        <v>412.4</v>
      </c>
      <c r="D251" s="15">
        <f>IFERROR(__xludf.DUMMYFUNCTION("""COMPUTED_VALUE"""),-4.292553905847146)</f>
        <v>-4.292553906</v>
      </c>
      <c r="E251" s="15">
        <f>IFERROR(__xludf.DUMMYFUNCTION("""COMPUTED_VALUE"""),-2.3043120991802093)</f>
        <v>-2.304312099</v>
      </c>
      <c r="F251" s="15">
        <f>IFERROR(__xludf.DUMMYFUNCTION("""COMPUTED_VALUE"""),-6.596866005027355)</f>
        <v>-6.596866005</v>
      </c>
      <c r="G251" s="17">
        <f>IFERROR(__xludf.DUMMYFUNCTION("""COMPUTED_VALUE"""),-0.5757073621620654)</f>
        <v>-0.5757073622</v>
      </c>
      <c r="H251" s="4"/>
      <c r="I251" s="5" t="s">
        <v>1544</v>
      </c>
      <c r="J251" s="5" t="s">
        <v>1953</v>
      </c>
      <c r="K251" s="24">
        <v>412.0</v>
      </c>
      <c r="L251" s="5">
        <v>-4.306593</v>
      </c>
      <c r="M251" s="5">
        <v>-2.290687</v>
      </c>
      <c r="N251" s="5">
        <v>-6.597279</v>
      </c>
      <c r="O251" s="5">
        <v>-0.575759</v>
      </c>
    </row>
    <row r="252">
      <c r="A252" s="18" t="str">
        <f>IFERROR(__xludf.DUMMYFUNCTION("""COMPUTED_VALUE"""),"Kevin Murphy")</f>
        <v>Kevin Murphy</v>
      </c>
      <c r="B252" s="19" t="str">
        <f>IFERROR(__xludf.DUMMYFUNCTION("""COMPUTED_VALUE"""),"GAZ")</f>
        <v>GAZ</v>
      </c>
      <c r="C252" s="20">
        <f>IFERROR(__xludf.DUMMYFUNCTION("""COMPUTED_VALUE"""),128.0)</f>
        <v>128</v>
      </c>
      <c r="D252" s="21">
        <f>IFERROR(__xludf.DUMMYFUNCTION("""COMPUTED_VALUE"""),-5.328867009510629)</f>
        <v>-5.32886701</v>
      </c>
      <c r="E252" s="21">
        <f>IFERROR(__xludf.DUMMYFUNCTION("""COMPUTED_VALUE"""),-1.6309943027262586)</f>
        <v>-1.630994303</v>
      </c>
      <c r="F252" s="21">
        <f>IFERROR(__xludf.DUMMYFUNCTION("""COMPUTED_VALUE"""),-6.959861312236888)</f>
        <v>-6.959861312</v>
      </c>
      <c r="G252" s="23">
        <f>IFERROR(__xludf.DUMMYFUNCTION("""COMPUTED_VALUE"""),-0.19078128554375096)</f>
        <v>-0.1907812855</v>
      </c>
      <c r="H252" s="4"/>
      <c r="I252" s="5" t="s">
        <v>1318</v>
      </c>
      <c r="J252" s="5" t="s">
        <v>1912</v>
      </c>
      <c r="K252" s="5">
        <v>128.0</v>
      </c>
      <c r="L252" s="5">
        <v>-5.334677</v>
      </c>
      <c r="M252" s="5">
        <v>-1.625219</v>
      </c>
      <c r="N252" s="5">
        <v>-6.959897</v>
      </c>
      <c r="O252" s="5">
        <v>-0.190783</v>
      </c>
    </row>
    <row r="253">
      <c r="A253" s="12" t="str">
        <f>IFERROR(__xludf.DUMMYFUNCTION("""COMPUTED_VALUE"""),"Burak Eslik")</f>
        <v>Burak Eslik</v>
      </c>
      <c r="B253" s="13" t="str">
        <f>IFERROR(__xludf.DUMMYFUNCTION("""COMPUTED_VALUE"""),"TRA")</f>
        <v>TRA</v>
      </c>
      <c r="C253" s="14">
        <f>IFERROR(__xludf.DUMMYFUNCTION("""COMPUTED_VALUE"""),321.3)</f>
        <v>321.3</v>
      </c>
      <c r="D253" s="15">
        <f>IFERROR(__xludf.DUMMYFUNCTION("""COMPUTED_VALUE"""),-2.8770098386066483)</f>
        <v>-2.877009839</v>
      </c>
      <c r="E253" s="15">
        <f>IFERROR(__xludf.DUMMYFUNCTION("""COMPUTED_VALUE"""),-5.129764740031627)</f>
        <v>-5.12976474</v>
      </c>
      <c r="F253" s="15">
        <f>IFERROR(__xludf.DUMMYFUNCTION("""COMPUTED_VALUE"""),-8.006774578638275)</f>
        <v>-8.006774579</v>
      </c>
      <c r="G253" s="17">
        <f>IFERROR(__xludf.DUMMYFUNCTION("""COMPUTED_VALUE"""),-0.5847043941570695)</f>
        <v>-0.5847043942</v>
      </c>
      <c r="H253" s="4"/>
      <c r="I253" s="5" t="s">
        <v>2115</v>
      </c>
      <c r="J253" s="5" t="s">
        <v>1923</v>
      </c>
      <c r="K253" s="5">
        <v>321.0</v>
      </c>
      <c r="L253" s="5">
        <v>-2.890393</v>
      </c>
      <c r="M253" s="5">
        <v>-5.116256</v>
      </c>
      <c r="N253" s="5">
        <v>-8.006649</v>
      </c>
      <c r="O253" s="5">
        <v>-0.584692</v>
      </c>
    </row>
    <row r="254">
      <c r="A254" s="18" t="str">
        <f>IFERROR(__xludf.DUMMYFUNCTION("""COMPUTED_VALUE"""),"Mert Cevik")</f>
        <v>Mert Cevik</v>
      </c>
      <c r="B254" s="19" t="str">
        <f>IFERROR(__xludf.DUMMYFUNCTION("""COMPUTED_VALUE"""),"IBB")</f>
        <v>IBB</v>
      </c>
      <c r="C254" s="20">
        <f>IFERROR(__xludf.DUMMYFUNCTION("""COMPUTED_VALUE"""),278.2)</f>
        <v>278.2</v>
      </c>
      <c r="D254" s="21">
        <f>IFERROR(__xludf.DUMMYFUNCTION("""COMPUTED_VALUE"""),-5.2924420527714044)</f>
        <v>-5.292442053</v>
      </c>
      <c r="E254" s="21">
        <f>IFERROR(__xludf.DUMMYFUNCTION("""COMPUTED_VALUE"""),-3.005590926437863)</f>
        <v>-3.005590926</v>
      </c>
      <c r="F254" s="21">
        <f>IFERROR(__xludf.DUMMYFUNCTION("""COMPUTED_VALUE"""),-8.298032979209268)</f>
        <v>-8.298032979</v>
      </c>
      <c r="G254" s="23">
        <f>IFERROR(__xludf.DUMMYFUNCTION("""COMPUTED_VALUE"""),-0.5378921800717692)</f>
        <v>-0.5378921801</v>
      </c>
      <c r="H254" s="4"/>
      <c r="I254" s="5" t="s">
        <v>2116</v>
      </c>
      <c r="J254" s="5" t="s">
        <v>1926</v>
      </c>
      <c r="K254" s="5">
        <v>278.0</v>
      </c>
      <c r="L254" s="5">
        <v>-5.304648</v>
      </c>
      <c r="M254" s="5">
        <v>-2.9931</v>
      </c>
      <c r="N254" s="5">
        <v>-8.297748</v>
      </c>
      <c r="O254" s="5">
        <v>-0.537868</v>
      </c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27BA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2117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IFERROR(__xludf.DUMMYFUNCTION("IMPORTRANGE(""https://docs.google.com/spreadsheets/d/1XEyf0hVDnVHLWbtP40t2u9ax9sAVPm-1itmjRJuc5wU/edit#gid=1120027332"",""Leaders!A3:G502"")"),"")</f>
        <v/>
      </c>
      <c r="B3" s="13" t="str">
        <f>IFERROR(__xludf.DUMMYFUNCTION("""COMPUTED_VALUE"""),"")</f>
        <v/>
      </c>
      <c r="C3" s="14" t="str">
        <f>IFERROR(__xludf.DUMMYFUNCTION("""COMPUTED_VALUE"""),"")</f>
        <v/>
      </c>
      <c r="D3" s="15" t="str">
        <f>IFERROR(__xludf.DUMMYFUNCTION("""COMPUTED_VALUE"""),"")</f>
        <v/>
      </c>
      <c r="E3" s="15" t="str">
        <f>IFERROR(__xludf.DUMMYFUNCTION("""COMPUTED_VALUE"""),"")</f>
        <v/>
      </c>
      <c r="F3" s="15" t="str">
        <f>IFERROR(__xludf.DUMMYFUNCTION("""COMPUTED_VALUE"""),"")</f>
        <v/>
      </c>
      <c r="G3" s="17" t="str">
        <f>IFERROR(__xludf.DUMMYFUNCTION("""COMPUTED_VALUE"""),"")</f>
        <v/>
      </c>
      <c r="H3" s="4"/>
      <c r="I3" s="5" t="s">
        <v>117</v>
      </c>
      <c r="J3" s="5" t="s">
        <v>118</v>
      </c>
      <c r="K3" s="24">
        <v>615.0</v>
      </c>
      <c r="L3" s="5">
        <v>5.468705</v>
      </c>
      <c r="M3" s="5">
        <v>2.347755</v>
      </c>
      <c r="N3" s="5">
        <v>7.81646</v>
      </c>
      <c r="O3" s="5">
        <v>1.828122</v>
      </c>
    </row>
    <row r="4">
      <c r="A4" s="18" t="str">
        <f>IFERROR(__xludf.DUMMYFUNCTION("""COMPUTED_VALUE"""),"")</f>
        <v/>
      </c>
      <c r="B4" s="19" t="str">
        <f>IFERROR(__xludf.DUMMYFUNCTION("""COMPUTED_VALUE"""),"")</f>
        <v/>
      </c>
      <c r="C4" s="20" t="str">
        <f>IFERROR(__xludf.DUMMYFUNCTION("""COMPUTED_VALUE"""),"")</f>
        <v/>
      </c>
      <c r="D4" s="21" t="str">
        <f>IFERROR(__xludf.DUMMYFUNCTION("""COMPUTED_VALUE"""),"")</f>
        <v/>
      </c>
      <c r="E4" s="21" t="str">
        <f>IFERROR(__xludf.DUMMYFUNCTION("""COMPUTED_VALUE"""),"")</f>
        <v/>
      </c>
      <c r="F4" s="21" t="str">
        <f>IFERROR(__xludf.DUMMYFUNCTION("""COMPUTED_VALUE"""),"")</f>
        <v/>
      </c>
      <c r="G4" s="23" t="str">
        <f>IFERROR(__xludf.DUMMYFUNCTION("""COMPUTED_VALUE"""),"")</f>
        <v/>
      </c>
      <c r="H4" s="4"/>
      <c r="I4" s="5" t="s">
        <v>2118</v>
      </c>
      <c r="J4" s="5" t="s">
        <v>2119</v>
      </c>
      <c r="K4" s="24">
        <v>898.0</v>
      </c>
      <c r="L4" s="5">
        <v>2.579129</v>
      </c>
      <c r="M4" s="5">
        <v>4.118024</v>
      </c>
      <c r="N4" s="5">
        <v>6.697154</v>
      </c>
      <c r="O4" s="5">
        <v>2.522525</v>
      </c>
    </row>
    <row r="5">
      <c r="A5" s="12" t="str">
        <f>IFERROR(__xludf.DUMMYFUNCTION("""COMPUTED_VALUE"""),"")</f>
        <v/>
      </c>
      <c r="B5" s="13" t="str">
        <f>IFERROR(__xludf.DUMMYFUNCTION("""COMPUTED_VALUE"""),"")</f>
        <v/>
      </c>
      <c r="C5" s="14" t="str">
        <f>IFERROR(__xludf.DUMMYFUNCTION("""COMPUTED_VALUE"""),"")</f>
        <v/>
      </c>
      <c r="D5" s="15" t="str">
        <f>IFERROR(__xludf.DUMMYFUNCTION("""COMPUTED_VALUE"""),"")</f>
        <v/>
      </c>
      <c r="E5" s="15" t="str">
        <f>IFERROR(__xludf.DUMMYFUNCTION("""COMPUTED_VALUE"""),"")</f>
        <v/>
      </c>
      <c r="F5" s="15" t="str">
        <f>IFERROR(__xludf.DUMMYFUNCTION("""COMPUTED_VALUE"""),"")</f>
        <v/>
      </c>
      <c r="G5" s="17" t="str">
        <f>IFERROR(__xludf.DUMMYFUNCTION("""COMPUTED_VALUE"""),"")</f>
        <v/>
      </c>
      <c r="H5" s="4"/>
      <c r="I5" s="5" t="s">
        <v>342</v>
      </c>
      <c r="J5" s="5" t="s">
        <v>118</v>
      </c>
      <c r="K5" s="5">
        <v>380.0</v>
      </c>
      <c r="L5" s="5">
        <v>3.87126</v>
      </c>
      <c r="M5" s="5">
        <v>2.002168</v>
      </c>
      <c r="N5" s="5">
        <v>5.873427</v>
      </c>
      <c r="O5" s="5">
        <v>0.905988</v>
      </c>
    </row>
    <row r="6">
      <c r="A6" s="18" t="str">
        <f>IFERROR(__xludf.DUMMYFUNCTION("""COMPUTED_VALUE"""),"")</f>
        <v/>
      </c>
      <c r="B6" s="19" t="str">
        <f>IFERROR(__xludf.DUMMYFUNCTION("""COMPUTED_VALUE"""),"")</f>
        <v/>
      </c>
      <c r="C6" s="20" t="str">
        <f>IFERROR(__xludf.DUMMYFUNCTION("""COMPUTED_VALUE"""),"")</f>
        <v/>
      </c>
      <c r="D6" s="21" t="str">
        <f>IFERROR(__xludf.DUMMYFUNCTION("""COMPUTED_VALUE"""),"")</f>
        <v/>
      </c>
      <c r="E6" s="21" t="str">
        <f>IFERROR(__xludf.DUMMYFUNCTION("""COMPUTED_VALUE"""),"")</f>
        <v/>
      </c>
      <c r="F6" s="21" t="str">
        <f>IFERROR(__xludf.DUMMYFUNCTION("""COMPUTED_VALUE"""),"")</f>
        <v/>
      </c>
      <c r="G6" s="23" t="str">
        <f>IFERROR(__xludf.DUMMYFUNCTION("""COMPUTED_VALUE"""),"")</f>
        <v/>
      </c>
      <c r="H6" s="4"/>
      <c r="I6" s="5" t="s">
        <v>325</v>
      </c>
      <c r="J6" s="5" t="s">
        <v>118</v>
      </c>
      <c r="K6" s="5">
        <v>620.0</v>
      </c>
      <c r="L6" s="5">
        <v>3.163126</v>
      </c>
      <c r="M6" s="5">
        <v>2.397193</v>
      </c>
      <c r="N6" s="5">
        <v>5.560319</v>
      </c>
      <c r="O6" s="5">
        <v>1.419407</v>
      </c>
    </row>
    <row r="7">
      <c r="A7" s="12" t="str">
        <f>IFERROR(__xludf.DUMMYFUNCTION("""COMPUTED_VALUE"""),"")</f>
        <v/>
      </c>
      <c r="B7" s="13" t="str">
        <f>IFERROR(__xludf.DUMMYFUNCTION("""COMPUTED_VALUE"""),"")</f>
        <v/>
      </c>
      <c r="C7" s="14" t="str">
        <f>IFERROR(__xludf.DUMMYFUNCTION("""COMPUTED_VALUE"""),"")</f>
        <v/>
      </c>
      <c r="D7" s="15" t="str">
        <f>IFERROR(__xludf.DUMMYFUNCTION("""COMPUTED_VALUE"""),"")</f>
        <v/>
      </c>
      <c r="E7" s="15" t="str">
        <f>IFERROR(__xludf.DUMMYFUNCTION("""COMPUTED_VALUE"""),"")</f>
        <v/>
      </c>
      <c r="F7" s="15" t="str">
        <f>IFERROR(__xludf.DUMMYFUNCTION("""COMPUTED_VALUE"""),"")</f>
        <v/>
      </c>
      <c r="G7" s="17" t="str">
        <f>IFERROR(__xludf.DUMMYFUNCTION("""COMPUTED_VALUE"""),"")</f>
        <v/>
      </c>
      <c r="H7" s="4"/>
      <c r="I7" s="5" t="s">
        <v>2120</v>
      </c>
      <c r="J7" s="5" t="s">
        <v>2121</v>
      </c>
      <c r="K7" s="24">
        <v>664.0</v>
      </c>
      <c r="L7" s="5">
        <v>4.26113</v>
      </c>
      <c r="M7" s="5">
        <v>1.17649</v>
      </c>
      <c r="N7" s="5">
        <v>5.43762</v>
      </c>
      <c r="O7" s="5">
        <v>1.528593</v>
      </c>
    </row>
    <row r="8">
      <c r="A8" s="18" t="str">
        <f>IFERROR(__xludf.DUMMYFUNCTION("""COMPUTED_VALUE"""),"")</f>
        <v/>
      </c>
      <c r="B8" s="19" t="str">
        <f>IFERROR(__xludf.DUMMYFUNCTION("""COMPUTED_VALUE"""),"")</f>
        <v/>
      </c>
      <c r="C8" s="20" t="str">
        <f>IFERROR(__xludf.DUMMYFUNCTION("""COMPUTED_VALUE"""),"")</f>
        <v/>
      </c>
      <c r="D8" s="21" t="str">
        <f>IFERROR(__xludf.DUMMYFUNCTION("""COMPUTED_VALUE"""),"")</f>
        <v/>
      </c>
      <c r="E8" s="21" t="str">
        <f>IFERROR(__xludf.DUMMYFUNCTION("""COMPUTED_VALUE"""),"")</f>
        <v/>
      </c>
      <c r="F8" s="21" t="str">
        <f>IFERROR(__xludf.DUMMYFUNCTION("""COMPUTED_VALUE"""),"")</f>
        <v/>
      </c>
      <c r="G8" s="23" t="str">
        <f>IFERROR(__xludf.DUMMYFUNCTION("""COMPUTED_VALUE"""),"")</f>
        <v/>
      </c>
      <c r="H8" s="4"/>
      <c r="I8" s="5" t="s">
        <v>2122</v>
      </c>
      <c r="J8" s="5" t="s">
        <v>2121</v>
      </c>
      <c r="K8" s="5">
        <v>572.0</v>
      </c>
      <c r="L8" s="5">
        <v>2.699945</v>
      </c>
      <c r="M8" s="5">
        <v>2.502356</v>
      </c>
      <c r="N8" s="5">
        <v>5.202301</v>
      </c>
      <c r="O8" s="5">
        <v>1.275138</v>
      </c>
    </row>
    <row r="9">
      <c r="A9" s="12" t="str">
        <f>IFERROR(__xludf.DUMMYFUNCTION("""COMPUTED_VALUE"""),"")</f>
        <v/>
      </c>
      <c r="B9" s="13" t="str">
        <f>IFERROR(__xludf.DUMMYFUNCTION("""COMPUTED_VALUE"""),"")</f>
        <v/>
      </c>
      <c r="C9" s="14" t="str">
        <f>IFERROR(__xludf.DUMMYFUNCTION("""COMPUTED_VALUE"""),"")</f>
        <v/>
      </c>
      <c r="D9" s="15" t="str">
        <f>IFERROR(__xludf.DUMMYFUNCTION("""COMPUTED_VALUE"""),"")</f>
        <v/>
      </c>
      <c r="E9" s="15" t="str">
        <f>IFERROR(__xludf.DUMMYFUNCTION("""COMPUTED_VALUE"""),"")</f>
        <v/>
      </c>
      <c r="F9" s="15" t="str">
        <f>IFERROR(__xludf.DUMMYFUNCTION("""COMPUTED_VALUE"""),"")</f>
        <v/>
      </c>
      <c r="G9" s="17" t="str">
        <f>IFERROR(__xludf.DUMMYFUNCTION("""COMPUTED_VALUE"""),"")</f>
        <v/>
      </c>
      <c r="H9" s="4"/>
      <c r="I9" s="5" t="s">
        <v>2123</v>
      </c>
      <c r="J9" s="5" t="s">
        <v>2124</v>
      </c>
      <c r="K9" s="5">
        <v>388.0</v>
      </c>
      <c r="L9" s="5">
        <v>5.586128</v>
      </c>
      <c r="M9" s="5">
        <v>-0.561664</v>
      </c>
      <c r="N9" s="5">
        <v>5.024464</v>
      </c>
      <c r="O9" s="5">
        <v>0.821606</v>
      </c>
    </row>
    <row r="10">
      <c r="A10" s="18" t="str">
        <f>IFERROR(__xludf.DUMMYFUNCTION("""COMPUTED_VALUE"""),"")</f>
        <v/>
      </c>
      <c r="B10" s="19" t="str">
        <f>IFERROR(__xludf.DUMMYFUNCTION("""COMPUTED_VALUE"""),"")</f>
        <v/>
      </c>
      <c r="C10" s="20" t="str">
        <f>IFERROR(__xludf.DUMMYFUNCTION("""COMPUTED_VALUE"""),"")</f>
        <v/>
      </c>
      <c r="D10" s="21" t="str">
        <f>IFERROR(__xludf.DUMMYFUNCTION("""COMPUTED_VALUE"""),"")</f>
        <v/>
      </c>
      <c r="E10" s="21" t="str">
        <f>IFERROR(__xludf.DUMMYFUNCTION("""COMPUTED_VALUE"""),"")</f>
        <v/>
      </c>
      <c r="F10" s="21" t="str">
        <f>IFERROR(__xludf.DUMMYFUNCTION("""COMPUTED_VALUE"""),"")</f>
        <v/>
      </c>
      <c r="G10" s="23" t="str">
        <f>IFERROR(__xludf.DUMMYFUNCTION("""COMPUTED_VALUE"""),"")</f>
        <v/>
      </c>
      <c r="H10" s="4"/>
      <c r="I10" s="5" t="s">
        <v>2125</v>
      </c>
      <c r="J10" s="5" t="s">
        <v>2126</v>
      </c>
      <c r="K10" s="24">
        <v>799.0</v>
      </c>
      <c r="L10" s="5">
        <v>0.987561</v>
      </c>
      <c r="M10" s="5">
        <v>3.90959</v>
      </c>
      <c r="N10" s="5">
        <v>4.897151</v>
      </c>
      <c r="O10" s="5">
        <v>1.715147</v>
      </c>
    </row>
    <row r="11">
      <c r="A11" s="12" t="str">
        <f>IFERROR(__xludf.DUMMYFUNCTION("""COMPUTED_VALUE"""),"")</f>
        <v/>
      </c>
      <c r="B11" s="13" t="str">
        <f>IFERROR(__xludf.DUMMYFUNCTION("""COMPUTED_VALUE"""),"")</f>
        <v/>
      </c>
      <c r="C11" s="14" t="str">
        <f>IFERROR(__xludf.DUMMYFUNCTION("""COMPUTED_VALUE"""),"")</f>
        <v/>
      </c>
      <c r="D11" s="15" t="str">
        <f>IFERROR(__xludf.DUMMYFUNCTION("""COMPUTED_VALUE"""),"")</f>
        <v/>
      </c>
      <c r="E11" s="15" t="str">
        <f>IFERROR(__xludf.DUMMYFUNCTION("""COMPUTED_VALUE"""),"")</f>
        <v/>
      </c>
      <c r="F11" s="15" t="str">
        <f>IFERROR(__xludf.DUMMYFUNCTION("""COMPUTED_VALUE"""),"")</f>
        <v/>
      </c>
      <c r="G11" s="17" t="str">
        <f>IFERROR(__xludf.DUMMYFUNCTION("""COMPUTED_VALUE"""),"")</f>
        <v/>
      </c>
      <c r="H11" s="4"/>
      <c r="I11" s="5" t="s">
        <v>2127</v>
      </c>
      <c r="J11" s="5" t="s">
        <v>2124</v>
      </c>
      <c r="K11" s="5">
        <v>640.0</v>
      </c>
      <c r="L11" s="5">
        <v>3.518608</v>
      </c>
      <c r="M11" s="5">
        <v>1.15721</v>
      </c>
      <c r="N11" s="5">
        <v>4.675818</v>
      </c>
      <c r="O11" s="5">
        <v>1.287963</v>
      </c>
    </row>
    <row r="12">
      <c r="A12" s="18" t="str">
        <f>IFERROR(__xludf.DUMMYFUNCTION("""COMPUTED_VALUE"""),"")</f>
        <v/>
      </c>
      <c r="B12" s="19" t="str">
        <f>IFERROR(__xludf.DUMMYFUNCTION("""COMPUTED_VALUE"""),"")</f>
        <v/>
      </c>
      <c r="C12" s="20" t="str">
        <f>IFERROR(__xludf.DUMMYFUNCTION("""COMPUTED_VALUE"""),"")</f>
        <v/>
      </c>
      <c r="D12" s="21" t="str">
        <f>IFERROR(__xludf.DUMMYFUNCTION("""COMPUTED_VALUE"""),"")</f>
        <v/>
      </c>
      <c r="E12" s="21" t="str">
        <f>IFERROR(__xludf.DUMMYFUNCTION("""COMPUTED_VALUE"""),"")</f>
        <v/>
      </c>
      <c r="F12" s="21" t="str">
        <f>IFERROR(__xludf.DUMMYFUNCTION("""COMPUTED_VALUE"""),"")</f>
        <v/>
      </c>
      <c r="G12" s="23" t="str">
        <f>IFERROR(__xludf.DUMMYFUNCTION("""COMPUTED_VALUE"""),"")</f>
        <v/>
      </c>
      <c r="H12" s="4"/>
      <c r="I12" s="5" t="s">
        <v>2128</v>
      </c>
      <c r="J12" s="5" t="s">
        <v>2121</v>
      </c>
      <c r="K12" s="24">
        <v>969.0</v>
      </c>
      <c r="L12" s="5">
        <v>1.853611</v>
      </c>
      <c r="M12" s="5">
        <v>2.712401</v>
      </c>
      <c r="N12" s="5">
        <v>4.566012</v>
      </c>
      <c r="O12" s="5">
        <v>1.969316</v>
      </c>
    </row>
    <row r="13">
      <c r="A13" s="12" t="str">
        <f>IFERROR(__xludf.DUMMYFUNCTION("""COMPUTED_VALUE"""),"")</f>
        <v/>
      </c>
      <c r="B13" s="13" t="str">
        <f>IFERROR(__xludf.DUMMYFUNCTION("""COMPUTED_VALUE"""),"")</f>
        <v/>
      </c>
      <c r="C13" s="14" t="str">
        <f>IFERROR(__xludf.DUMMYFUNCTION("""COMPUTED_VALUE"""),"")</f>
        <v/>
      </c>
      <c r="D13" s="15" t="str">
        <f>IFERROR(__xludf.DUMMYFUNCTION("""COMPUTED_VALUE"""),"")</f>
        <v/>
      </c>
      <c r="E13" s="15" t="str">
        <f>IFERROR(__xludf.DUMMYFUNCTION("""COMPUTED_VALUE"""),"")</f>
        <v/>
      </c>
      <c r="F13" s="15" t="str">
        <f>IFERROR(__xludf.DUMMYFUNCTION("""COMPUTED_VALUE"""),"")</f>
        <v/>
      </c>
      <c r="G13" s="17" t="str">
        <f>IFERROR(__xludf.DUMMYFUNCTION("""COMPUTED_VALUE"""),"")</f>
        <v/>
      </c>
      <c r="H13" s="4"/>
      <c r="I13" s="5" t="s">
        <v>2129</v>
      </c>
      <c r="J13" s="5" t="s">
        <v>2130</v>
      </c>
      <c r="K13" s="24">
        <v>815.0</v>
      </c>
      <c r="L13" s="5">
        <v>3.390262</v>
      </c>
      <c r="M13" s="5">
        <v>0.957482</v>
      </c>
      <c r="N13" s="5">
        <v>4.347744</v>
      </c>
      <c r="O13" s="5">
        <v>1.603116</v>
      </c>
    </row>
    <row r="14">
      <c r="A14" s="18" t="str">
        <f>IFERROR(__xludf.DUMMYFUNCTION("""COMPUTED_VALUE"""),"")</f>
        <v/>
      </c>
      <c r="B14" s="19" t="str">
        <f>IFERROR(__xludf.DUMMYFUNCTION("""COMPUTED_VALUE"""),"")</f>
        <v/>
      </c>
      <c r="C14" s="20" t="str">
        <f>IFERROR(__xludf.DUMMYFUNCTION("""COMPUTED_VALUE"""),"")</f>
        <v/>
      </c>
      <c r="D14" s="21" t="str">
        <f>IFERROR(__xludf.DUMMYFUNCTION("""COMPUTED_VALUE"""),"")</f>
        <v/>
      </c>
      <c r="E14" s="21" t="str">
        <f>IFERROR(__xludf.DUMMYFUNCTION("""COMPUTED_VALUE"""),"")</f>
        <v/>
      </c>
      <c r="F14" s="21" t="str">
        <f>IFERROR(__xludf.DUMMYFUNCTION("""COMPUTED_VALUE"""),"")</f>
        <v/>
      </c>
      <c r="G14" s="23" t="str">
        <f>IFERROR(__xludf.DUMMYFUNCTION("""COMPUTED_VALUE"""),"")</f>
        <v/>
      </c>
      <c r="H14" s="4"/>
      <c r="I14" s="5" t="s">
        <v>2131</v>
      </c>
      <c r="J14" s="5" t="s">
        <v>2119</v>
      </c>
      <c r="K14" s="5">
        <v>497.0</v>
      </c>
      <c r="L14" s="5">
        <v>2.381605</v>
      </c>
      <c r="M14" s="5">
        <v>1.664825</v>
      </c>
      <c r="N14" s="5">
        <v>4.04643</v>
      </c>
      <c r="O14" s="5">
        <v>0.970594</v>
      </c>
    </row>
    <row r="15">
      <c r="A15" s="12" t="str">
        <f>IFERROR(__xludf.DUMMYFUNCTION("""COMPUTED_VALUE"""),"")</f>
        <v/>
      </c>
      <c r="B15" s="13" t="str">
        <f>IFERROR(__xludf.DUMMYFUNCTION("""COMPUTED_VALUE"""),"")</f>
        <v/>
      </c>
      <c r="C15" s="14" t="str">
        <f>IFERROR(__xludf.DUMMYFUNCTION("""COMPUTED_VALUE"""),"")</f>
        <v/>
      </c>
      <c r="D15" s="15" t="str">
        <f>IFERROR(__xludf.DUMMYFUNCTION("""COMPUTED_VALUE"""),"")</f>
        <v/>
      </c>
      <c r="E15" s="15" t="str">
        <f>IFERROR(__xludf.DUMMYFUNCTION("""COMPUTED_VALUE"""),"")</f>
        <v/>
      </c>
      <c r="F15" s="15" t="str">
        <f>IFERROR(__xludf.DUMMYFUNCTION("""COMPUTED_VALUE"""),"")</f>
        <v/>
      </c>
      <c r="G15" s="17" t="str">
        <f>IFERROR(__xludf.DUMMYFUNCTION("""COMPUTED_VALUE"""),"")</f>
        <v/>
      </c>
      <c r="H15" s="4"/>
      <c r="I15" s="5" t="s">
        <v>2132</v>
      </c>
      <c r="J15" s="5" t="s">
        <v>2133</v>
      </c>
      <c r="K15" s="5">
        <v>678.0</v>
      </c>
      <c r="L15" s="5">
        <v>2.286045</v>
      </c>
      <c r="M15" s="5">
        <v>1.759545</v>
      </c>
      <c r="N15" s="5">
        <v>4.04559</v>
      </c>
      <c r="O15" s="5">
        <v>1.287536</v>
      </c>
    </row>
    <row r="16">
      <c r="A16" s="18" t="str">
        <f>IFERROR(__xludf.DUMMYFUNCTION("""COMPUTED_VALUE"""),"")</f>
        <v/>
      </c>
      <c r="B16" s="19" t="str">
        <f>IFERROR(__xludf.DUMMYFUNCTION("""COMPUTED_VALUE"""),"")</f>
        <v/>
      </c>
      <c r="C16" s="20" t="str">
        <f>IFERROR(__xludf.DUMMYFUNCTION("""COMPUTED_VALUE"""),"")</f>
        <v/>
      </c>
      <c r="D16" s="21" t="str">
        <f>IFERROR(__xludf.DUMMYFUNCTION("""COMPUTED_VALUE"""),"")</f>
        <v/>
      </c>
      <c r="E16" s="21" t="str">
        <f>IFERROR(__xludf.DUMMYFUNCTION("""COMPUTED_VALUE"""),"")</f>
        <v/>
      </c>
      <c r="F16" s="21" t="str">
        <f>IFERROR(__xludf.DUMMYFUNCTION("""COMPUTED_VALUE"""),"")</f>
        <v/>
      </c>
      <c r="G16" s="23" t="str">
        <f>IFERROR(__xludf.DUMMYFUNCTION("""COMPUTED_VALUE"""),"")</f>
        <v/>
      </c>
      <c r="H16" s="4"/>
      <c r="I16" s="5" t="s">
        <v>1668</v>
      </c>
      <c r="J16" s="5" t="s">
        <v>2124</v>
      </c>
      <c r="K16" s="24">
        <v>349.0</v>
      </c>
      <c r="L16" s="5">
        <v>1.537406</v>
      </c>
      <c r="M16" s="5">
        <v>2.325803</v>
      </c>
      <c r="N16" s="5">
        <v>3.863209</v>
      </c>
      <c r="O16" s="5">
        <v>0.61685</v>
      </c>
    </row>
    <row r="17">
      <c r="A17" s="12" t="str">
        <f>IFERROR(__xludf.DUMMYFUNCTION("""COMPUTED_VALUE"""),"")</f>
        <v/>
      </c>
      <c r="B17" s="13" t="str">
        <f>IFERROR(__xludf.DUMMYFUNCTION("""COMPUTED_VALUE"""),"")</f>
        <v/>
      </c>
      <c r="C17" s="14" t="str">
        <f>IFERROR(__xludf.DUMMYFUNCTION("""COMPUTED_VALUE"""),"")</f>
        <v/>
      </c>
      <c r="D17" s="15" t="str">
        <f>IFERROR(__xludf.DUMMYFUNCTION("""COMPUTED_VALUE"""),"")</f>
        <v/>
      </c>
      <c r="E17" s="15" t="str">
        <f>IFERROR(__xludf.DUMMYFUNCTION("""COMPUTED_VALUE"""),"")</f>
        <v/>
      </c>
      <c r="F17" s="15" t="str">
        <f>IFERROR(__xludf.DUMMYFUNCTION("""COMPUTED_VALUE"""),"")</f>
        <v/>
      </c>
      <c r="G17" s="17" t="str">
        <f>IFERROR(__xludf.DUMMYFUNCTION("""COMPUTED_VALUE"""),"")</f>
        <v/>
      </c>
      <c r="H17" s="4"/>
      <c r="I17" s="5" t="s">
        <v>375</v>
      </c>
      <c r="J17" s="5" t="s">
        <v>118</v>
      </c>
      <c r="K17" s="5">
        <v>756.0</v>
      </c>
      <c r="L17" s="5">
        <v>2.644507</v>
      </c>
      <c r="M17" s="5">
        <v>1.063966</v>
      </c>
      <c r="N17" s="5">
        <v>3.708473</v>
      </c>
      <c r="O17" s="5">
        <v>1.306823</v>
      </c>
    </row>
    <row r="18">
      <c r="A18" s="18" t="str">
        <f>IFERROR(__xludf.DUMMYFUNCTION("""COMPUTED_VALUE"""),"")</f>
        <v/>
      </c>
      <c r="B18" s="19" t="str">
        <f>IFERROR(__xludf.DUMMYFUNCTION("""COMPUTED_VALUE"""),"")</f>
        <v/>
      </c>
      <c r="C18" s="20" t="str">
        <f>IFERROR(__xludf.DUMMYFUNCTION("""COMPUTED_VALUE"""),"")</f>
        <v/>
      </c>
      <c r="D18" s="21" t="str">
        <f>IFERROR(__xludf.DUMMYFUNCTION("""COMPUTED_VALUE"""),"")</f>
        <v/>
      </c>
      <c r="E18" s="21" t="str">
        <f>IFERROR(__xludf.DUMMYFUNCTION("""COMPUTED_VALUE"""),"")</f>
        <v/>
      </c>
      <c r="F18" s="21" t="str">
        <f>IFERROR(__xludf.DUMMYFUNCTION("""COMPUTED_VALUE"""),"")</f>
        <v/>
      </c>
      <c r="G18" s="23" t="str">
        <f>IFERROR(__xludf.DUMMYFUNCTION("""COMPUTED_VALUE"""),"")</f>
        <v/>
      </c>
      <c r="H18" s="4"/>
      <c r="I18" s="5" t="s">
        <v>2134</v>
      </c>
      <c r="J18" s="5" t="s">
        <v>2135</v>
      </c>
      <c r="K18" s="24">
        <v>649.0</v>
      </c>
      <c r="L18" s="5">
        <v>1.793273</v>
      </c>
      <c r="M18" s="5">
        <v>1.656245</v>
      </c>
      <c r="N18" s="5">
        <v>3.449518</v>
      </c>
      <c r="O18" s="5">
        <v>1.072909</v>
      </c>
    </row>
    <row r="19">
      <c r="A19" s="12" t="str">
        <f>IFERROR(__xludf.DUMMYFUNCTION("""COMPUTED_VALUE"""),"")</f>
        <v/>
      </c>
      <c r="B19" s="13" t="str">
        <f>IFERROR(__xludf.DUMMYFUNCTION("""COMPUTED_VALUE"""),"")</f>
        <v/>
      </c>
      <c r="C19" s="14" t="str">
        <f>IFERROR(__xludf.DUMMYFUNCTION("""COMPUTED_VALUE"""),"")</f>
        <v/>
      </c>
      <c r="D19" s="15" t="str">
        <f>IFERROR(__xludf.DUMMYFUNCTION("""COMPUTED_VALUE"""),"")</f>
        <v/>
      </c>
      <c r="E19" s="15" t="str">
        <f>IFERROR(__xludf.DUMMYFUNCTION("""COMPUTED_VALUE"""),"")</f>
        <v/>
      </c>
      <c r="F19" s="15" t="str">
        <f>IFERROR(__xludf.DUMMYFUNCTION("""COMPUTED_VALUE"""),"")</f>
        <v/>
      </c>
      <c r="G19" s="17" t="str">
        <f>IFERROR(__xludf.DUMMYFUNCTION("""COMPUTED_VALUE"""),"")</f>
        <v/>
      </c>
      <c r="H19" s="4"/>
      <c r="I19" s="5" t="s">
        <v>2136</v>
      </c>
      <c r="J19" s="5" t="s">
        <v>2137</v>
      </c>
      <c r="K19" s="5">
        <v>907.0</v>
      </c>
      <c r="L19" s="5">
        <v>5.644852</v>
      </c>
      <c r="M19" s="5">
        <v>-2.197412</v>
      </c>
      <c r="N19" s="5">
        <v>3.44744</v>
      </c>
      <c r="O19" s="5">
        <v>1.567259</v>
      </c>
    </row>
    <row r="20">
      <c r="A20" s="18" t="str">
        <f>IFERROR(__xludf.DUMMYFUNCTION("""COMPUTED_VALUE"""),"")</f>
        <v/>
      </c>
      <c r="B20" s="19" t="str">
        <f>IFERROR(__xludf.DUMMYFUNCTION("""COMPUTED_VALUE"""),"")</f>
        <v/>
      </c>
      <c r="C20" s="20" t="str">
        <f>IFERROR(__xludf.DUMMYFUNCTION("""COMPUTED_VALUE"""),"")</f>
        <v/>
      </c>
      <c r="D20" s="21" t="str">
        <f>IFERROR(__xludf.DUMMYFUNCTION("""COMPUTED_VALUE"""),"")</f>
        <v/>
      </c>
      <c r="E20" s="21" t="str">
        <f>IFERROR(__xludf.DUMMYFUNCTION("""COMPUTED_VALUE"""),"")</f>
        <v/>
      </c>
      <c r="F20" s="21" t="str">
        <f>IFERROR(__xludf.DUMMYFUNCTION("""COMPUTED_VALUE"""),"")</f>
        <v/>
      </c>
      <c r="G20" s="23" t="str">
        <f>IFERROR(__xludf.DUMMYFUNCTION("""COMPUTED_VALUE"""),"")</f>
        <v/>
      </c>
      <c r="H20" s="4"/>
      <c r="I20" s="5" t="s">
        <v>2138</v>
      </c>
      <c r="J20" s="5" t="s">
        <v>2133</v>
      </c>
      <c r="K20" s="5">
        <v>666.0</v>
      </c>
      <c r="L20" s="5">
        <v>0.762311</v>
      </c>
      <c r="M20" s="5">
        <v>2.642431</v>
      </c>
      <c r="N20" s="5">
        <v>3.404742</v>
      </c>
      <c r="O20" s="5">
        <v>1.130682</v>
      </c>
    </row>
    <row r="21">
      <c r="A21" s="12" t="str">
        <f>IFERROR(__xludf.DUMMYFUNCTION("""COMPUTED_VALUE"""),"")</f>
        <v/>
      </c>
      <c r="B21" s="13" t="str">
        <f>IFERROR(__xludf.DUMMYFUNCTION("""COMPUTED_VALUE"""),"")</f>
        <v/>
      </c>
      <c r="C21" s="14" t="str">
        <f>IFERROR(__xludf.DUMMYFUNCTION("""COMPUTED_VALUE"""),"")</f>
        <v/>
      </c>
      <c r="D21" s="15" t="str">
        <f>IFERROR(__xludf.DUMMYFUNCTION("""COMPUTED_VALUE"""),"")</f>
        <v/>
      </c>
      <c r="E21" s="15" t="str">
        <f>IFERROR(__xludf.DUMMYFUNCTION("""COMPUTED_VALUE"""),"")</f>
        <v/>
      </c>
      <c r="F21" s="15" t="str">
        <f>IFERROR(__xludf.DUMMYFUNCTION("""COMPUTED_VALUE"""),"")</f>
        <v/>
      </c>
      <c r="G21" s="17" t="str">
        <f>IFERROR(__xludf.DUMMYFUNCTION("""COMPUTED_VALUE"""),"")</f>
        <v/>
      </c>
      <c r="H21" s="4"/>
      <c r="I21" s="5" t="s">
        <v>966</v>
      </c>
      <c r="J21" s="5" t="s">
        <v>2130</v>
      </c>
      <c r="K21" s="5">
        <v>357.0</v>
      </c>
      <c r="L21" s="5">
        <v>4.046683</v>
      </c>
      <c r="M21" s="5">
        <v>-0.655645</v>
      </c>
      <c r="N21" s="5">
        <v>3.391038</v>
      </c>
      <c r="O21" s="5">
        <v>0.596388</v>
      </c>
    </row>
    <row r="22">
      <c r="A22" s="18" t="str">
        <f>IFERROR(__xludf.DUMMYFUNCTION("""COMPUTED_VALUE"""),"")</f>
        <v/>
      </c>
      <c r="B22" s="19" t="str">
        <f>IFERROR(__xludf.DUMMYFUNCTION("""COMPUTED_VALUE"""),"")</f>
        <v/>
      </c>
      <c r="C22" s="20" t="str">
        <f>IFERROR(__xludf.DUMMYFUNCTION("""COMPUTED_VALUE"""),"")</f>
        <v/>
      </c>
      <c r="D22" s="21" t="str">
        <f>IFERROR(__xludf.DUMMYFUNCTION("""COMPUTED_VALUE"""),"")</f>
        <v/>
      </c>
      <c r="E22" s="21" t="str">
        <f>IFERROR(__xludf.DUMMYFUNCTION("""COMPUTED_VALUE"""),"")</f>
        <v/>
      </c>
      <c r="F22" s="21" t="str">
        <f>IFERROR(__xludf.DUMMYFUNCTION("""COMPUTED_VALUE"""),"")</f>
        <v/>
      </c>
      <c r="G22" s="23" t="str">
        <f>IFERROR(__xludf.DUMMYFUNCTION("""COMPUTED_VALUE"""),"")</f>
        <v/>
      </c>
      <c r="H22" s="4"/>
      <c r="I22" s="5" t="s">
        <v>339</v>
      </c>
      <c r="J22" s="5" t="s">
        <v>118</v>
      </c>
      <c r="K22" s="5">
        <v>468.0</v>
      </c>
      <c r="L22" s="5">
        <v>-1.116947</v>
      </c>
      <c r="M22" s="5">
        <v>4.351612</v>
      </c>
      <c r="N22" s="5">
        <v>3.234665</v>
      </c>
      <c r="O22" s="5">
        <v>0.741839</v>
      </c>
    </row>
    <row r="23">
      <c r="A23" s="12" t="str">
        <f>IFERROR(__xludf.DUMMYFUNCTION("""COMPUTED_VALUE"""),"")</f>
        <v/>
      </c>
      <c r="B23" s="13" t="str">
        <f>IFERROR(__xludf.DUMMYFUNCTION("""COMPUTED_VALUE"""),"")</f>
        <v/>
      </c>
      <c r="C23" s="14" t="str">
        <f>IFERROR(__xludf.DUMMYFUNCTION("""COMPUTED_VALUE"""),"")</f>
        <v/>
      </c>
      <c r="D23" s="15" t="str">
        <f>IFERROR(__xludf.DUMMYFUNCTION("""COMPUTED_VALUE"""),"")</f>
        <v/>
      </c>
      <c r="E23" s="15" t="str">
        <f>IFERROR(__xludf.DUMMYFUNCTION("""COMPUTED_VALUE"""),"")</f>
        <v/>
      </c>
      <c r="F23" s="15" t="str">
        <f>IFERROR(__xludf.DUMMYFUNCTION("""COMPUTED_VALUE"""),"")</f>
        <v/>
      </c>
      <c r="G23" s="17" t="str">
        <f>IFERROR(__xludf.DUMMYFUNCTION("""COMPUTED_VALUE"""),"")</f>
        <v/>
      </c>
      <c r="H23" s="4"/>
      <c r="I23" s="5" t="s">
        <v>2139</v>
      </c>
      <c r="J23" s="5" t="s">
        <v>2140</v>
      </c>
      <c r="K23" s="24">
        <v>624.0</v>
      </c>
      <c r="L23" s="5">
        <v>3.017694</v>
      </c>
      <c r="M23" s="5">
        <v>0.073193</v>
      </c>
      <c r="N23" s="5">
        <v>3.090887</v>
      </c>
      <c r="O23" s="5">
        <v>0.959554</v>
      </c>
    </row>
    <row r="24">
      <c r="A24" s="18" t="str">
        <f>IFERROR(__xludf.DUMMYFUNCTION("""COMPUTED_VALUE"""),"")</f>
        <v/>
      </c>
      <c r="B24" s="19" t="str">
        <f>IFERROR(__xludf.DUMMYFUNCTION("""COMPUTED_VALUE"""),"")</f>
        <v/>
      </c>
      <c r="C24" s="20" t="str">
        <f>IFERROR(__xludf.DUMMYFUNCTION("""COMPUTED_VALUE"""),"")</f>
        <v/>
      </c>
      <c r="D24" s="21" t="str">
        <f>IFERROR(__xludf.DUMMYFUNCTION("""COMPUTED_VALUE"""),"")</f>
        <v/>
      </c>
      <c r="E24" s="21" t="str">
        <f>IFERROR(__xludf.DUMMYFUNCTION("""COMPUTED_VALUE"""),"")</f>
        <v/>
      </c>
      <c r="F24" s="21" t="str">
        <f>IFERROR(__xludf.DUMMYFUNCTION("""COMPUTED_VALUE"""),"")</f>
        <v/>
      </c>
      <c r="G24" s="23" t="str">
        <f>IFERROR(__xludf.DUMMYFUNCTION("""COMPUTED_VALUE"""),"")</f>
        <v/>
      </c>
      <c r="H24" s="4"/>
      <c r="I24" s="5" t="s">
        <v>2141</v>
      </c>
      <c r="J24" s="5" t="s">
        <v>2137</v>
      </c>
      <c r="K24" s="24">
        <v>935.0</v>
      </c>
      <c r="L24" s="5">
        <v>1.425214</v>
      </c>
      <c r="M24" s="5">
        <v>1.66292</v>
      </c>
      <c r="N24" s="5">
        <v>3.088134</v>
      </c>
      <c r="O24" s="5">
        <v>1.509077</v>
      </c>
    </row>
    <row r="25">
      <c r="A25" s="12" t="str">
        <f>IFERROR(__xludf.DUMMYFUNCTION("""COMPUTED_VALUE"""),"")</f>
        <v/>
      </c>
      <c r="B25" s="13" t="str">
        <f>IFERROR(__xludf.DUMMYFUNCTION("""COMPUTED_VALUE"""),"")</f>
        <v/>
      </c>
      <c r="C25" s="14" t="str">
        <f>IFERROR(__xludf.DUMMYFUNCTION("""COMPUTED_VALUE"""),"")</f>
        <v/>
      </c>
      <c r="D25" s="15" t="str">
        <f>IFERROR(__xludf.DUMMYFUNCTION("""COMPUTED_VALUE"""),"")</f>
        <v/>
      </c>
      <c r="E25" s="15" t="str">
        <f>IFERROR(__xludf.DUMMYFUNCTION("""COMPUTED_VALUE"""),"")</f>
        <v/>
      </c>
      <c r="F25" s="15" t="str">
        <f>IFERROR(__xludf.DUMMYFUNCTION("""COMPUTED_VALUE"""),"")</f>
        <v/>
      </c>
      <c r="G25" s="17" t="str">
        <f>IFERROR(__xludf.DUMMYFUNCTION("""COMPUTED_VALUE"""),"")</f>
        <v/>
      </c>
      <c r="H25" s="4"/>
      <c r="I25" s="5" t="s">
        <v>2142</v>
      </c>
      <c r="J25" s="5" t="s">
        <v>2143</v>
      </c>
      <c r="K25" s="5">
        <v>934.0</v>
      </c>
      <c r="L25" s="5">
        <v>0.219064</v>
      </c>
      <c r="M25" s="5">
        <v>2.808275</v>
      </c>
      <c r="N25" s="5">
        <v>3.027339</v>
      </c>
      <c r="O25" s="5">
        <v>1.459467</v>
      </c>
    </row>
    <row r="26">
      <c r="A26" s="18" t="str">
        <f>IFERROR(__xludf.DUMMYFUNCTION("""COMPUTED_VALUE"""),"")</f>
        <v/>
      </c>
      <c r="B26" s="19" t="str">
        <f>IFERROR(__xludf.DUMMYFUNCTION("""COMPUTED_VALUE"""),"")</f>
        <v/>
      </c>
      <c r="C26" s="20" t="str">
        <f>IFERROR(__xludf.DUMMYFUNCTION("""COMPUTED_VALUE"""),"")</f>
        <v/>
      </c>
      <c r="D26" s="21" t="str">
        <f>IFERROR(__xludf.DUMMYFUNCTION("""COMPUTED_VALUE"""),"")</f>
        <v/>
      </c>
      <c r="E26" s="21" t="str">
        <f>IFERROR(__xludf.DUMMYFUNCTION("""COMPUTED_VALUE"""),"")</f>
        <v/>
      </c>
      <c r="F26" s="21" t="str">
        <f>IFERROR(__xludf.DUMMYFUNCTION("""COMPUTED_VALUE"""),"")</f>
        <v/>
      </c>
      <c r="G26" s="23" t="str">
        <f>IFERROR(__xludf.DUMMYFUNCTION("""COMPUTED_VALUE"""),"")</f>
        <v/>
      </c>
      <c r="H26" s="4"/>
      <c r="I26" s="5" t="s">
        <v>2144</v>
      </c>
      <c r="J26" s="5" t="s">
        <v>2143</v>
      </c>
      <c r="K26" s="24">
        <v>799.0</v>
      </c>
      <c r="L26" s="5">
        <v>2.470932</v>
      </c>
      <c r="M26" s="5">
        <v>0.544668</v>
      </c>
      <c r="N26" s="5">
        <v>3.0156</v>
      </c>
      <c r="O26" s="5">
        <v>1.245601</v>
      </c>
    </row>
    <row r="27">
      <c r="A27" s="12" t="str">
        <f>IFERROR(__xludf.DUMMYFUNCTION("""COMPUTED_VALUE"""),"")</f>
        <v/>
      </c>
      <c r="B27" s="13" t="str">
        <f>IFERROR(__xludf.DUMMYFUNCTION("""COMPUTED_VALUE"""),"")</f>
        <v/>
      </c>
      <c r="C27" s="14" t="str">
        <f>IFERROR(__xludf.DUMMYFUNCTION("""COMPUTED_VALUE"""),"")</f>
        <v/>
      </c>
      <c r="D27" s="15" t="str">
        <f>IFERROR(__xludf.DUMMYFUNCTION("""COMPUTED_VALUE"""),"")</f>
        <v/>
      </c>
      <c r="E27" s="15" t="str">
        <f>IFERROR(__xludf.DUMMYFUNCTION("""COMPUTED_VALUE"""),"")</f>
        <v/>
      </c>
      <c r="F27" s="15" t="str">
        <f>IFERROR(__xludf.DUMMYFUNCTION("""COMPUTED_VALUE"""),"")</f>
        <v/>
      </c>
      <c r="G27" s="17" t="str">
        <f>IFERROR(__xludf.DUMMYFUNCTION("""COMPUTED_VALUE"""),"")</f>
        <v/>
      </c>
      <c r="H27" s="4"/>
      <c r="I27" s="5" t="s">
        <v>2145</v>
      </c>
      <c r="J27" s="5" t="s">
        <v>2130</v>
      </c>
      <c r="K27" s="24">
        <v>791.0</v>
      </c>
      <c r="L27" s="5">
        <v>4.563119</v>
      </c>
      <c r="M27" s="5">
        <v>-1.733005</v>
      </c>
      <c r="N27" s="5">
        <v>2.830114</v>
      </c>
      <c r="O27" s="5">
        <v>1.183919</v>
      </c>
    </row>
    <row r="28">
      <c r="A28" s="18" t="str">
        <f>IFERROR(__xludf.DUMMYFUNCTION("""COMPUTED_VALUE"""),"")</f>
        <v/>
      </c>
      <c r="B28" s="19" t="str">
        <f>IFERROR(__xludf.DUMMYFUNCTION("""COMPUTED_VALUE"""),"")</f>
        <v/>
      </c>
      <c r="C28" s="20" t="str">
        <f>IFERROR(__xludf.DUMMYFUNCTION("""COMPUTED_VALUE"""),"")</f>
        <v/>
      </c>
      <c r="D28" s="21" t="str">
        <f>IFERROR(__xludf.DUMMYFUNCTION("""COMPUTED_VALUE"""),"")</f>
        <v/>
      </c>
      <c r="E28" s="21" t="str">
        <f>IFERROR(__xludf.DUMMYFUNCTION("""COMPUTED_VALUE"""),"")</f>
        <v/>
      </c>
      <c r="F28" s="21" t="str">
        <f>IFERROR(__xludf.DUMMYFUNCTION("""COMPUTED_VALUE"""),"")</f>
        <v/>
      </c>
      <c r="G28" s="23" t="str">
        <f>IFERROR(__xludf.DUMMYFUNCTION("""COMPUTED_VALUE"""),"")</f>
        <v/>
      </c>
      <c r="H28" s="4"/>
      <c r="I28" s="5" t="s">
        <v>2146</v>
      </c>
      <c r="J28" s="5" t="s">
        <v>2143</v>
      </c>
      <c r="K28" s="5">
        <v>609.0</v>
      </c>
      <c r="L28" s="5">
        <v>0.941737</v>
      </c>
      <c r="M28" s="5">
        <v>1.805602</v>
      </c>
      <c r="N28" s="5">
        <v>2.747338</v>
      </c>
      <c r="O28" s="5">
        <v>0.898621</v>
      </c>
    </row>
    <row r="29">
      <c r="A29" s="12" t="str">
        <f>IFERROR(__xludf.DUMMYFUNCTION("""COMPUTED_VALUE"""),"")</f>
        <v/>
      </c>
      <c r="B29" s="13" t="str">
        <f>IFERROR(__xludf.DUMMYFUNCTION("""COMPUTED_VALUE"""),"")</f>
        <v/>
      </c>
      <c r="C29" s="14" t="str">
        <f>IFERROR(__xludf.DUMMYFUNCTION("""COMPUTED_VALUE"""),"")</f>
        <v/>
      </c>
      <c r="D29" s="15" t="str">
        <f>IFERROR(__xludf.DUMMYFUNCTION("""COMPUTED_VALUE"""),"")</f>
        <v/>
      </c>
      <c r="E29" s="15" t="str">
        <f>IFERROR(__xludf.DUMMYFUNCTION("""COMPUTED_VALUE"""),"")</f>
        <v/>
      </c>
      <c r="F29" s="15" t="str">
        <f>IFERROR(__xludf.DUMMYFUNCTION("""COMPUTED_VALUE"""),"")</f>
        <v/>
      </c>
      <c r="G29" s="17" t="str">
        <f>IFERROR(__xludf.DUMMYFUNCTION("""COMPUTED_VALUE"""),"")</f>
        <v/>
      </c>
      <c r="H29" s="4"/>
      <c r="I29" s="5" t="s">
        <v>2147</v>
      </c>
      <c r="J29" s="5" t="s">
        <v>2124</v>
      </c>
      <c r="K29" s="5">
        <v>684.0</v>
      </c>
      <c r="L29" s="5">
        <v>0.567208</v>
      </c>
      <c r="M29" s="5">
        <v>2.13879</v>
      </c>
      <c r="N29" s="5">
        <v>2.705998</v>
      </c>
      <c r="O29" s="5">
        <v>0.970346</v>
      </c>
    </row>
    <row r="30">
      <c r="A30" s="18" t="str">
        <f>IFERROR(__xludf.DUMMYFUNCTION("""COMPUTED_VALUE"""),"")</f>
        <v/>
      </c>
      <c r="B30" s="19" t="str">
        <f>IFERROR(__xludf.DUMMYFUNCTION("""COMPUTED_VALUE"""),"")</f>
        <v/>
      </c>
      <c r="C30" s="20" t="str">
        <f>IFERROR(__xludf.DUMMYFUNCTION("""COMPUTED_VALUE"""),"")</f>
        <v/>
      </c>
      <c r="D30" s="21" t="str">
        <f>IFERROR(__xludf.DUMMYFUNCTION("""COMPUTED_VALUE"""),"")</f>
        <v/>
      </c>
      <c r="E30" s="21" t="str">
        <f>IFERROR(__xludf.DUMMYFUNCTION("""COMPUTED_VALUE"""),"")</f>
        <v/>
      </c>
      <c r="F30" s="21" t="str">
        <f>IFERROR(__xludf.DUMMYFUNCTION("""COMPUTED_VALUE"""),"")</f>
        <v/>
      </c>
      <c r="G30" s="23" t="str">
        <f>IFERROR(__xludf.DUMMYFUNCTION("""COMPUTED_VALUE"""),"")</f>
        <v/>
      </c>
      <c r="H30" s="4"/>
      <c r="I30" s="5" t="s">
        <v>315</v>
      </c>
      <c r="J30" s="5" t="s">
        <v>118</v>
      </c>
      <c r="K30" s="5">
        <v>420.0</v>
      </c>
      <c r="L30" s="5">
        <v>0.135398</v>
      </c>
      <c r="M30" s="5">
        <v>2.567174</v>
      </c>
      <c r="N30" s="5">
        <v>2.702572</v>
      </c>
      <c r="O30" s="5">
        <v>0.598081</v>
      </c>
    </row>
    <row r="31">
      <c r="A31" s="12" t="str">
        <f>IFERROR(__xludf.DUMMYFUNCTION("""COMPUTED_VALUE"""),"")</f>
        <v/>
      </c>
      <c r="B31" s="13" t="str">
        <f>IFERROR(__xludf.DUMMYFUNCTION("""COMPUTED_VALUE"""),"")</f>
        <v/>
      </c>
      <c r="C31" s="14" t="str">
        <f>IFERROR(__xludf.DUMMYFUNCTION("""COMPUTED_VALUE"""),"")</f>
        <v/>
      </c>
      <c r="D31" s="15" t="str">
        <f>IFERROR(__xludf.DUMMYFUNCTION("""COMPUTED_VALUE"""),"")</f>
        <v/>
      </c>
      <c r="E31" s="15" t="str">
        <f>IFERROR(__xludf.DUMMYFUNCTION("""COMPUTED_VALUE"""),"")</f>
        <v/>
      </c>
      <c r="F31" s="15" t="str">
        <f>IFERROR(__xludf.DUMMYFUNCTION("""COMPUTED_VALUE"""),"")</f>
        <v/>
      </c>
      <c r="G31" s="17" t="str">
        <f>IFERROR(__xludf.DUMMYFUNCTION("""COMPUTED_VALUE"""),"")</f>
        <v/>
      </c>
      <c r="H31" s="4"/>
      <c r="I31" s="5" t="s">
        <v>2148</v>
      </c>
      <c r="J31" s="5" t="s">
        <v>2149</v>
      </c>
      <c r="K31" s="24">
        <v>694.0</v>
      </c>
      <c r="L31" s="5">
        <v>0.16038</v>
      </c>
      <c r="M31" s="5">
        <v>2.5304</v>
      </c>
      <c r="N31" s="5">
        <v>2.69078</v>
      </c>
      <c r="O31" s="5">
        <v>1.013963</v>
      </c>
    </row>
    <row r="32">
      <c r="A32" s="18" t="str">
        <f>IFERROR(__xludf.DUMMYFUNCTION("""COMPUTED_VALUE"""),"")</f>
        <v/>
      </c>
      <c r="B32" s="19" t="str">
        <f>IFERROR(__xludf.DUMMYFUNCTION("""COMPUTED_VALUE"""),"")</f>
        <v/>
      </c>
      <c r="C32" s="20" t="str">
        <f>IFERROR(__xludf.DUMMYFUNCTION("""COMPUTED_VALUE"""),"")</f>
        <v/>
      </c>
      <c r="D32" s="21" t="str">
        <f>IFERROR(__xludf.DUMMYFUNCTION("""COMPUTED_VALUE"""),"")</f>
        <v/>
      </c>
      <c r="E32" s="21" t="str">
        <f>IFERROR(__xludf.DUMMYFUNCTION("""COMPUTED_VALUE"""),"")</f>
        <v/>
      </c>
      <c r="F32" s="21" t="str">
        <f>IFERROR(__xludf.DUMMYFUNCTION("""COMPUTED_VALUE"""),"")</f>
        <v/>
      </c>
      <c r="G32" s="23" t="str">
        <f>IFERROR(__xludf.DUMMYFUNCTION("""COMPUTED_VALUE"""),"")</f>
        <v/>
      </c>
      <c r="H32" s="4"/>
      <c r="I32" s="5" t="s">
        <v>510</v>
      </c>
      <c r="J32" s="5" t="s">
        <v>2135</v>
      </c>
      <c r="K32" s="24">
        <v>546.0</v>
      </c>
      <c r="L32" s="5">
        <v>1.138598</v>
      </c>
      <c r="M32" s="5">
        <v>1.538802</v>
      </c>
      <c r="N32" s="5">
        <v>2.677399</v>
      </c>
      <c r="O32" s="5">
        <v>0.774742</v>
      </c>
    </row>
    <row r="33">
      <c r="A33" s="12" t="str">
        <f>IFERROR(__xludf.DUMMYFUNCTION("""COMPUTED_VALUE"""),"")</f>
        <v/>
      </c>
      <c r="B33" s="13" t="str">
        <f>IFERROR(__xludf.DUMMYFUNCTION("""COMPUTED_VALUE"""),"")</f>
        <v/>
      </c>
      <c r="C33" s="14" t="str">
        <f>IFERROR(__xludf.DUMMYFUNCTION("""COMPUTED_VALUE"""),"")</f>
        <v/>
      </c>
      <c r="D33" s="15" t="str">
        <f>IFERROR(__xludf.DUMMYFUNCTION("""COMPUTED_VALUE"""),"")</f>
        <v/>
      </c>
      <c r="E33" s="15" t="str">
        <f>IFERROR(__xludf.DUMMYFUNCTION("""COMPUTED_VALUE"""),"")</f>
        <v/>
      </c>
      <c r="F33" s="15" t="str">
        <f>IFERROR(__xludf.DUMMYFUNCTION("""COMPUTED_VALUE"""),"")</f>
        <v/>
      </c>
      <c r="G33" s="17" t="str">
        <f>IFERROR(__xludf.DUMMYFUNCTION("""COMPUTED_VALUE"""),"")</f>
        <v/>
      </c>
      <c r="H33" s="4"/>
      <c r="I33" s="5" t="s">
        <v>2150</v>
      </c>
      <c r="J33" s="5" t="s">
        <v>2119</v>
      </c>
      <c r="K33" s="24">
        <v>750.0</v>
      </c>
      <c r="L33" s="5">
        <v>2.046592</v>
      </c>
      <c r="M33" s="5">
        <v>0.560149</v>
      </c>
      <c r="N33" s="5">
        <v>2.60674</v>
      </c>
      <c r="O33" s="5">
        <v>1.11593</v>
      </c>
    </row>
    <row r="34">
      <c r="A34" s="18" t="str">
        <f>IFERROR(__xludf.DUMMYFUNCTION("""COMPUTED_VALUE"""),"")</f>
        <v/>
      </c>
      <c r="B34" s="19" t="str">
        <f>IFERROR(__xludf.DUMMYFUNCTION("""COMPUTED_VALUE"""),"")</f>
        <v/>
      </c>
      <c r="C34" s="20" t="str">
        <f>IFERROR(__xludf.DUMMYFUNCTION("""COMPUTED_VALUE"""),"")</f>
        <v/>
      </c>
      <c r="D34" s="21" t="str">
        <f>IFERROR(__xludf.DUMMYFUNCTION("""COMPUTED_VALUE"""),"")</f>
        <v/>
      </c>
      <c r="E34" s="21" t="str">
        <f>IFERROR(__xludf.DUMMYFUNCTION("""COMPUTED_VALUE"""),"")</f>
        <v/>
      </c>
      <c r="F34" s="21" t="str">
        <f>IFERROR(__xludf.DUMMYFUNCTION("""COMPUTED_VALUE"""),"")</f>
        <v/>
      </c>
      <c r="G34" s="23" t="str">
        <f>IFERROR(__xludf.DUMMYFUNCTION("""COMPUTED_VALUE"""),"")</f>
        <v/>
      </c>
      <c r="H34" s="4"/>
      <c r="I34" s="5" t="s">
        <v>2151</v>
      </c>
      <c r="J34" s="5" t="s">
        <v>2143</v>
      </c>
      <c r="K34" s="24">
        <v>825.0</v>
      </c>
      <c r="L34" s="5">
        <v>0.526609</v>
      </c>
      <c r="M34" s="5">
        <v>2.017845</v>
      </c>
      <c r="N34" s="5">
        <v>2.544454</v>
      </c>
      <c r="O34" s="5">
        <v>1.165319</v>
      </c>
    </row>
    <row r="35">
      <c r="A35" s="12" t="str">
        <f>IFERROR(__xludf.DUMMYFUNCTION("""COMPUTED_VALUE"""),"")</f>
        <v/>
      </c>
      <c r="B35" s="13" t="str">
        <f>IFERROR(__xludf.DUMMYFUNCTION("""COMPUTED_VALUE"""),"")</f>
        <v/>
      </c>
      <c r="C35" s="14" t="str">
        <f>IFERROR(__xludf.DUMMYFUNCTION("""COMPUTED_VALUE"""),"")</f>
        <v/>
      </c>
      <c r="D35" s="15" t="str">
        <f>IFERROR(__xludf.DUMMYFUNCTION("""COMPUTED_VALUE"""),"")</f>
        <v/>
      </c>
      <c r="E35" s="15" t="str">
        <f>IFERROR(__xludf.DUMMYFUNCTION("""COMPUTED_VALUE"""),"")</f>
        <v/>
      </c>
      <c r="F35" s="15" t="str">
        <f>IFERROR(__xludf.DUMMYFUNCTION("""COMPUTED_VALUE"""),"")</f>
        <v/>
      </c>
      <c r="G35" s="17" t="str">
        <f>IFERROR(__xludf.DUMMYFUNCTION("""COMPUTED_VALUE"""),"")</f>
        <v/>
      </c>
      <c r="H35" s="4"/>
      <c r="I35" s="5" t="s">
        <v>2152</v>
      </c>
      <c r="J35" s="5" t="s">
        <v>2133</v>
      </c>
      <c r="K35" s="5">
        <v>980.0</v>
      </c>
      <c r="L35" s="5">
        <v>1.477655</v>
      </c>
      <c r="M35" s="5">
        <v>0.878234</v>
      </c>
      <c r="N35" s="5">
        <v>2.35589</v>
      </c>
      <c r="O35" s="5">
        <v>1.340893</v>
      </c>
    </row>
    <row r="36">
      <c r="A36" s="18" t="str">
        <f>IFERROR(__xludf.DUMMYFUNCTION("""COMPUTED_VALUE"""),"")</f>
        <v/>
      </c>
      <c r="B36" s="19" t="str">
        <f>IFERROR(__xludf.DUMMYFUNCTION("""COMPUTED_VALUE"""),"")</f>
        <v/>
      </c>
      <c r="C36" s="20" t="str">
        <f>IFERROR(__xludf.DUMMYFUNCTION("""COMPUTED_VALUE"""),"")</f>
        <v/>
      </c>
      <c r="D36" s="21" t="str">
        <f>IFERROR(__xludf.DUMMYFUNCTION("""COMPUTED_VALUE"""),"")</f>
        <v/>
      </c>
      <c r="E36" s="21" t="str">
        <f>IFERROR(__xludf.DUMMYFUNCTION("""COMPUTED_VALUE"""),"")</f>
        <v/>
      </c>
      <c r="F36" s="21" t="str">
        <f>IFERROR(__xludf.DUMMYFUNCTION("""COMPUTED_VALUE"""),"")</f>
        <v/>
      </c>
      <c r="G36" s="23" t="str">
        <f>IFERROR(__xludf.DUMMYFUNCTION("""COMPUTED_VALUE"""),"")</f>
        <v/>
      </c>
      <c r="H36" s="4"/>
      <c r="I36" s="5" t="s">
        <v>400</v>
      </c>
      <c r="J36" s="5" t="s">
        <v>118</v>
      </c>
      <c r="K36" s="5">
        <v>246.0</v>
      </c>
      <c r="L36" s="5">
        <v>-1.270121</v>
      </c>
      <c r="M36" s="5">
        <v>3.601575</v>
      </c>
      <c r="N36" s="5">
        <v>2.331454</v>
      </c>
      <c r="O36" s="5">
        <v>0.322659</v>
      </c>
    </row>
    <row r="37">
      <c r="A37" s="12" t="str">
        <f>IFERROR(__xludf.DUMMYFUNCTION("""COMPUTED_VALUE"""),"")</f>
        <v/>
      </c>
      <c r="B37" s="13" t="str">
        <f>IFERROR(__xludf.DUMMYFUNCTION("""COMPUTED_VALUE"""),"")</f>
        <v/>
      </c>
      <c r="C37" s="14" t="str">
        <f>IFERROR(__xludf.DUMMYFUNCTION("""COMPUTED_VALUE"""),"")</f>
        <v/>
      </c>
      <c r="D37" s="15" t="str">
        <f>IFERROR(__xludf.DUMMYFUNCTION("""COMPUTED_VALUE"""),"")</f>
        <v/>
      </c>
      <c r="E37" s="15" t="str">
        <f>IFERROR(__xludf.DUMMYFUNCTION("""COMPUTED_VALUE"""),"")</f>
        <v/>
      </c>
      <c r="F37" s="15" t="str">
        <f>IFERROR(__xludf.DUMMYFUNCTION("""COMPUTED_VALUE"""),"")</f>
        <v/>
      </c>
      <c r="G37" s="17" t="str">
        <f>IFERROR(__xludf.DUMMYFUNCTION("""COMPUTED_VALUE"""),"")</f>
        <v/>
      </c>
      <c r="H37" s="4"/>
      <c r="I37" s="5" t="s">
        <v>2153</v>
      </c>
      <c r="J37" s="5" t="s">
        <v>2137</v>
      </c>
      <c r="K37" s="5">
        <v>609.0</v>
      </c>
      <c r="L37" s="5">
        <v>3.088321</v>
      </c>
      <c r="M37" s="5">
        <v>-0.76391</v>
      </c>
      <c r="N37" s="5">
        <v>2.324411</v>
      </c>
      <c r="O37" s="5">
        <v>0.835383</v>
      </c>
    </row>
    <row r="38">
      <c r="A38" s="18" t="str">
        <f>IFERROR(__xludf.DUMMYFUNCTION("""COMPUTED_VALUE"""),"")</f>
        <v/>
      </c>
      <c r="B38" s="19" t="str">
        <f>IFERROR(__xludf.DUMMYFUNCTION("""COMPUTED_VALUE"""),"")</f>
        <v/>
      </c>
      <c r="C38" s="20" t="str">
        <f>IFERROR(__xludf.DUMMYFUNCTION("""COMPUTED_VALUE"""),"")</f>
        <v/>
      </c>
      <c r="D38" s="21" t="str">
        <f>IFERROR(__xludf.DUMMYFUNCTION("""COMPUTED_VALUE"""),"")</f>
        <v/>
      </c>
      <c r="E38" s="21" t="str">
        <f>IFERROR(__xludf.DUMMYFUNCTION("""COMPUTED_VALUE"""),"")</f>
        <v/>
      </c>
      <c r="F38" s="21" t="str">
        <f>IFERROR(__xludf.DUMMYFUNCTION("""COMPUTED_VALUE"""),"")</f>
        <v/>
      </c>
      <c r="G38" s="23" t="str">
        <f>IFERROR(__xludf.DUMMYFUNCTION("""COMPUTED_VALUE"""),"")</f>
        <v/>
      </c>
      <c r="H38" s="4"/>
      <c r="I38" s="5" t="s">
        <v>2154</v>
      </c>
      <c r="J38" s="5" t="s">
        <v>2124</v>
      </c>
      <c r="K38" s="5">
        <v>695.0</v>
      </c>
      <c r="L38" s="5">
        <v>0.364713</v>
      </c>
      <c r="M38" s="5">
        <v>1.899728</v>
      </c>
      <c r="N38" s="5">
        <v>2.264441</v>
      </c>
      <c r="O38" s="5">
        <v>0.893441</v>
      </c>
    </row>
    <row r="39">
      <c r="A39" s="12" t="str">
        <f>IFERROR(__xludf.DUMMYFUNCTION("""COMPUTED_VALUE"""),"")</f>
        <v/>
      </c>
      <c r="B39" s="13" t="str">
        <f>IFERROR(__xludf.DUMMYFUNCTION("""COMPUTED_VALUE"""),"")</f>
        <v/>
      </c>
      <c r="C39" s="14" t="str">
        <f>IFERROR(__xludf.DUMMYFUNCTION("""COMPUTED_VALUE"""),"")</f>
        <v/>
      </c>
      <c r="D39" s="15" t="str">
        <f>IFERROR(__xludf.DUMMYFUNCTION("""COMPUTED_VALUE"""),"")</f>
        <v/>
      </c>
      <c r="E39" s="15" t="str">
        <f>IFERROR(__xludf.DUMMYFUNCTION("""COMPUTED_VALUE"""),"")</f>
        <v/>
      </c>
      <c r="F39" s="15" t="str">
        <f>IFERROR(__xludf.DUMMYFUNCTION("""COMPUTED_VALUE"""),"")</f>
        <v/>
      </c>
      <c r="G39" s="17" t="str">
        <f>IFERROR(__xludf.DUMMYFUNCTION("""COMPUTED_VALUE"""),"")</f>
        <v/>
      </c>
      <c r="H39" s="4"/>
      <c r="I39" s="5" t="s">
        <v>1561</v>
      </c>
      <c r="J39" s="5" t="s">
        <v>2149</v>
      </c>
      <c r="K39" s="5">
        <v>260.0</v>
      </c>
      <c r="L39" s="5">
        <v>2.825932</v>
      </c>
      <c r="M39" s="5">
        <v>-0.563163</v>
      </c>
      <c r="N39" s="5">
        <v>2.262769</v>
      </c>
      <c r="O39" s="5">
        <v>0.345209</v>
      </c>
    </row>
    <row r="40">
      <c r="A40" s="18" t="str">
        <f>IFERROR(__xludf.DUMMYFUNCTION("""COMPUTED_VALUE"""),"")</f>
        <v/>
      </c>
      <c r="B40" s="19" t="str">
        <f>IFERROR(__xludf.DUMMYFUNCTION("""COMPUTED_VALUE"""),"")</f>
        <v/>
      </c>
      <c r="C40" s="20" t="str">
        <f>IFERROR(__xludf.DUMMYFUNCTION("""COMPUTED_VALUE"""),"")</f>
        <v/>
      </c>
      <c r="D40" s="21" t="str">
        <f>IFERROR(__xludf.DUMMYFUNCTION("""COMPUTED_VALUE"""),"")</f>
        <v/>
      </c>
      <c r="E40" s="21" t="str">
        <f>IFERROR(__xludf.DUMMYFUNCTION("""COMPUTED_VALUE"""),"")</f>
        <v/>
      </c>
      <c r="F40" s="21" t="str">
        <f>IFERROR(__xludf.DUMMYFUNCTION("""COMPUTED_VALUE"""),"")</f>
        <v/>
      </c>
      <c r="G40" s="23" t="str">
        <f>IFERROR(__xludf.DUMMYFUNCTION("""COMPUTED_VALUE"""),"")</f>
        <v/>
      </c>
      <c r="H40" s="4"/>
      <c r="I40" s="5" t="s">
        <v>2155</v>
      </c>
      <c r="J40" s="5" t="s">
        <v>2124</v>
      </c>
      <c r="K40" s="5">
        <v>251.0</v>
      </c>
      <c r="L40" s="5">
        <v>0.527568</v>
      </c>
      <c r="M40" s="5">
        <v>1.728518</v>
      </c>
      <c r="N40" s="5">
        <v>2.256086</v>
      </c>
      <c r="O40" s="5">
        <v>0.322035</v>
      </c>
    </row>
    <row r="41">
      <c r="A41" s="12" t="str">
        <f>IFERROR(__xludf.DUMMYFUNCTION("""COMPUTED_VALUE"""),"")</f>
        <v/>
      </c>
      <c r="B41" s="13" t="str">
        <f>IFERROR(__xludf.DUMMYFUNCTION("""COMPUTED_VALUE"""),"")</f>
        <v/>
      </c>
      <c r="C41" s="14" t="str">
        <f>IFERROR(__xludf.DUMMYFUNCTION("""COMPUTED_VALUE"""),"")</f>
        <v/>
      </c>
      <c r="D41" s="15" t="str">
        <f>IFERROR(__xludf.DUMMYFUNCTION("""COMPUTED_VALUE"""),"")</f>
        <v/>
      </c>
      <c r="E41" s="15" t="str">
        <f>IFERROR(__xludf.DUMMYFUNCTION("""COMPUTED_VALUE"""),"")</f>
        <v/>
      </c>
      <c r="F41" s="15" t="str">
        <f>IFERROR(__xludf.DUMMYFUNCTION("""COMPUTED_VALUE"""),"")</f>
        <v/>
      </c>
      <c r="G41" s="17" t="str">
        <f>IFERROR(__xludf.DUMMYFUNCTION("""COMPUTED_VALUE"""),"")</f>
        <v/>
      </c>
      <c r="H41" s="4"/>
      <c r="I41" s="5" t="s">
        <v>2156</v>
      </c>
      <c r="J41" s="5" t="s">
        <v>2130</v>
      </c>
      <c r="K41" s="5">
        <v>490.0</v>
      </c>
      <c r="L41" s="5">
        <v>3.274409</v>
      </c>
      <c r="M41" s="5">
        <v>-1.090868</v>
      </c>
      <c r="N41" s="5">
        <v>2.183541</v>
      </c>
      <c r="O41" s="5">
        <v>0.635226</v>
      </c>
    </row>
    <row r="42">
      <c r="A42" s="18" t="str">
        <f>IFERROR(__xludf.DUMMYFUNCTION("""COMPUTED_VALUE"""),"")</f>
        <v/>
      </c>
      <c r="B42" s="19" t="str">
        <f>IFERROR(__xludf.DUMMYFUNCTION("""COMPUTED_VALUE"""),"")</f>
        <v/>
      </c>
      <c r="C42" s="20" t="str">
        <f>IFERROR(__xludf.DUMMYFUNCTION("""COMPUTED_VALUE"""),"")</f>
        <v/>
      </c>
      <c r="D42" s="21" t="str">
        <f>IFERROR(__xludf.DUMMYFUNCTION("""COMPUTED_VALUE"""),"")</f>
        <v/>
      </c>
      <c r="E42" s="21" t="str">
        <f>IFERROR(__xludf.DUMMYFUNCTION("""COMPUTED_VALUE"""),"")</f>
        <v/>
      </c>
      <c r="F42" s="21" t="str">
        <f>IFERROR(__xludf.DUMMYFUNCTION("""COMPUTED_VALUE"""),"")</f>
        <v/>
      </c>
      <c r="G42" s="23" t="str">
        <f>IFERROR(__xludf.DUMMYFUNCTION("""COMPUTED_VALUE"""),"")</f>
        <v/>
      </c>
      <c r="H42" s="4"/>
      <c r="I42" s="5" t="s">
        <v>2157</v>
      </c>
      <c r="J42" s="5" t="s">
        <v>2133</v>
      </c>
      <c r="K42" s="5">
        <v>178.0</v>
      </c>
      <c r="L42" s="5">
        <v>1.718642</v>
      </c>
      <c r="M42" s="5">
        <v>0.409897</v>
      </c>
      <c r="N42" s="5">
        <v>2.128539</v>
      </c>
      <c r="O42" s="5">
        <v>0.230838</v>
      </c>
    </row>
    <row r="43">
      <c r="A43" s="12" t="str">
        <f>IFERROR(__xludf.DUMMYFUNCTION("""COMPUTED_VALUE"""),"")</f>
        <v/>
      </c>
      <c r="B43" s="13" t="str">
        <f>IFERROR(__xludf.DUMMYFUNCTION("""COMPUTED_VALUE"""),"")</f>
        <v/>
      </c>
      <c r="C43" s="14" t="str">
        <f>IFERROR(__xludf.DUMMYFUNCTION("""COMPUTED_VALUE"""),"")</f>
        <v/>
      </c>
      <c r="D43" s="15" t="str">
        <f>IFERROR(__xludf.DUMMYFUNCTION("""COMPUTED_VALUE"""),"")</f>
        <v/>
      </c>
      <c r="E43" s="15" t="str">
        <f>IFERROR(__xludf.DUMMYFUNCTION("""COMPUTED_VALUE"""),"")</f>
        <v/>
      </c>
      <c r="F43" s="15" t="str">
        <f>IFERROR(__xludf.DUMMYFUNCTION("""COMPUTED_VALUE"""),"")</f>
        <v/>
      </c>
      <c r="G43" s="17" t="str">
        <f>IFERROR(__xludf.DUMMYFUNCTION("""COMPUTED_VALUE"""),"")</f>
        <v/>
      </c>
      <c r="H43" s="4"/>
      <c r="I43" s="5" t="s">
        <v>277</v>
      </c>
      <c r="J43" s="5" t="s">
        <v>118</v>
      </c>
      <c r="K43" s="5">
        <v>560.0</v>
      </c>
      <c r="L43" s="5">
        <v>2.680564</v>
      </c>
      <c r="M43" s="5">
        <v>-0.660064</v>
      </c>
      <c r="N43" s="5">
        <v>2.020501</v>
      </c>
      <c r="O43" s="5">
        <v>0.681778</v>
      </c>
    </row>
    <row r="44">
      <c r="A44" s="18" t="str">
        <f>IFERROR(__xludf.DUMMYFUNCTION("""COMPUTED_VALUE"""),"")</f>
        <v/>
      </c>
      <c r="B44" s="19" t="str">
        <f>IFERROR(__xludf.DUMMYFUNCTION("""COMPUTED_VALUE"""),"")</f>
        <v/>
      </c>
      <c r="C44" s="20" t="str">
        <f>IFERROR(__xludf.DUMMYFUNCTION("""COMPUTED_VALUE"""),"")</f>
        <v/>
      </c>
      <c r="D44" s="21" t="str">
        <f>IFERROR(__xludf.DUMMYFUNCTION("""COMPUTED_VALUE"""),"")</f>
        <v/>
      </c>
      <c r="E44" s="21" t="str">
        <f>IFERROR(__xludf.DUMMYFUNCTION("""COMPUTED_VALUE"""),"")</f>
        <v/>
      </c>
      <c r="F44" s="21" t="str">
        <f>IFERROR(__xludf.DUMMYFUNCTION("""COMPUTED_VALUE"""),"")</f>
        <v/>
      </c>
      <c r="G44" s="23" t="str">
        <f>IFERROR(__xludf.DUMMYFUNCTION("""COMPUTED_VALUE"""),"")</f>
        <v/>
      </c>
      <c r="H44" s="4"/>
      <c r="I44" s="5" t="s">
        <v>2158</v>
      </c>
      <c r="J44" s="5" t="s">
        <v>54</v>
      </c>
      <c r="K44" s="24">
        <v>1063.0</v>
      </c>
      <c r="L44" s="5">
        <v>2.130018</v>
      </c>
      <c r="M44" s="5">
        <v>-0.333545</v>
      </c>
      <c r="N44" s="5">
        <v>1.796473</v>
      </c>
      <c r="O44" s="5">
        <v>1.22113</v>
      </c>
    </row>
    <row r="45">
      <c r="A45" s="12" t="str">
        <f>IFERROR(__xludf.DUMMYFUNCTION("""COMPUTED_VALUE"""),"")</f>
        <v/>
      </c>
      <c r="B45" s="13" t="str">
        <f>IFERROR(__xludf.DUMMYFUNCTION("""COMPUTED_VALUE"""),"")</f>
        <v/>
      </c>
      <c r="C45" s="14" t="str">
        <f>IFERROR(__xludf.DUMMYFUNCTION("""COMPUTED_VALUE"""),"")</f>
        <v/>
      </c>
      <c r="D45" s="15" t="str">
        <f>IFERROR(__xludf.DUMMYFUNCTION("""COMPUTED_VALUE"""),"")</f>
        <v/>
      </c>
      <c r="E45" s="15" t="str">
        <f>IFERROR(__xludf.DUMMYFUNCTION("""COMPUTED_VALUE"""),"")</f>
        <v/>
      </c>
      <c r="F45" s="15" t="str">
        <f>IFERROR(__xludf.DUMMYFUNCTION("""COMPUTED_VALUE"""),"")</f>
        <v/>
      </c>
      <c r="G45" s="17" t="str">
        <f>IFERROR(__xludf.DUMMYFUNCTION("""COMPUTED_VALUE"""),"")</f>
        <v/>
      </c>
      <c r="H45" s="4"/>
      <c r="I45" s="5" t="s">
        <v>2159</v>
      </c>
      <c r="J45" s="5" t="s">
        <v>2121</v>
      </c>
      <c r="K45" s="24">
        <v>164.0</v>
      </c>
      <c r="L45" s="5">
        <v>-1.041211</v>
      </c>
      <c r="M45" s="5">
        <v>2.834828</v>
      </c>
      <c r="N45" s="5">
        <v>1.793617</v>
      </c>
      <c r="O45" s="5">
        <v>0.192569</v>
      </c>
    </row>
    <row r="46">
      <c r="A46" s="18" t="str">
        <f>IFERROR(__xludf.DUMMYFUNCTION("""COMPUTED_VALUE"""),"")</f>
        <v/>
      </c>
      <c r="B46" s="19" t="str">
        <f>IFERROR(__xludf.DUMMYFUNCTION("""COMPUTED_VALUE"""),"")</f>
        <v/>
      </c>
      <c r="C46" s="20" t="str">
        <f>IFERROR(__xludf.DUMMYFUNCTION("""COMPUTED_VALUE"""),"")</f>
        <v/>
      </c>
      <c r="D46" s="21" t="str">
        <f>IFERROR(__xludf.DUMMYFUNCTION("""COMPUTED_VALUE"""),"")</f>
        <v/>
      </c>
      <c r="E46" s="21" t="str">
        <f>IFERROR(__xludf.DUMMYFUNCTION("""COMPUTED_VALUE"""),"")</f>
        <v/>
      </c>
      <c r="F46" s="21" t="str">
        <f>IFERROR(__xludf.DUMMYFUNCTION("""COMPUTED_VALUE"""),"")</f>
        <v/>
      </c>
      <c r="G46" s="23" t="str">
        <f>IFERROR(__xludf.DUMMYFUNCTION("""COMPUTED_VALUE"""),"")</f>
        <v/>
      </c>
      <c r="H46" s="4"/>
      <c r="I46" s="5" t="s">
        <v>2160</v>
      </c>
      <c r="J46" s="5" t="s">
        <v>2119</v>
      </c>
      <c r="K46" s="24">
        <v>1050.0</v>
      </c>
      <c r="L46" s="5">
        <v>1.079884</v>
      </c>
      <c r="M46" s="5">
        <v>0.693847</v>
      </c>
      <c r="N46" s="5">
        <v>1.773731</v>
      </c>
      <c r="O46" s="5">
        <v>1.2798</v>
      </c>
    </row>
    <row r="47">
      <c r="A47" s="12" t="str">
        <f>IFERROR(__xludf.DUMMYFUNCTION("""COMPUTED_VALUE"""),"")</f>
        <v/>
      </c>
      <c r="B47" s="13" t="str">
        <f>IFERROR(__xludf.DUMMYFUNCTION("""COMPUTED_VALUE"""),"")</f>
        <v/>
      </c>
      <c r="C47" s="14" t="str">
        <f>IFERROR(__xludf.DUMMYFUNCTION("""COMPUTED_VALUE"""),"")</f>
        <v/>
      </c>
      <c r="D47" s="15" t="str">
        <f>IFERROR(__xludf.DUMMYFUNCTION("""COMPUTED_VALUE"""),"")</f>
        <v/>
      </c>
      <c r="E47" s="15" t="str">
        <f>IFERROR(__xludf.DUMMYFUNCTION("""COMPUTED_VALUE"""),"")</f>
        <v/>
      </c>
      <c r="F47" s="15" t="str">
        <f>IFERROR(__xludf.DUMMYFUNCTION("""COMPUTED_VALUE"""),"")</f>
        <v/>
      </c>
      <c r="G47" s="17" t="str">
        <f>IFERROR(__xludf.DUMMYFUNCTION("""COMPUTED_VALUE"""),"")</f>
        <v/>
      </c>
      <c r="H47" s="4"/>
      <c r="I47" s="5" t="s">
        <v>2161</v>
      </c>
      <c r="J47" s="5" t="s">
        <v>2140</v>
      </c>
      <c r="K47" s="24">
        <v>785.0</v>
      </c>
      <c r="L47" s="5">
        <v>-0.028391</v>
      </c>
      <c r="M47" s="5">
        <v>1.765085</v>
      </c>
      <c r="N47" s="5">
        <v>1.736694</v>
      </c>
      <c r="O47" s="5">
        <v>0.886031</v>
      </c>
    </row>
    <row r="48">
      <c r="A48" s="18" t="str">
        <f>IFERROR(__xludf.DUMMYFUNCTION("""COMPUTED_VALUE"""),"")</f>
        <v/>
      </c>
      <c r="B48" s="19" t="str">
        <f>IFERROR(__xludf.DUMMYFUNCTION("""COMPUTED_VALUE"""),"")</f>
        <v/>
      </c>
      <c r="C48" s="20" t="str">
        <f>IFERROR(__xludf.DUMMYFUNCTION("""COMPUTED_VALUE"""),"")</f>
        <v/>
      </c>
      <c r="D48" s="21" t="str">
        <f>IFERROR(__xludf.DUMMYFUNCTION("""COMPUTED_VALUE"""),"")</f>
        <v/>
      </c>
      <c r="E48" s="21" t="str">
        <f>IFERROR(__xludf.DUMMYFUNCTION("""COMPUTED_VALUE"""),"")</f>
        <v/>
      </c>
      <c r="F48" s="21" t="str">
        <f>IFERROR(__xludf.DUMMYFUNCTION("""COMPUTED_VALUE"""),"")</f>
        <v/>
      </c>
      <c r="G48" s="23" t="str">
        <f>IFERROR(__xludf.DUMMYFUNCTION("""COMPUTED_VALUE"""),"")</f>
        <v/>
      </c>
      <c r="H48" s="4"/>
      <c r="I48" s="5" t="s">
        <v>2162</v>
      </c>
      <c r="J48" s="5" t="s">
        <v>2130</v>
      </c>
      <c r="K48" s="24">
        <v>668.0</v>
      </c>
      <c r="L48" s="5">
        <v>1.804501</v>
      </c>
      <c r="M48" s="5">
        <v>-0.078502</v>
      </c>
      <c r="N48" s="5">
        <v>1.725999</v>
      </c>
      <c r="O48" s="5">
        <v>0.771271</v>
      </c>
    </row>
    <row r="49">
      <c r="A49" s="12" t="str">
        <f>IFERROR(__xludf.DUMMYFUNCTION("""COMPUTED_VALUE"""),"")</f>
        <v/>
      </c>
      <c r="B49" s="13" t="str">
        <f>IFERROR(__xludf.DUMMYFUNCTION("""COMPUTED_VALUE"""),"")</f>
        <v/>
      </c>
      <c r="C49" s="14" t="str">
        <f>IFERROR(__xludf.DUMMYFUNCTION("""COMPUTED_VALUE"""),"")</f>
        <v/>
      </c>
      <c r="D49" s="15" t="str">
        <f>IFERROR(__xludf.DUMMYFUNCTION("""COMPUTED_VALUE"""),"")</f>
        <v/>
      </c>
      <c r="E49" s="15" t="str">
        <f>IFERROR(__xludf.DUMMYFUNCTION("""COMPUTED_VALUE"""),"")</f>
        <v/>
      </c>
      <c r="F49" s="15" t="str">
        <f>IFERROR(__xludf.DUMMYFUNCTION("""COMPUTED_VALUE"""),"")</f>
        <v/>
      </c>
      <c r="G49" s="17" t="str">
        <f>IFERROR(__xludf.DUMMYFUNCTION("""COMPUTED_VALUE"""),"")</f>
        <v/>
      </c>
      <c r="H49" s="4"/>
      <c r="I49" s="5" t="s">
        <v>2163</v>
      </c>
      <c r="J49" s="5" t="s">
        <v>2140</v>
      </c>
      <c r="K49" s="5">
        <v>496.0</v>
      </c>
      <c r="L49" s="5">
        <v>1.606191</v>
      </c>
      <c r="M49" s="5">
        <v>0.088565</v>
      </c>
      <c r="N49" s="5">
        <v>1.694756</v>
      </c>
      <c r="O49" s="5">
        <v>0.553553</v>
      </c>
    </row>
    <row r="50">
      <c r="A50" s="18" t="str">
        <f>IFERROR(__xludf.DUMMYFUNCTION("""COMPUTED_VALUE"""),"")</f>
        <v/>
      </c>
      <c r="B50" s="19" t="str">
        <f>IFERROR(__xludf.DUMMYFUNCTION("""COMPUTED_VALUE"""),"")</f>
        <v/>
      </c>
      <c r="C50" s="20" t="str">
        <f>IFERROR(__xludf.DUMMYFUNCTION("""COMPUTED_VALUE"""),"")</f>
        <v/>
      </c>
      <c r="D50" s="21" t="str">
        <f>IFERROR(__xludf.DUMMYFUNCTION("""COMPUTED_VALUE"""),"")</f>
        <v/>
      </c>
      <c r="E50" s="21" t="str">
        <f>IFERROR(__xludf.DUMMYFUNCTION("""COMPUTED_VALUE"""),"")</f>
        <v/>
      </c>
      <c r="F50" s="21" t="str">
        <f>IFERROR(__xludf.DUMMYFUNCTION("""COMPUTED_VALUE"""),"")</f>
        <v/>
      </c>
      <c r="G50" s="23" t="str">
        <f>IFERROR(__xludf.DUMMYFUNCTION("""COMPUTED_VALUE"""),"")</f>
        <v/>
      </c>
      <c r="H50" s="4"/>
      <c r="I50" s="5" t="s">
        <v>2164</v>
      </c>
      <c r="J50" s="5" t="s">
        <v>2140</v>
      </c>
      <c r="K50" s="5">
        <v>212.0</v>
      </c>
      <c r="L50" s="5">
        <v>-0.148939</v>
      </c>
      <c r="M50" s="5">
        <v>1.842522</v>
      </c>
      <c r="N50" s="5">
        <v>1.693583</v>
      </c>
      <c r="O50" s="5">
        <v>0.236524</v>
      </c>
    </row>
    <row r="51">
      <c r="A51" s="12" t="str">
        <f>IFERROR(__xludf.DUMMYFUNCTION("""COMPUTED_VALUE"""),"")</f>
        <v/>
      </c>
      <c r="B51" s="13" t="str">
        <f>IFERROR(__xludf.DUMMYFUNCTION("""COMPUTED_VALUE"""),"")</f>
        <v/>
      </c>
      <c r="C51" s="14" t="str">
        <f>IFERROR(__xludf.DUMMYFUNCTION("""COMPUTED_VALUE"""),"")</f>
        <v/>
      </c>
      <c r="D51" s="15" t="str">
        <f>IFERROR(__xludf.DUMMYFUNCTION("""COMPUTED_VALUE"""),"")</f>
        <v/>
      </c>
      <c r="E51" s="15" t="str">
        <f>IFERROR(__xludf.DUMMYFUNCTION("""COMPUTED_VALUE"""),"")</f>
        <v/>
      </c>
      <c r="F51" s="15" t="str">
        <f>IFERROR(__xludf.DUMMYFUNCTION("""COMPUTED_VALUE"""),"")</f>
        <v/>
      </c>
      <c r="G51" s="17" t="str">
        <f>IFERROR(__xludf.DUMMYFUNCTION("""COMPUTED_VALUE"""),"")</f>
        <v/>
      </c>
      <c r="H51" s="4"/>
      <c r="I51" s="5" t="s">
        <v>2165</v>
      </c>
      <c r="J51" s="5" t="s">
        <v>2121</v>
      </c>
      <c r="K51" s="5">
        <v>700.0</v>
      </c>
      <c r="L51" s="5">
        <v>0.845159</v>
      </c>
      <c r="M51" s="5">
        <v>0.818538</v>
      </c>
      <c r="N51" s="5">
        <v>1.663697</v>
      </c>
      <c r="O51" s="5">
        <v>0.793793</v>
      </c>
    </row>
    <row r="52">
      <c r="A52" s="18" t="str">
        <f>IFERROR(__xludf.DUMMYFUNCTION("""COMPUTED_VALUE"""),"")</f>
        <v/>
      </c>
      <c r="B52" s="19" t="str">
        <f>IFERROR(__xludf.DUMMYFUNCTION("""COMPUTED_VALUE"""),"")</f>
        <v/>
      </c>
      <c r="C52" s="20" t="str">
        <f>IFERROR(__xludf.DUMMYFUNCTION("""COMPUTED_VALUE"""),"")</f>
        <v/>
      </c>
      <c r="D52" s="21" t="str">
        <f>IFERROR(__xludf.DUMMYFUNCTION("""COMPUTED_VALUE"""),"")</f>
        <v/>
      </c>
      <c r="E52" s="21" t="str">
        <f>IFERROR(__xludf.DUMMYFUNCTION("""COMPUTED_VALUE"""),"")</f>
        <v/>
      </c>
      <c r="F52" s="21" t="str">
        <f>IFERROR(__xludf.DUMMYFUNCTION("""COMPUTED_VALUE"""),"")</f>
        <v/>
      </c>
      <c r="G52" s="23" t="str">
        <f>IFERROR(__xludf.DUMMYFUNCTION("""COMPUTED_VALUE"""),"")</f>
        <v/>
      </c>
      <c r="H52" s="4"/>
      <c r="I52" s="5" t="s">
        <v>2166</v>
      </c>
      <c r="J52" s="5" t="s">
        <v>2167</v>
      </c>
      <c r="K52" s="5">
        <v>687.0</v>
      </c>
      <c r="L52" s="5">
        <v>2.411785</v>
      </c>
      <c r="M52" s="5">
        <v>-0.781045</v>
      </c>
      <c r="N52" s="5">
        <v>1.63074</v>
      </c>
      <c r="O52" s="5">
        <v>0.757307</v>
      </c>
    </row>
    <row r="53">
      <c r="A53" s="12" t="str">
        <f>IFERROR(__xludf.DUMMYFUNCTION("""COMPUTED_VALUE"""),"")</f>
        <v/>
      </c>
      <c r="B53" s="13" t="str">
        <f>IFERROR(__xludf.DUMMYFUNCTION("""COMPUTED_VALUE"""),"")</f>
        <v/>
      </c>
      <c r="C53" s="14" t="str">
        <f>IFERROR(__xludf.DUMMYFUNCTION("""COMPUTED_VALUE"""),"")</f>
        <v/>
      </c>
      <c r="D53" s="15" t="str">
        <f>IFERROR(__xludf.DUMMYFUNCTION("""COMPUTED_VALUE"""),"")</f>
        <v/>
      </c>
      <c r="E53" s="15" t="str">
        <f>IFERROR(__xludf.DUMMYFUNCTION("""COMPUTED_VALUE"""),"")</f>
        <v/>
      </c>
      <c r="F53" s="15" t="str">
        <f>IFERROR(__xludf.DUMMYFUNCTION("""COMPUTED_VALUE"""),"")</f>
        <v/>
      </c>
      <c r="G53" s="17" t="str">
        <f>IFERROR(__xludf.DUMMYFUNCTION("""COMPUTED_VALUE"""),"")</f>
        <v/>
      </c>
      <c r="H53" s="4"/>
      <c r="I53" s="5" t="s">
        <v>1294</v>
      </c>
      <c r="J53" s="5" t="s">
        <v>2124</v>
      </c>
      <c r="K53" s="24">
        <v>584.0</v>
      </c>
      <c r="L53" s="5">
        <v>1.866879</v>
      </c>
      <c r="M53" s="5">
        <v>-0.311815</v>
      </c>
      <c r="N53" s="5">
        <v>1.555064</v>
      </c>
      <c r="O53" s="5">
        <v>0.625863</v>
      </c>
    </row>
    <row r="54">
      <c r="A54" s="18" t="str">
        <f>IFERROR(__xludf.DUMMYFUNCTION("""COMPUTED_VALUE"""),"")</f>
        <v/>
      </c>
      <c r="B54" s="19" t="str">
        <f>IFERROR(__xludf.DUMMYFUNCTION("""COMPUTED_VALUE"""),"")</f>
        <v/>
      </c>
      <c r="C54" s="20" t="str">
        <f>IFERROR(__xludf.DUMMYFUNCTION("""COMPUTED_VALUE"""),"")</f>
        <v/>
      </c>
      <c r="D54" s="21" t="str">
        <f>IFERROR(__xludf.DUMMYFUNCTION("""COMPUTED_VALUE"""),"")</f>
        <v/>
      </c>
      <c r="E54" s="21" t="str">
        <f>IFERROR(__xludf.DUMMYFUNCTION("""COMPUTED_VALUE"""),"")</f>
        <v/>
      </c>
      <c r="F54" s="21" t="str">
        <f>IFERROR(__xludf.DUMMYFUNCTION("""COMPUTED_VALUE"""),"")</f>
        <v/>
      </c>
      <c r="G54" s="23" t="str">
        <f>IFERROR(__xludf.DUMMYFUNCTION("""COMPUTED_VALUE"""),"")</f>
        <v/>
      </c>
      <c r="H54" s="4"/>
      <c r="I54" s="5" t="s">
        <v>2168</v>
      </c>
      <c r="J54" s="5" t="s">
        <v>2135</v>
      </c>
      <c r="K54" s="5">
        <v>594.0</v>
      </c>
      <c r="L54" s="5">
        <v>1.098657</v>
      </c>
      <c r="M54" s="5">
        <v>0.42208</v>
      </c>
      <c r="N54" s="5">
        <v>1.520737</v>
      </c>
      <c r="O54" s="5">
        <v>0.634425</v>
      </c>
    </row>
    <row r="55">
      <c r="A55" s="12" t="str">
        <f>IFERROR(__xludf.DUMMYFUNCTION("""COMPUTED_VALUE"""),"")</f>
        <v/>
      </c>
      <c r="B55" s="13" t="str">
        <f>IFERROR(__xludf.DUMMYFUNCTION("""COMPUTED_VALUE"""),"")</f>
        <v/>
      </c>
      <c r="C55" s="14" t="str">
        <f>IFERROR(__xludf.DUMMYFUNCTION("""COMPUTED_VALUE"""),"")</f>
        <v/>
      </c>
      <c r="D55" s="15" t="str">
        <f>IFERROR(__xludf.DUMMYFUNCTION("""COMPUTED_VALUE"""),"")</f>
        <v/>
      </c>
      <c r="E55" s="15" t="str">
        <f>IFERROR(__xludf.DUMMYFUNCTION("""COMPUTED_VALUE"""),"")</f>
        <v/>
      </c>
      <c r="F55" s="15" t="str">
        <f>IFERROR(__xludf.DUMMYFUNCTION("""COMPUTED_VALUE"""),"")</f>
        <v/>
      </c>
      <c r="G55" s="17" t="str">
        <f>IFERROR(__xludf.DUMMYFUNCTION("""COMPUTED_VALUE"""),"")</f>
        <v/>
      </c>
      <c r="H55" s="4"/>
      <c r="I55" s="5" t="s">
        <v>1611</v>
      </c>
      <c r="J55" s="5" t="s">
        <v>2169</v>
      </c>
      <c r="K55" s="5">
        <v>232.0</v>
      </c>
      <c r="L55" s="5">
        <v>0.521926</v>
      </c>
      <c r="M55" s="5">
        <v>0.882478</v>
      </c>
      <c r="N55" s="5">
        <v>1.404404</v>
      </c>
      <c r="O55" s="5">
        <v>0.244384</v>
      </c>
    </row>
    <row r="56">
      <c r="A56" s="18" t="str">
        <f>IFERROR(__xludf.DUMMYFUNCTION("""COMPUTED_VALUE"""),"")</f>
        <v/>
      </c>
      <c r="B56" s="19" t="str">
        <f>IFERROR(__xludf.DUMMYFUNCTION("""COMPUTED_VALUE"""),"")</f>
        <v/>
      </c>
      <c r="C56" s="20" t="str">
        <f>IFERROR(__xludf.DUMMYFUNCTION("""COMPUTED_VALUE"""),"")</f>
        <v/>
      </c>
      <c r="D56" s="21" t="str">
        <f>IFERROR(__xludf.DUMMYFUNCTION("""COMPUTED_VALUE"""),"")</f>
        <v/>
      </c>
      <c r="E56" s="21" t="str">
        <f>IFERROR(__xludf.DUMMYFUNCTION("""COMPUTED_VALUE"""),"")</f>
        <v/>
      </c>
      <c r="F56" s="21" t="str">
        <f>IFERROR(__xludf.DUMMYFUNCTION("""COMPUTED_VALUE"""),"")</f>
        <v/>
      </c>
      <c r="G56" s="23" t="str">
        <f>IFERROR(__xludf.DUMMYFUNCTION("""COMPUTED_VALUE"""),"")</f>
        <v/>
      </c>
      <c r="H56" s="4"/>
      <c r="I56" s="5" t="s">
        <v>2170</v>
      </c>
      <c r="J56" s="5" t="s">
        <v>2121</v>
      </c>
      <c r="K56" s="5">
        <v>453.0</v>
      </c>
      <c r="L56" s="5">
        <v>-0.789145</v>
      </c>
      <c r="M56" s="5">
        <v>2.189713</v>
      </c>
      <c r="N56" s="5">
        <v>1.400568</v>
      </c>
      <c r="O56" s="5">
        <v>0.476804</v>
      </c>
    </row>
    <row r="57">
      <c r="A57" s="12" t="str">
        <f>IFERROR(__xludf.DUMMYFUNCTION("""COMPUTED_VALUE"""),"")</f>
        <v/>
      </c>
      <c r="B57" s="13" t="str">
        <f>IFERROR(__xludf.DUMMYFUNCTION("""COMPUTED_VALUE"""),"")</f>
        <v/>
      </c>
      <c r="C57" s="14" t="str">
        <f>IFERROR(__xludf.DUMMYFUNCTION("""COMPUTED_VALUE"""),"")</f>
        <v/>
      </c>
      <c r="D57" s="15" t="str">
        <f>IFERROR(__xludf.DUMMYFUNCTION("""COMPUTED_VALUE"""),"")</f>
        <v/>
      </c>
      <c r="E57" s="15" t="str">
        <f>IFERROR(__xludf.DUMMYFUNCTION("""COMPUTED_VALUE"""),"")</f>
        <v/>
      </c>
      <c r="F57" s="15" t="str">
        <f>IFERROR(__xludf.DUMMYFUNCTION("""COMPUTED_VALUE"""),"")</f>
        <v/>
      </c>
      <c r="G57" s="17" t="str">
        <f>IFERROR(__xludf.DUMMYFUNCTION("""COMPUTED_VALUE"""),"")</f>
        <v/>
      </c>
      <c r="H57" s="4"/>
      <c r="I57" s="5" t="s">
        <v>1381</v>
      </c>
      <c r="J57" s="5" t="s">
        <v>2149</v>
      </c>
      <c r="K57" s="24">
        <v>509.0</v>
      </c>
      <c r="L57" s="5">
        <v>2.555133</v>
      </c>
      <c r="M57" s="5">
        <v>-1.155127</v>
      </c>
      <c r="N57" s="5">
        <v>1.400006</v>
      </c>
      <c r="O57" s="5">
        <v>0.539032</v>
      </c>
    </row>
    <row r="58">
      <c r="A58" s="18" t="str">
        <f>IFERROR(__xludf.DUMMYFUNCTION("""COMPUTED_VALUE"""),"")</f>
        <v/>
      </c>
      <c r="B58" s="19" t="str">
        <f>IFERROR(__xludf.DUMMYFUNCTION("""COMPUTED_VALUE"""),"")</f>
        <v/>
      </c>
      <c r="C58" s="20" t="str">
        <f>IFERROR(__xludf.DUMMYFUNCTION("""COMPUTED_VALUE"""),"")</f>
        <v/>
      </c>
      <c r="D58" s="21" t="str">
        <f>IFERROR(__xludf.DUMMYFUNCTION("""COMPUTED_VALUE"""),"")</f>
        <v/>
      </c>
      <c r="E58" s="21" t="str">
        <f>IFERROR(__xludf.DUMMYFUNCTION("""COMPUTED_VALUE"""),"")</f>
        <v/>
      </c>
      <c r="F58" s="21" t="str">
        <f>IFERROR(__xludf.DUMMYFUNCTION("""COMPUTED_VALUE"""),"")</f>
        <v/>
      </c>
      <c r="G58" s="23" t="str">
        <f>IFERROR(__xludf.DUMMYFUNCTION("""COMPUTED_VALUE"""),"")</f>
        <v/>
      </c>
      <c r="H58" s="4"/>
      <c r="I58" s="5" t="s">
        <v>414</v>
      </c>
      <c r="J58" s="5" t="s">
        <v>118</v>
      </c>
      <c r="K58" s="5">
        <v>361.0</v>
      </c>
      <c r="L58" s="5">
        <v>-0.392407</v>
      </c>
      <c r="M58" s="5">
        <v>1.771359</v>
      </c>
      <c r="N58" s="5">
        <v>1.378952</v>
      </c>
      <c r="O58" s="5">
        <v>0.369372</v>
      </c>
    </row>
    <row r="59">
      <c r="A59" s="12" t="str">
        <f>IFERROR(__xludf.DUMMYFUNCTION("""COMPUTED_VALUE"""),"")</f>
        <v/>
      </c>
      <c r="B59" s="13" t="str">
        <f>IFERROR(__xludf.DUMMYFUNCTION("""COMPUTED_VALUE"""),"")</f>
        <v/>
      </c>
      <c r="C59" s="14" t="str">
        <f>IFERROR(__xludf.DUMMYFUNCTION("""COMPUTED_VALUE"""),"")</f>
        <v/>
      </c>
      <c r="D59" s="15" t="str">
        <f>IFERROR(__xludf.DUMMYFUNCTION("""COMPUTED_VALUE"""),"")</f>
        <v/>
      </c>
      <c r="E59" s="15" t="str">
        <f>IFERROR(__xludf.DUMMYFUNCTION("""COMPUTED_VALUE"""),"")</f>
        <v/>
      </c>
      <c r="F59" s="15" t="str">
        <f>IFERROR(__xludf.DUMMYFUNCTION("""COMPUTED_VALUE"""),"")</f>
        <v/>
      </c>
      <c r="G59" s="17" t="str">
        <f>IFERROR(__xludf.DUMMYFUNCTION("""COMPUTED_VALUE"""),"")</f>
        <v/>
      </c>
      <c r="H59" s="4"/>
      <c r="I59" s="5" t="s">
        <v>2171</v>
      </c>
      <c r="J59" s="5" t="s">
        <v>2137</v>
      </c>
      <c r="K59" s="24">
        <v>709.0</v>
      </c>
      <c r="L59" s="5">
        <v>1.587511</v>
      </c>
      <c r="M59" s="5">
        <v>-0.232748</v>
      </c>
      <c r="N59" s="5">
        <v>1.354763</v>
      </c>
      <c r="O59" s="5">
        <v>0.754483</v>
      </c>
    </row>
    <row r="60">
      <c r="A60" s="18" t="str">
        <f>IFERROR(__xludf.DUMMYFUNCTION("""COMPUTED_VALUE"""),"")</f>
        <v/>
      </c>
      <c r="B60" s="19" t="str">
        <f>IFERROR(__xludf.DUMMYFUNCTION("""COMPUTED_VALUE"""),"")</f>
        <v/>
      </c>
      <c r="C60" s="20" t="str">
        <f>IFERROR(__xludf.DUMMYFUNCTION("""COMPUTED_VALUE"""),"")</f>
        <v/>
      </c>
      <c r="D60" s="21" t="str">
        <f>IFERROR(__xludf.DUMMYFUNCTION("""COMPUTED_VALUE"""),"")</f>
        <v/>
      </c>
      <c r="E60" s="21" t="str">
        <f>IFERROR(__xludf.DUMMYFUNCTION("""COMPUTED_VALUE"""),"")</f>
        <v/>
      </c>
      <c r="F60" s="21" t="str">
        <f>IFERROR(__xludf.DUMMYFUNCTION("""COMPUTED_VALUE"""),"")</f>
        <v/>
      </c>
      <c r="G60" s="23" t="str">
        <f>IFERROR(__xludf.DUMMYFUNCTION("""COMPUTED_VALUE"""),"")</f>
        <v/>
      </c>
      <c r="H60" s="4"/>
      <c r="I60" s="5" t="s">
        <v>2172</v>
      </c>
      <c r="J60" s="5" t="s">
        <v>2133</v>
      </c>
      <c r="K60" s="5">
        <v>209.0</v>
      </c>
      <c r="L60" s="5">
        <v>-2.006297</v>
      </c>
      <c r="M60" s="5">
        <v>3.318062</v>
      </c>
      <c r="N60" s="5">
        <v>1.311765</v>
      </c>
      <c r="O60" s="5">
        <v>0.217419</v>
      </c>
    </row>
    <row r="61">
      <c r="A61" s="12" t="str">
        <f>IFERROR(__xludf.DUMMYFUNCTION("""COMPUTED_VALUE"""),"")</f>
        <v/>
      </c>
      <c r="B61" s="13" t="str">
        <f>IFERROR(__xludf.DUMMYFUNCTION("""COMPUTED_VALUE"""),"")</f>
        <v/>
      </c>
      <c r="C61" s="14" t="str">
        <f>IFERROR(__xludf.DUMMYFUNCTION("""COMPUTED_VALUE"""),"")</f>
        <v/>
      </c>
      <c r="D61" s="15" t="str">
        <f>IFERROR(__xludf.DUMMYFUNCTION("""COMPUTED_VALUE"""),"")</f>
        <v/>
      </c>
      <c r="E61" s="15" t="str">
        <f>IFERROR(__xludf.DUMMYFUNCTION("""COMPUTED_VALUE"""),"")</f>
        <v/>
      </c>
      <c r="F61" s="15" t="str">
        <f>IFERROR(__xludf.DUMMYFUNCTION("""COMPUTED_VALUE"""),"")</f>
        <v/>
      </c>
      <c r="G61" s="17" t="str">
        <f>IFERROR(__xludf.DUMMYFUNCTION("""COMPUTED_VALUE"""),"")</f>
        <v/>
      </c>
      <c r="H61" s="4"/>
      <c r="I61" s="5" t="s">
        <v>2173</v>
      </c>
      <c r="J61" s="5" t="s">
        <v>54</v>
      </c>
      <c r="K61" s="24">
        <v>1037.0</v>
      </c>
      <c r="L61" s="5">
        <v>-0.151575</v>
      </c>
      <c r="M61" s="5">
        <v>1.417274</v>
      </c>
      <c r="N61" s="5">
        <v>1.265699</v>
      </c>
      <c r="O61" s="5">
        <v>1.024716</v>
      </c>
    </row>
    <row r="62">
      <c r="A62" s="18" t="str">
        <f>IFERROR(__xludf.DUMMYFUNCTION("""COMPUTED_VALUE"""),"")</f>
        <v/>
      </c>
      <c r="B62" s="19" t="str">
        <f>IFERROR(__xludf.DUMMYFUNCTION("""COMPUTED_VALUE"""),"")</f>
        <v/>
      </c>
      <c r="C62" s="20" t="str">
        <f>IFERROR(__xludf.DUMMYFUNCTION("""COMPUTED_VALUE"""),"")</f>
        <v/>
      </c>
      <c r="D62" s="21" t="str">
        <f>IFERROR(__xludf.DUMMYFUNCTION("""COMPUTED_VALUE"""),"")</f>
        <v/>
      </c>
      <c r="E62" s="21" t="str">
        <f>IFERROR(__xludf.DUMMYFUNCTION("""COMPUTED_VALUE"""),"")</f>
        <v/>
      </c>
      <c r="F62" s="21" t="str">
        <f>IFERROR(__xludf.DUMMYFUNCTION("""COMPUTED_VALUE"""),"")</f>
        <v/>
      </c>
      <c r="G62" s="23" t="str">
        <f>IFERROR(__xludf.DUMMYFUNCTION("""COMPUTED_VALUE"""),"")</f>
        <v/>
      </c>
      <c r="H62" s="4"/>
      <c r="I62" s="5" t="s">
        <v>480</v>
      </c>
      <c r="J62" s="5" t="s">
        <v>118</v>
      </c>
      <c r="K62" s="5">
        <v>695.0</v>
      </c>
      <c r="L62" s="5">
        <v>2.896445</v>
      </c>
      <c r="M62" s="5">
        <v>-1.639008</v>
      </c>
      <c r="N62" s="5">
        <v>1.257437</v>
      </c>
      <c r="O62" s="5">
        <v>0.685545</v>
      </c>
    </row>
    <row r="63">
      <c r="A63" s="12" t="str">
        <f>IFERROR(__xludf.DUMMYFUNCTION("""COMPUTED_VALUE"""),"")</f>
        <v/>
      </c>
      <c r="B63" s="13" t="str">
        <f>IFERROR(__xludf.DUMMYFUNCTION("""COMPUTED_VALUE"""),"")</f>
        <v/>
      </c>
      <c r="C63" s="14" t="str">
        <f>IFERROR(__xludf.DUMMYFUNCTION("""COMPUTED_VALUE"""),"")</f>
        <v/>
      </c>
      <c r="D63" s="15" t="str">
        <f>IFERROR(__xludf.DUMMYFUNCTION("""COMPUTED_VALUE"""),"")</f>
        <v/>
      </c>
      <c r="E63" s="15" t="str">
        <f>IFERROR(__xludf.DUMMYFUNCTION("""COMPUTED_VALUE"""),"")</f>
        <v/>
      </c>
      <c r="F63" s="15" t="str">
        <f>IFERROR(__xludf.DUMMYFUNCTION("""COMPUTED_VALUE"""),"")</f>
        <v/>
      </c>
      <c r="G63" s="17" t="str">
        <f>IFERROR(__xludf.DUMMYFUNCTION("""COMPUTED_VALUE"""),"")</f>
        <v/>
      </c>
      <c r="H63" s="4"/>
      <c r="I63" s="5" t="s">
        <v>2174</v>
      </c>
      <c r="J63" s="5" t="s">
        <v>2126</v>
      </c>
      <c r="K63" s="5">
        <v>945.0</v>
      </c>
      <c r="L63" s="5">
        <v>1.574226</v>
      </c>
      <c r="M63" s="5">
        <v>-0.331893</v>
      </c>
      <c r="N63" s="5">
        <v>1.242333</v>
      </c>
      <c r="O63" s="5">
        <v>0.953618</v>
      </c>
    </row>
    <row r="64">
      <c r="A64" s="18" t="str">
        <f>IFERROR(__xludf.DUMMYFUNCTION("""COMPUTED_VALUE"""),"")</f>
        <v/>
      </c>
      <c r="B64" s="19" t="str">
        <f>IFERROR(__xludf.DUMMYFUNCTION("""COMPUTED_VALUE"""),"")</f>
        <v/>
      </c>
      <c r="C64" s="20" t="str">
        <f>IFERROR(__xludf.DUMMYFUNCTION("""COMPUTED_VALUE"""),"")</f>
        <v/>
      </c>
      <c r="D64" s="21" t="str">
        <f>IFERROR(__xludf.DUMMYFUNCTION("""COMPUTED_VALUE"""),"")</f>
        <v/>
      </c>
      <c r="E64" s="21" t="str">
        <f>IFERROR(__xludf.DUMMYFUNCTION("""COMPUTED_VALUE"""),"")</f>
        <v/>
      </c>
      <c r="F64" s="21" t="str">
        <f>IFERROR(__xludf.DUMMYFUNCTION("""COMPUTED_VALUE"""),"")</f>
        <v/>
      </c>
      <c r="G64" s="23" t="str">
        <f>IFERROR(__xludf.DUMMYFUNCTION("""COMPUTED_VALUE"""),"")</f>
        <v/>
      </c>
      <c r="H64" s="4"/>
      <c r="I64" s="5" t="s">
        <v>2175</v>
      </c>
      <c r="J64" s="5" t="s">
        <v>2133</v>
      </c>
      <c r="K64" s="5">
        <v>749.0</v>
      </c>
      <c r="L64" s="5">
        <v>-0.053824</v>
      </c>
      <c r="M64" s="5">
        <v>1.269227</v>
      </c>
      <c r="N64" s="5">
        <v>1.215404</v>
      </c>
      <c r="O64" s="5">
        <v>0.756499</v>
      </c>
    </row>
    <row r="65">
      <c r="A65" s="12" t="str">
        <f>IFERROR(__xludf.DUMMYFUNCTION("""COMPUTED_VALUE"""),"")</f>
        <v/>
      </c>
      <c r="B65" s="13" t="str">
        <f>IFERROR(__xludf.DUMMYFUNCTION("""COMPUTED_VALUE"""),"")</f>
        <v/>
      </c>
      <c r="C65" s="14" t="str">
        <f>IFERROR(__xludf.DUMMYFUNCTION("""COMPUTED_VALUE"""),"")</f>
        <v/>
      </c>
      <c r="D65" s="15" t="str">
        <f>IFERROR(__xludf.DUMMYFUNCTION("""COMPUTED_VALUE"""),"")</f>
        <v/>
      </c>
      <c r="E65" s="15" t="str">
        <f>IFERROR(__xludf.DUMMYFUNCTION("""COMPUTED_VALUE"""),"")</f>
        <v/>
      </c>
      <c r="F65" s="15" t="str">
        <f>IFERROR(__xludf.DUMMYFUNCTION("""COMPUTED_VALUE"""),"")</f>
        <v/>
      </c>
      <c r="G65" s="17" t="str">
        <f>IFERROR(__xludf.DUMMYFUNCTION("""COMPUTED_VALUE"""),"")</f>
        <v/>
      </c>
      <c r="H65" s="4"/>
      <c r="I65" s="5" t="s">
        <v>2176</v>
      </c>
      <c r="J65" s="5" t="s">
        <v>2133</v>
      </c>
      <c r="K65" s="5">
        <v>727.0</v>
      </c>
      <c r="L65" s="5">
        <v>-2.147562</v>
      </c>
      <c r="M65" s="5">
        <v>3.340891</v>
      </c>
      <c r="N65" s="5">
        <v>1.193329</v>
      </c>
      <c r="O65" s="5">
        <v>0.729238</v>
      </c>
    </row>
    <row r="66">
      <c r="A66" s="18" t="str">
        <f>IFERROR(__xludf.DUMMYFUNCTION("""COMPUTED_VALUE"""),"")</f>
        <v/>
      </c>
      <c r="B66" s="19" t="str">
        <f>IFERROR(__xludf.DUMMYFUNCTION("""COMPUTED_VALUE"""),"")</f>
        <v/>
      </c>
      <c r="C66" s="20" t="str">
        <f>IFERROR(__xludf.DUMMYFUNCTION("""COMPUTED_VALUE"""),"")</f>
        <v/>
      </c>
      <c r="D66" s="21" t="str">
        <f>IFERROR(__xludf.DUMMYFUNCTION("""COMPUTED_VALUE"""),"")</f>
        <v/>
      </c>
      <c r="E66" s="21" t="str">
        <f>IFERROR(__xludf.DUMMYFUNCTION("""COMPUTED_VALUE"""),"")</f>
        <v/>
      </c>
      <c r="F66" s="21" t="str">
        <f>IFERROR(__xludf.DUMMYFUNCTION("""COMPUTED_VALUE"""),"")</f>
        <v/>
      </c>
      <c r="G66" s="23" t="str">
        <f>IFERROR(__xludf.DUMMYFUNCTION("""COMPUTED_VALUE"""),"")</f>
        <v/>
      </c>
      <c r="H66" s="4"/>
      <c r="I66" s="5" t="s">
        <v>2177</v>
      </c>
      <c r="J66" s="5" t="s">
        <v>2126</v>
      </c>
      <c r="K66" s="24">
        <v>685.0</v>
      </c>
      <c r="L66" s="5">
        <v>-0.589996</v>
      </c>
      <c r="M66" s="5">
        <v>1.745995</v>
      </c>
      <c r="N66" s="5">
        <v>1.155999</v>
      </c>
      <c r="O66" s="5">
        <v>0.672841</v>
      </c>
    </row>
    <row r="67">
      <c r="A67" s="12" t="str">
        <f>IFERROR(__xludf.DUMMYFUNCTION("""COMPUTED_VALUE"""),"")</f>
        <v/>
      </c>
      <c r="B67" s="13" t="str">
        <f>IFERROR(__xludf.DUMMYFUNCTION("""COMPUTED_VALUE"""),"")</f>
        <v/>
      </c>
      <c r="C67" s="14" t="str">
        <f>IFERROR(__xludf.DUMMYFUNCTION("""COMPUTED_VALUE"""),"")</f>
        <v/>
      </c>
      <c r="D67" s="15" t="str">
        <f>IFERROR(__xludf.DUMMYFUNCTION("""COMPUTED_VALUE"""),"")</f>
        <v/>
      </c>
      <c r="E67" s="15" t="str">
        <f>IFERROR(__xludf.DUMMYFUNCTION("""COMPUTED_VALUE"""),"")</f>
        <v/>
      </c>
      <c r="F67" s="15" t="str">
        <f>IFERROR(__xludf.DUMMYFUNCTION("""COMPUTED_VALUE"""),"")</f>
        <v/>
      </c>
      <c r="G67" s="17" t="str">
        <f>IFERROR(__xludf.DUMMYFUNCTION("""COMPUTED_VALUE"""),"")</f>
        <v/>
      </c>
      <c r="H67" s="4"/>
      <c r="I67" s="5" t="s">
        <v>2178</v>
      </c>
      <c r="J67" s="5" t="s">
        <v>2143</v>
      </c>
      <c r="K67" s="5">
        <v>855.0</v>
      </c>
      <c r="L67" s="5">
        <v>0.379336</v>
      </c>
      <c r="M67" s="5">
        <v>0.646011</v>
      </c>
      <c r="N67" s="5">
        <v>1.025348</v>
      </c>
      <c r="O67" s="5">
        <v>0.80399</v>
      </c>
    </row>
    <row r="68">
      <c r="A68" s="18" t="str">
        <f>IFERROR(__xludf.DUMMYFUNCTION("""COMPUTED_VALUE"""),"")</f>
        <v/>
      </c>
      <c r="B68" s="19" t="str">
        <f>IFERROR(__xludf.DUMMYFUNCTION("""COMPUTED_VALUE"""),"")</f>
        <v/>
      </c>
      <c r="C68" s="20" t="str">
        <f>IFERROR(__xludf.DUMMYFUNCTION("""COMPUTED_VALUE"""),"")</f>
        <v/>
      </c>
      <c r="D68" s="21" t="str">
        <f>IFERROR(__xludf.DUMMYFUNCTION("""COMPUTED_VALUE"""),"")</f>
        <v/>
      </c>
      <c r="E68" s="21" t="str">
        <f>IFERROR(__xludf.DUMMYFUNCTION("""COMPUTED_VALUE"""),"")</f>
        <v/>
      </c>
      <c r="F68" s="21" t="str">
        <f>IFERROR(__xludf.DUMMYFUNCTION("""COMPUTED_VALUE"""),"")</f>
        <v/>
      </c>
      <c r="G68" s="23" t="str">
        <f>IFERROR(__xludf.DUMMYFUNCTION("""COMPUTED_VALUE"""),"")</f>
        <v/>
      </c>
      <c r="H68" s="4"/>
      <c r="I68" s="5" t="s">
        <v>2180</v>
      </c>
      <c r="J68" s="5" t="s">
        <v>2126</v>
      </c>
      <c r="K68" s="5">
        <v>831.0</v>
      </c>
      <c r="L68" s="5">
        <v>-0.399613</v>
      </c>
      <c r="M68" s="5">
        <v>1.399543</v>
      </c>
      <c r="N68" s="5">
        <v>0.99993</v>
      </c>
      <c r="O68" s="5">
        <v>0.775884</v>
      </c>
    </row>
    <row r="69">
      <c r="A69" s="12" t="str">
        <f>IFERROR(__xludf.DUMMYFUNCTION("""COMPUTED_VALUE"""),"")</f>
        <v/>
      </c>
      <c r="B69" s="13" t="str">
        <f>IFERROR(__xludf.DUMMYFUNCTION("""COMPUTED_VALUE"""),"")</f>
        <v/>
      </c>
      <c r="C69" s="14" t="str">
        <f>IFERROR(__xludf.DUMMYFUNCTION("""COMPUTED_VALUE"""),"")</f>
        <v/>
      </c>
      <c r="D69" s="15" t="str">
        <f>IFERROR(__xludf.DUMMYFUNCTION("""COMPUTED_VALUE"""),"")</f>
        <v/>
      </c>
      <c r="E69" s="15" t="str">
        <f>IFERROR(__xludf.DUMMYFUNCTION("""COMPUTED_VALUE"""),"")</f>
        <v/>
      </c>
      <c r="F69" s="15" t="str">
        <f>IFERROR(__xludf.DUMMYFUNCTION("""COMPUTED_VALUE"""),"")</f>
        <v/>
      </c>
      <c r="G69" s="17" t="str">
        <f>IFERROR(__xludf.DUMMYFUNCTION("""COMPUTED_VALUE"""),"")</f>
        <v/>
      </c>
      <c r="H69" s="4"/>
      <c r="I69" s="5" t="s">
        <v>2181</v>
      </c>
      <c r="J69" s="5" t="s">
        <v>2167</v>
      </c>
      <c r="K69" s="24">
        <v>123.0</v>
      </c>
      <c r="L69" s="5">
        <v>1.237019</v>
      </c>
      <c r="M69" s="5">
        <v>-0.280184</v>
      </c>
      <c r="N69" s="5">
        <v>0.956835</v>
      </c>
      <c r="O69" s="5">
        <v>0.110421</v>
      </c>
    </row>
    <row r="70">
      <c r="A70" s="18" t="str">
        <f>IFERROR(__xludf.DUMMYFUNCTION("""COMPUTED_VALUE"""),"")</f>
        <v/>
      </c>
      <c r="B70" s="19" t="str">
        <f>IFERROR(__xludf.DUMMYFUNCTION("""COMPUTED_VALUE"""),"")</f>
        <v/>
      </c>
      <c r="C70" s="20" t="str">
        <f>IFERROR(__xludf.DUMMYFUNCTION("""COMPUTED_VALUE"""),"")</f>
        <v/>
      </c>
      <c r="D70" s="21" t="str">
        <f>IFERROR(__xludf.DUMMYFUNCTION("""COMPUTED_VALUE"""),"")</f>
        <v/>
      </c>
      <c r="E70" s="21" t="str">
        <f>IFERROR(__xludf.DUMMYFUNCTION("""COMPUTED_VALUE"""),"")</f>
        <v/>
      </c>
      <c r="F70" s="21" t="str">
        <f>IFERROR(__xludf.DUMMYFUNCTION("""COMPUTED_VALUE"""),"")</f>
        <v/>
      </c>
      <c r="G70" s="23" t="str">
        <f>IFERROR(__xludf.DUMMYFUNCTION("""COMPUTED_VALUE"""),"")</f>
        <v/>
      </c>
      <c r="H70" s="4"/>
      <c r="I70" s="5" t="s">
        <v>2182</v>
      </c>
      <c r="J70" s="5" t="s">
        <v>2126</v>
      </c>
      <c r="K70" s="5">
        <v>278.0</v>
      </c>
      <c r="L70" s="5">
        <v>-0.485941</v>
      </c>
      <c r="M70" s="5">
        <v>1.435879</v>
      </c>
      <c r="N70" s="5">
        <v>0.949938</v>
      </c>
      <c r="O70" s="5">
        <v>0.254777</v>
      </c>
    </row>
    <row r="71">
      <c r="A71" s="12" t="str">
        <f>IFERROR(__xludf.DUMMYFUNCTION("""COMPUTED_VALUE"""),"")</f>
        <v/>
      </c>
      <c r="B71" s="13" t="str">
        <f>IFERROR(__xludf.DUMMYFUNCTION("""COMPUTED_VALUE"""),"")</f>
        <v/>
      </c>
      <c r="C71" s="14" t="str">
        <f>IFERROR(__xludf.DUMMYFUNCTION("""COMPUTED_VALUE"""),"")</f>
        <v/>
      </c>
      <c r="D71" s="15" t="str">
        <f>IFERROR(__xludf.DUMMYFUNCTION("""COMPUTED_VALUE"""),"")</f>
        <v/>
      </c>
      <c r="E71" s="15" t="str">
        <f>IFERROR(__xludf.DUMMYFUNCTION("""COMPUTED_VALUE"""),"")</f>
        <v/>
      </c>
      <c r="F71" s="15" t="str">
        <f>IFERROR(__xludf.DUMMYFUNCTION("""COMPUTED_VALUE"""),"")</f>
        <v/>
      </c>
      <c r="G71" s="17" t="str">
        <f>IFERROR(__xludf.DUMMYFUNCTION("""COMPUTED_VALUE"""),"")</f>
        <v/>
      </c>
      <c r="H71" s="4"/>
      <c r="I71" s="5" t="s">
        <v>2183</v>
      </c>
      <c r="J71" s="5" t="s">
        <v>2124</v>
      </c>
      <c r="K71" s="5">
        <v>525.0</v>
      </c>
      <c r="L71" s="5">
        <v>0.333211</v>
      </c>
      <c r="M71" s="5">
        <v>0.607299</v>
      </c>
      <c r="N71" s="5">
        <v>0.94051</v>
      </c>
      <c r="O71" s="5">
        <v>0.465373</v>
      </c>
    </row>
    <row r="72">
      <c r="A72" s="18" t="str">
        <f>IFERROR(__xludf.DUMMYFUNCTION("""COMPUTED_VALUE"""),"")</f>
        <v/>
      </c>
      <c r="B72" s="19" t="str">
        <f>IFERROR(__xludf.DUMMYFUNCTION("""COMPUTED_VALUE"""),"")</f>
        <v/>
      </c>
      <c r="C72" s="20" t="str">
        <f>IFERROR(__xludf.DUMMYFUNCTION("""COMPUTED_VALUE"""),"")</f>
        <v/>
      </c>
      <c r="D72" s="21" t="str">
        <f>IFERROR(__xludf.DUMMYFUNCTION("""COMPUTED_VALUE"""),"")</f>
        <v/>
      </c>
      <c r="E72" s="21" t="str">
        <f>IFERROR(__xludf.DUMMYFUNCTION("""COMPUTED_VALUE"""),"")</f>
        <v/>
      </c>
      <c r="F72" s="21" t="str">
        <f>IFERROR(__xludf.DUMMYFUNCTION("""COMPUTED_VALUE"""),"")</f>
        <v/>
      </c>
      <c r="G72" s="23" t="str">
        <f>IFERROR(__xludf.DUMMYFUNCTION("""COMPUTED_VALUE"""),"")</f>
        <v/>
      </c>
      <c r="H72" s="4"/>
      <c r="I72" s="5" t="s">
        <v>2184</v>
      </c>
      <c r="J72" s="5" t="s">
        <v>2124</v>
      </c>
      <c r="K72" s="24">
        <v>56.0</v>
      </c>
      <c r="L72" s="5">
        <v>0.857092</v>
      </c>
      <c r="M72" s="5">
        <v>0.069011</v>
      </c>
      <c r="N72" s="5">
        <v>0.926103</v>
      </c>
      <c r="O72" s="5">
        <v>0.049397</v>
      </c>
    </row>
    <row r="73">
      <c r="A73" s="12" t="str">
        <f>IFERROR(__xludf.DUMMYFUNCTION("""COMPUTED_VALUE"""),"")</f>
        <v/>
      </c>
      <c r="B73" s="13" t="str">
        <f>IFERROR(__xludf.DUMMYFUNCTION("""COMPUTED_VALUE"""),"")</f>
        <v/>
      </c>
      <c r="C73" s="14" t="str">
        <f>IFERROR(__xludf.DUMMYFUNCTION("""COMPUTED_VALUE"""),"")</f>
        <v/>
      </c>
      <c r="D73" s="15" t="str">
        <f>IFERROR(__xludf.DUMMYFUNCTION("""COMPUTED_VALUE"""),"")</f>
        <v/>
      </c>
      <c r="E73" s="15" t="str">
        <f>IFERROR(__xludf.DUMMYFUNCTION("""COMPUTED_VALUE"""),"")</f>
        <v/>
      </c>
      <c r="F73" s="15" t="str">
        <f>IFERROR(__xludf.DUMMYFUNCTION("""COMPUTED_VALUE"""),"")</f>
        <v/>
      </c>
      <c r="G73" s="17" t="str">
        <f>IFERROR(__xludf.DUMMYFUNCTION("""COMPUTED_VALUE"""),"")</f>
        <v/>
      </c>
      <c r="H73" s="4"/>
      <c r="I73" s="5" t="s">
        <v>2187</v>
      </c>
      <c r="J73" s="5" t="s">
        <v>2130</v>
      </c>
      <c r="K73" s="5">
        <v>663.0</v>
      </c>
      <c r="L73" s="5">
        <v>0.604236</v>
      </c>
      <c r="M73" s="5">
        <v>0.321348</v>
      </c>
      <c r="N73" s="5">
        <v>0.925584</v>
      </c>
      <c r="O73" s="5">
        <v>0.601055</v>
      </c>
    </row>
    <row r="74">
      <c r="A74" s="18" t="str">
        <f>IFERROR(__xludf.DUMMYFUNCTION("""COMPUTED_VALUE"""),"")</f>
        <v/>
      </c>
      <c r="B74" s="19" t="str">
        <f>IFERROR(__xludf.DUMMYFUNCTION("""COMPUTED_VALUE"""),"")</f>
        <v/>
      </c>
      <c r="C74" s="20" t="str">
        <f>IFERROR(__xludf.DUMMYFUNCTION("""COMPUTED_VALUE"""),"")</f>
        <v/>
      </c>
      <c r="D74" s="21" t="str">
        <f>IFERROR(__xludf.DUMMYFUNCTION("""COMPUTED_VALUE"""),"")</f>
        <v/>
      </c>
      <c r="E74" s="21" t="str">
        <f>IFERROR(__xludf.DUMMYFUNCTION("""COMPUTED_VALUE"""),"")</f>
        <v/>
      </c>
      <c r="F74" s="21" t="str">
        <f>IFERROR(__xludf.DUMMYFUNCTION("""COMPUTED_VALUE"""),"")</f>
        <v/>
      </c>
      <c r="G74" s="23" t="str">
        <f>IFERROR(__xludf.DUMMYFUNCTION("""COMPUTED_VALUE"""),"")</f>
        <v/>
      </c>
      <c r="H74" s="4"/>
      <c r="I74" s="5" t="s">
        <v>2188</v>
      </c>
      <c r="J74" s="5" t="s">
        <v>2133</v>
      </c>
      <c r="K74" s="24">
        <v>1011.0</v>
      </c>
      <c r="L74" s="5">
        <v>0.254351</v>
      </c>
      <c r="M74" s="5">
        <v>0.529979</v>
      </c>
      <c r="N74" s="5">
        <v>0.78433</v>
      </c>
      <c r="O74" s="5">
        <v>0.884225</v>
      </c>
    </row>
    <row r="75">
      <c r="A75" s="12" t="str">
        <f>IFERROR(__xludf.DUMMYFUNCTION("""COMPUTED_VALUE"""),"")</f>
        <v/>
      </c>
      <c r="B75" s="13" t="str">
        <f>IFERROR(__xludf.DUMMYFUNCTION("""COMPUTED_VALUE"""),"")</f>
        <v/>
      </c>
      <c r="C75" s="14" t="str">
        <f>IFERROR(__xludf.DUMMYFUNCTION("""COMPUTED_VALUE"""),"")</f>
        <v/>
      </c>
      <c r="D75" s="15" t="str">
        <f>IFERROR(__xludf.DUMMYFUNCTION("""COMPUTED_VALUE"""),"")</f>
        <v/>
      </c>
      <c r="E75" s="15" t="str">
        <f>IFERROR(__xludf.DUMMYFUNCTION("""COMPUTED_VALUE"""),"")</f>
        <v/>
      </c>
      <c r="F75" s="15" t="str">
        <f>IFERROR(__xludf.DUMMYFUNCTION("""COMPUTED_VALUE"""),"")</f>
        <v/>
      </c>
      <c r="G75" s="17" t="str">
        <f>IFERROR(__xludf.DUMMYFUNCTION("""COMPUTED_VALUE"""),"")</f>
        <v/>
      </c>
      <c r="H75" s="4"/>
      <c r="I75" s="5" t="s">
        <v>2191</v>
      </c>
      <c r="J75" s="5" t="s">
        <v>2133</v>
      </c>
      <c r="K75" s="5">
        <v>88.0</v>
      </c>
      <c r="L75" s="5">
        <v>-0.356404</v>
      </c>
      <c r="M75" s="5">
        <v>1.085423</v>
      </c>
      <c r="N75" s="5">
        <v>0.729019</v>
      </c>
      <c r="O75" s="5">
        <v>0.075436</v>
      </c>
    </row>
    <row r="76">
      <c r="A76" s="18" t="str">
        <f>IFERROR(__xludf.DUMMYFUNCTION("""COMPUTED_VALUE"""),"")</f>
        <v/>
      </c>
      <c r="B76" s="19" t="str">
        <f>IFERROR(__xludf.DUMMYFUNCTION("""COMPUTED_VALUE"""),"")</f>
        <v/>
      </c>
      <c r="C76" s="20" t="str">
        <f>IFERROR(__xludf.DUMMYFUNCTION("""COMPUTED_VALUE"""),"")</f>
        <v/>
      </c>
      <c r="D76" s="21" t="str">
        <f>IFERROR(__xludf.DUMMYFUNCTION("""COMPUTED_VALUE"""),"")</f>
        <v/>
      </c>
      <c r="E76" s="21" t="str">
        <f>IFERROR(__xludf.DUMMYFUNCTION("""COMPUTED_VALUE"""),"")</f>
        <v/>
      </c>
      <c r="F76" s="21" t="str">
        <f>IFERROR(__xludf.DUMMYFUNCTION("""COMPUTED_VALUE"""),"")</f>
        <v/>
      </c>
      <c r="G76" s="23" t="str">
        <f>IFERROR(__xludf.DUMMYFUNCTION("""COMPUTED_VALUE"""),"")</f>
        <v/>
      </c>
      <c r="H76" s="4"/>
      <c r="I76" s="5" t="s">
        <v>2192</v>
      </c>
      <c r="J76" s="5" t="s">
        <v>2126</v>
      </c>
      <c r="K76" s="5">
        <v>551.0</v>
      </c>
      <c r="L76" s="5">
        <v>0.878664</v>
      </c>
      <c r="M76" s="5">
        <v>-0.191101</v>
      </c>
      <c r="N76" s="5">
        <v>0.687563</v>
      </c>
      <c r="O76" s="5">
        <v>0.460888</v>
      </c>
    </row>
    <row r="77">
      <c r="A77" s="12" t="str">
        <f>IFERROR(__xludf.DUMMYFUNCTION("""COMPUTED_VALUE"""),"")</f>
        <v/>
      </c>
      <c r="B77" s="13" t="str">
        <f>IFERROR(__xludf.DUMMYFUNCTION("""COMPUTED_VALUE"""),"")</f>
        <v/>
      </c>
      <c r="C77" s="14" t="str">
        <f>IFERROR(__xludf.DUMMYFUNCTION("""COMPUTED_VALUE"""),"")</f>
        <v/>
      </c>
      <c r="D77" s="15" t="str">
        <f>IFERROR(__xludf.DUMMYFUNCTION("""COMPUTED_VALUE"""),"")</f>
        <v/>
      </c>
      <c r="E77" s="15" t="str">
        <f>IFERROR(__xludf.DUMMYFUNCTION("""COMPUTED_VALUE"""),"")</f>
        <v/>
      </c>
      <c r="F77" s="15" t="str">
        <f>IFERROR(__xludf.DUMMYFUNCTION("""COMPUTED_VALUE"""),"")</f>
        <v/>
      </c>
      <c r="G77" s="17" t="str">
        <f>IFERROR(__xludf.DUMMYFUNCTION("""COMPUTED_VALUE"""),"")</f>
        <v/>
      </c>
      <c r="H77" s="4"/>
      <c r="I77" s="5" t="s">
        <v>2195</v>
      </c>
      <c r="J77" s="5" t="s">
        <v>54</v>
      </c>
      <c r="K77" s="5">
        <v>944.0</v>
      </c>
      <c r="L77" s="5">
        <v>0.542553</v>
      </c>
      <c r="M77" s="5">
        <v>0.113804</v>
      </c>
      <c r="N77" s="5">
        <v>0.656358</v>
      </c>
      <c r="O77" s="5">
        <v>0.758764</v>
      </c>
    </row>
    <row r="78">
      <c r="A78" s="18" t="str">
        <f>IFERROR(__xludf.DUMMYFUNCTION("""COMPUTED_VALUE"""),"")</f>
        <v/>
      </c>
      <c r="B78" s="19" t="str">
        <f>IFERROR(__xludf.DUMMYFUNCTION("""COMPUTED_VALUE"""),"")</f>
        <v/>
      </c>
      <c r="C78" s="20" t="str">
        <f>IFERROR(__xludf.DUMMYFUNCTION("""COMPUTED_VALUE"""),"")</f>
        <v/>
      </c>
      <c r="D78" s="21" t="str">
        <f>IFERROR(__xludf.DUMMYFUNCTION("""COMPUTED_VALUE"""),"")</f>
        <v/>
      </c>
      <c r="E78" s="21" t="str">
        <f>IFERROR(__xludf.DUMMYFUNCTION("""COMPUTED_VALUE"""),"")</f>
        <v/>
      </c>
      <c r="F78" s="21" t="str">
        <f>IFERROR(__xludf.DUMMYFUNCTION("""COMPUTED_VALUE"""),"")</f>
        <v/>
      </c>
      <c r="G78" s="23" t="str">
        <f>IFERROR(__xludf.DUMMYFUNCTION("""COMPUTED_VALUE"""),"")</f>
        <v/>
      </c>
      <c r="H78" s="4"/>
      <c r="I78" s="5" t="s">
        <v>2196</v>
      </c>
      <c r="J78" s="5" t="s">
        <v>2137</v>
      </c>
      <c r="K78" s="24">
        <v>636.0</v>
      </c>
      <c r="L78" s="5">
        <v>0.329163</v>
      </c>
      <c r="M78" s="5">
        <v>0.295184</v>
      </c>
      <c r="N78" s="5">
        <v>0.624347</v>
      </c>
      <c r="O78" s="5">
        <v>0.529443</v>
      </c>
    </row>
    <row r="79">
      <c r="A79" s="12" t="str">
        <f>IFERROR(__xludf.DUMMYFUNCTION("""COMPUTED_VALUE"""),"")</f>
        <v/>
      </c>
      <c r="B79" s="13" t="str">
        <f>IFERROR(__xludf.DUMMYFUNCTION("""COMPUTED_VALUE"""),"")</f>
        <v/>
      </c>
      <c r="C79" s="14" t="str">
        <f>IFERROR(__xludf.DUMMYFUNCTION("""COMPUTED_VALUE"""),"")</f>
        <v/>
      </c>
      <c r="D79" s="15" t="str">
        <f>IFERROR(__xludf.DUMMYFUNCTION("""COMPUTED_VALUE"""),"")</f>
        <v/>
      </c>
      <c r="E79" s="15" t="str">
        <f>IFERROR(__xludf.DUMMYFUNCTION("""COMPUTED_VALUE"""),"")</f>
        <v/>
      </c>
      <c r="F79" s="15" t="str">
        <f>IFERROR(__xludf.DUMMYFUNCTION("""COMPUTED_VALUE"""),"")</f>
        <v/>
      </c>
      <c r="G79" s="17" t="str">
        <f>IFERROR(__xludf.DUMMYFUNCTION("""COMPUTED_VALUE"""),"")</f>
        <v/>
      </c>
      <c r="H79" s="4"/>
      <c r="I79" s="5" t="s">
        <v>1891</v>
      </c>
      <c r="J79" s="5" t="s">
        <v>2121</v>
      </c>
      <c r="K79" s="5">
        <v>60.0</v>
      </c>
      <c r="L79" s="5">
        <v>0.587471</v>
      </c>
      <c r="M79" s="5">
        <v>0.026286</v>
      </c>
      <c r="N79" s="5">
        <v>0.613757</v>
      </c>
      <c r="O79" s="5">
        <v>0.048541</v>
      </c>
    </row>
    <row r="80">
      <c r="A80" s="18" t="str">
        <f>IFERROR(__xludf.DUMMYFUNCTION("""COMPUTED_VALUE"""),"")</f>
        <v/>
      </c>
      <c r="B80" s="19" t="str">
        <f>IFERROR(__xludf.DUMMYFUNCTION("""COMPUTED_VALUE"""),"")</f>
        <v/>
      </c>
      <c r="C80" s="20" t="str">
        <f>IFERROR(__xludf.DUMMYFUNCTION("""COMPUTED_VALUE"""),"")</f>
        <v/>
      </c>
      <c r="D80" s="21" t="str">
        <f>IFERROR(__xludf.DUMMYFUNCTION("""COMPUTED_VALUE"""),"")</f>
        <v/>
      </c>
      <c r="E80" s="21" t="str">
        <f>IFERROR(__xludf.DUMMYFUNCTION("""COMPUTED_VALUE"""),"")</f>
        <v/>
      </c>
      <c r="F80" s="21" t="str">
        <f>IFERROR(__xludf.DUMMYFUNCTION("""COMPUTED_VALUE"""),"")</f>
        <v/>
      </c>
      <c r="G80" s="23" t="str">
        <f>IFERROR(__xludf.DUMMYFUNCTION("""COMPUTED_VALUE"""),"")</f>
        <v/>
      </c>
      <c r="H80" s="4"/>
      <c r="I80" s="5" t="s">
        <v>2199</v>
      </c>
      <c r="J80" s="5" t="s">
        <v>2133</v>
      </c>
      <c r="K80" s="5">
        <v>16.0</v>
      </c>
      <c r="L80" s="5">
        <v>0.561182</v>
      </c>
      <c r="M80" s="5">
        <v>-0.082587</v>
      </c>
      <c r="N80" s="5">
        <v>0.478595</v>
      </c>
      <c r="O80" s="5">
        <v>0.012457</v>
      </c>
    </row>
    <row r="81">
      <c r="A81" s="12" t="str">
        <f>IFERROR(__xludf.DUMMYFUNCTION("""COMPUTED_VALUE"""),"")</f>
        <v/>
      </c>
      <c r="B81" s="13" t="str">
        <f>IFERROR(__xludf.DUMMYFUNCTION("""COMPUTED_VALUE"""),"")</f>
        <v/>
      </c>
      <c r="C81" s="14" t="str">
        <f>IFERROR(__xludf.DUMMYFUNCTION("""COMPUTED_VALUE"""),"")</f>
        <v/>
      </c>
      <c r="D81" s="15" t="str">
        <f>IFERROR(__xludf.DUMMYFUNCTION("""COMPUTED_VALUE"""),"")</f>
        <v/>
      </c>
      <c r="E81" s="15" t="str">
        <f>IFERROR(__xludf.DUMMYFUNCTION("""COMPUTED_VALUE"""),"")</f>
        <v/>
      </c>
      <c r="F81" s="15" t="str">
        <f>IFERROR(__xludf.DUMMYFUNCTION("""COMPUTED_VALUE"""),"")</f>
        <v/>
      </c>
      <c r="G81" s="17" t="str">
        <f>IFERROR(__xludf.DUMMYFUNCTION("""COMPUTED_VALUE"""),"")</f>
        <v/>
      </c>
      <c r="H81" s="4"/>
      <c r="I81" s="5" t="s">
        <v>2202</v>
      </c>
      <c r="J81" s="5" t="s">
        <v>2135</v>
      </c>
      <c r="K81" s="5">
        <v>776.0</v>
      </c>
      <c r="L81" s="5">
        <v>1.11395</v>
      </c>
      <c r="M81" s="5">
        <v>-0.645606</v>
      </c>
      <c r="N81" s="5">
        <v>0.468344</v>
      </c>
      <c r="O81" s="5">
        <v>0.581069</v>
      </c>
    </row>
    <row r="82">
      <c r="A82" s="18" t="str">
        <f>IFERROR(__xludf.DUMMYFUNCTION("""COMPUTED_VALUE"""),"")</f>
        <v/>
      </c>
      <c r="B82" s="19" t="str">
        <f>IFERROR(__xludf.DUMMYFUNCTION("""COMPUTED_VALUE"""),"")</f>
        <v/>
      </c>
      <c r="C82" s="20" t="str">
        <f>IFERROR(__xludf.DUMMYFUNCTION("""COMPUTED_VALUE"""),"")</f>
        <v/>
      </c>
      <c r="D82" s="21" t="str">
        <f>IFERROR(__xludf.DUMMYFUNCTION("""COMPUTED_VALUE"""),"")</f>
        <v/>
      </c>
      <c r="E82" s="21" t="str">
        <f>IFERROR(__xludf.DUMMYFUNCTION("""COMPUTED_VALUE"""),"")</f>
        <v/>
      </c>
      <c r="F82" s="21" t="str">
        <f>IFERROR(__xludf.DUMMYFUNCTION("""COMPUTED_VALUE"""),"")</f>
        <v/>
      </c>
      <c r="G82" s="23" t="str">
        <f>IFERROR(__xludf.DUMMYFUNCTION("""COMPUTED_VALUE"""),"")</f>
        <v/>
      </c>
      <c r="H82" s="4"/>
      <c r="I82" s="5" t="s">
        <v>2203</v>
      </c>
      <c r="J82" s="5" t="s">
        <v>2133</v>
      </c>
      <c r="K82" s="5">
        <v>35.0</v>
      </c>
      <c r="L82" s="5">
        <v>0.475162</v>
      </c>
      <c r="M82" s="5">
        <v>-0.011616</v>
      </c>
      <c r="N82" s="5">
        <v>0.463546</v>
      </c>
      <c r="O82" s="5">
        <v>0.027084</v>
      </c>
    </row>
    <row r="83">
      <c r="A83" s="12" t="str">
        <f>IFERROR(__xludf.DUMMYFUNCTION("""COMPUTED_VALUE"""),"")</f>
        <v/>
      </c>
      <c r="B83" s="13" t="str">
        <f>IFERROR(__xludf.DUMMYFUNCTION("""COMPUTED_VALUE"""),"")</f>
        <v/>
      </c>
      <c r="C83" s="14" t="str">
        <f>IFERROR(__xludf.DUMMYFUNCTION("""COMPUTED_VALUE"""),"")</f>
        <v/>
      </c>
      <c r="D83" s="15" t="str">
        <f>IFERROR(__xludf.DUMMYFUNCTION("""COMPUTED_VALUE"""),"")</f>
        <v/>
      </c>
      <c r="E83" s="15" t="str">
        <f>IFERROR(__xludf.DUMMYFUNCTION("""COMPUTED_VALUE"""),"")</f>
        <v/>
      </c>
      <c r="F83" s="15" t="str">
        <f>IFERROR(__xludf.DUMMYFUNCTION("""COMPUTED_VALUE"""),"")</f>
        <v/>
      </c>
      <c r="G83" s="17" t="str">
        <f>IFERROR(__xludf.DUMMYFUNCTION("""COMPUTED_VALUE"""),"")</f>
        <v/>
      </c>
      <c r="H83" s="4"/>
      <c r="I83" s="5" t="s">
        <v>2206</v>
      </c>
      <c r="J83" s="5" t="s">
        <v>54</v>
      </c>
      <c r="K83" s="5">
        <v>495.0</v>
      </c>
      <c r="L83" s="5">
        <v>-0.618476</v>
      </c>
      <c r="M83" s="5">
        <v>1.045781</v>
      </c>
      <c r="N83" s="5">
        <v>0.427305</v>
      </c>
      <c r="O83" s="5">
        <v>0.363562</v>
      </c>
    </row>
    <row r="84">
      <c r="A84" s="18" t="str">
        <f>IFERROR(__xludf.DUMMYFUNCTION("""COMPUTED_VALUE"""),"")</f>
        <v/>
      </c>
      <c r="B84" s="19" t="str">
        <f>IFERROR(__xludf.DUMMYFUNCTION("""COMPUTED_VALUE"""),"")</f>
        <v/>
      </c>
      <c r="C84" s="20" t="str">
        <f>IFERROR(__xludf.DUMMYFUNCTION("""COMPUTED_VALUE"""),"")</f>
        <v/>
      </c>
      <c r="D84" s="21" t="str">
        <f>IFERROR(__xludf.DUMMYFUNCTION("""COMPUTED_VALUE"""),"")</f>
        <v/>
      </c>
      <c r="E84" s="21" t="str">
        <f>IFERROR(__xludf.DUMMYFUNCTION("""COMPUTED_VALUE"""),"")</f>
        <v/>
      </c>
      <c r="F84" s="21" t="str">
        <f>IFERROR(__xludf.DUMMYFUNCTION("""COMPUTED_VALUE"""),"")</f>
        <v/>
      </c>
      <c r="G84" s="23" t="str">
        <f>IFERROR(__xludf.DUMMYFUNCTION("""COMPUTED_VALUE"""),"")</f>
        <v/>
      </c>
      <c r="H84" s="4"/>
      <c r="I84" s="5" t="s">
        <v>353</v>
      </c>
      <c r="J84" s="5" t="s">
        <v>118</v>
      </c>
      <c r="K84" s="5">
        <v>571.0</v>
      </c>
      <c r="L84" s="5">
        <v>1.565106</v>
      </c>
      <c r="M84" s="5">
        <v>-1.141088</v>
      </c>
      <c r="N84" s="5">
        <v>0.424018</v>
      </c>
      <c r="O84" s="5">
        <v>0.419128</v>
      </c>
    </row>
    <row r="85">
      <c r="A85" s="12" t="str">
        <f>IFERROR(__xludf.DUMMYFUNCTION("""COMPUTED_VALUE"""),"")</f>
        <v/>
      </c>
      <c r="B85" s="13" t="str">
        <f>IFERROR(__xludf.DUMMYFUNCTION("""COMPUTED_VALUE"""),"")</f>
        <v/>
      </c>
      <c r="C85" s="14" t="str">
        <f>IFERROR(__xludf.DUMMYFUNCTION("""COMPUTED_VALUE"""),"")</f>
        <v/>
      </c>
      <c r="D85" s="15" t="str">
        <f>IFERROR(__xludf.DUMMYFUNCTION("""COMPUTED_VALUE"""),"")</f>
        <v/>
      </c>
      <c r="E85" s="15" t="str">
        <f>IFERROR(__xludf.DUMMYFUNCTION("""COMPUTED_VALUE"""),"")</f>
        <v/>
      </c>
      <c r="F85" s="15" t="str">
        <f>IFERROR(__xludf.DUMMYFUNCTION("""COMPUTED_VALUE"""),"")</f>
        <v/>
      </c>
      <c r="G85" s="17" t="str">
        <f>IFERROR(__xludf.DUMMYFUNCTION("""COMPUTED_VALUE"""),"")</f>
        <v/>
      </c>
      <c r="H85" s="4"/>
      <c r="I85" s="5" t="s">
        <v>2209</v>
      </c>
      <c r="J85" s="5" t="s">
        <v>2121</v>
      </c>
      <c r="K85" s="5">
        <v>552.0</v>
      </c>
      <c r="L85" s="5">
        <v>1.630802</v>
      </c>
      <c r="M85" s="5">
        <v>-1.241517</v>
      </c>
      <c r="N85" s="5">
        <v>0.389286</v>
      </c>
      <c r="O85" s="5">
        <v>0.408223</v>
      </c>
    </row>
    <row r="86">
      <c r="A86" s="18" t="str">
        <f>IFERROR(__xludf.DUMMYFUNCTION("""COMPUTED_VALUE"""),"")</f>
        <v/>
      </c>
      <c r="B86" s="19" t="str">
        <f>IFERROR(__xludf.DUMMYFUNCTION("""COMPUTED_VALUE"""),"")</f>
        <v/>
      </c>
      <c r="C86" s="20" t="str">
        <f>IFERROR(__xludf.DUMMYFUNCTION("""COMPUTED_VALUE"""),"")</f>
        <v/>
      </c>
      <c r="D86" s="21" t="str">
        <f>IFERROR(__xludf.DUMMYFUNCTION("""COMPUTED_VALUE"""),"")</f>
        <v/>
      </c>
      <c r="E86" s="21" t="str">
        <f>IFERROR(__xludf.DUMMYFUNCTION("""COMPUTED_VALUE"""),"")</f>
        <v/>
      </c>
      <c r="F86" s="21" t="str">
        <f>IFERROR(__xludf.DUMMYFUNCTION("""COMPUTED_VALUE"""),"")</f>
        <v/>
      </c>
      <c r="G86" s="23" t="str">
        <f>IFERROR(__xludf.DUMMYFUNCTION("""COMPUTED_VALUE"""),"")</f>
        <v/>
      </c>
      <c r="H86" s="4"/>
      <c r="I86" s="5" t="s">
        <v>2212</v>
      </c>
      <c r="J86" s="5" t="s">
        <v>2124</v>
      </c>
      <c r="K86" s="24">
        <v>891.0</v>
      </c>
      <c r="L86" s="5">
        <v>0.983457</v>
      </c>
      <c r="M86" s="5">
        <v>-0.705192</v>
      </c>
      <c r="N86" s="5">
        <v>0.278264</v>
      </c>
      <c r="O86" s="5">
        <v>0.611928</v>
      </c>
    </row>
    <row r="87">
      <c r="A87" s="12" t="str">
        <f>IFERROR(__xludf.DUMMYFUNCTION("""COMPUTED_VALUE"""),"")</f>
        <v/>
      </c>
      <c r="B87" s="13" t="str">
        <f>IFERROR(__xludf.DUMMYFUNCTION("""COMPUTED_VALUE"""),"")</f>
        <v/>
      </c>
      <c r="C87" s="14" t="str">
        <f>IFERROR(__xludf.DUMMYFUNCTION("""COMPUTED_VALUE"""),"")</f>
        <v/>
      </c>
      <c r="D87" s="15" t="str">
        <f>IFERROR(__xludf.DUMMYFUNCTION("""COMPUTED_VALUE"""),"")</f>
        <v/>
      </c>
      <c r="E87" s="15" t="str">
        <f>IFERROR(__xludf.DUMMYFUNCTION("""COMPUTED_VALUE"""),"")</f>
        <v/>
      </c>
      <c r="F87" s="15" t="str">
        <f>IFERROR(__xludf.DUMMYFUNCTION("""COMPUTED_VALUE"""),"")</f>
        <v/>
      </c>
      <c r="G87" s="17" t="str">
        <f>IFERROR(__xludf.DUMMYFUNCTION("""COMPUTED_VALUE"""),"")</f>
        <v/>
      </c>
      <c r="H87" s="4"/>
      <c r="I87" s="5" t="s">
        <v>2215</v>
      </c>
      <c r="J87" s="5" t="s">
        <v>2124</v>
      </c>
      <c r="K87" s="5">
        <v>346.0</v>
      </c>
      <c r="L87" s="5">
        <v>0.133861</v>
      </c>
      <c r="M87" s="5">
        <v>0.136197</v>
      </c>
      <c r="N87" s="5">
        <v>0.270058</v>
      </c>
      <c r="O87" s="5">
        <v>0.236773</v>
      </c>
    </row>
    <row r="88">
      <c r="A88" s="18" t="str">
        <f>IFERROR(__xludf.DUMMYFUNCTION("""COMPUTED_VALUE"""),"")</f>
        <v/>
      </c>
      <c r="B88" s="19" t="str">
        <f>IFERROR(__xludf.DUMMYFUNCTION("""COMPUTED_VALUE"""),"")</f>
        <v/>
      </c>
      <c r="C88" s="20" t="str">
        <f>IFERROR(__xludf.DUMMYFUNCTION("""COMPUTED_VALUE"""),"")</f>
        <v/>
      </c>
      <c r="D88" s="21" t="str">
        <f>IFERROR(__xludf.DUMMYFUNCTION("""COMPUTED_VALUE"""),"")</f>
        <v/>
      </c>
      <c r="E88" s="21" t="str">
        <f>IFERROR(__xludf.DUMMYFUNCTION("""COMPUTED_VALUE"""),"")</f>
        <v/>
      </c>
      <c r="F88" s="21" t="str">
        <f>IFERROR(__xludf.DUMMYFUNCTION("""COMPUTED_VALUE"""),"")</f>
        <v/>
      </c>
      <c r="G88" s="23" t="str">
        <f>IFERROR(__xludf.DUMMYFUNCTION("""COMPUTED_VALUE"""),"")</f>
        <v/>
      </c>
      <c r="H88" s="4"/>
      <c r="I88" s="5" t="s">
        <v>1525</v>
      </c>
      <c r="J88" s="5" t="s">
        <v>2167</v>
      </c>
      <c r="K88" s="5">
        <v>189.0</v>
      </c>
      <c r="L88" s="5">
        <v>-0.255173</v>
      </c>
      <c r="M88" s="5">
        <v>0.513653</v>
      </c>
      <c r="N88" s="5">
        <v>0.25848</v>
      </c>
      <c r="O88" s="5">
        <v>0.129598</v>
      </c>
    </row>
    <row r="89">
      <c r="A89" s="12" t="str">
        <f>IFERROR(__xludf.DUMMYFUNCTION("""COMPUTED_VALUE"""),"")</f>
        <v/>
      </c>
      <c r="B89" s="13" t="str">
        <f>IFERROR(__xludf.DUMMYFUNCTION("""COMPUTED_VALUE"""),"")</f>
        <v/>
      </c>
      <c r="C89" s="14" t="str">
        <f>IFERROR(__xludf.DUMMYFUNCTION("""COMPUTED_VALUE"""),"")</f>
        <v/>
      </c>
      <c r="D89" s="15" t="str">
        <f>IFERROR(__xludf.DUMMYFUNCTION("""COMPUTED_VALUE"""),"")</f>
        <v/>
      </c>
      <c r="E89" s="15" t="str">
        <f>IFERROR(__xludf.DUMMYFUNCTION("""COMPUTED_VALUE"""),"")</f>
        <v/>
      </c>
      <c r="F89" s="15" t="str">
        <f>IFERROR(__xludf.DUMMYFUNCTION("""COMPUTED_VALUE"""),"")</f>
        <v/>
      </c>
      <c r="G89" s="17" t="str">
        <f>IFERROR(__xludf.DUMMYFUNCTION("""COMPUTED_VALUE"""),"")</f>
        <v/>
      </c>
      <c r="H89" s="4"/>
      <c r="I89" s="5" t="s">
        <v>439</v>
      </c>
      <c r="J89" s="5" t="s">
        <v>118</v>
      </c>
      <c r="K89" s="24">
        <v>524.0</v>
      </c>
      <c r="L89" s="5">
        <v>-1.031536</v>
      </c>
      <c r="M89" s="5">
        <v>1.287955</v>
      </c>
      <c r="N89" s="5">
        <v>0.256419</v>
      </c>
      <c r="O89" s="5">
        <v>0.358036</v>
      </c>
    </row>
    <row r="90">
      <c r="A90" s="18" t="str">
        <f>IFERROR(__xludf.DUMMYFUNCTION("""COMPUTED_VALUE"""),"")</f>
        <v/>
      </c>
      <c r="B90" s="19" t="str">
        <f>IFERROR(__xludf.DUMMYFUNCTION("""COMPUTED_VALUE"""),"")</f>
        <v/>
      </c>
      <c r="C90" s="20" t="str">
        <f>IFERROR(__xludf.DUMMYFUNCTION("""COMPUTED_VALUE"""),"")</f>
        <v/>
      </c>
      <c r="D90" s="21" t="str">
        <f>IFERROR(__xludf.DUMMYFUNCTION("""COMPUTED_VALUE"""),"")</f>
        <v/>
      </c>
      <c r="E90" s="21" t="str">
        <f>IFERROR(__xludf.DUMMYFUNCTION("""COMPUTED_VALUE"""),"")</f>
        <v/>
      </c>
      <c r="F90" s="21" t="str">
        <f>IFERROR(__xludf.DUMMYFUNCTION("""COMPUTED_VALUE"""),"")</f>
        <v/>
      </c>
      <c r="G90" s="23" t="str">
        <f>IFERROR(__xludf.DUMMYFUNCTION("""COMPUTED_VALUE"""),"")</f>
        <v/>
      </c>
      <c r="H90" s="4"/>
      <c r="I90" s="5" t="s">
        <v>2222</v>
      </c>
      <c r="J90" s="5" t="s">
        <v>2130</v>
      </c>
      <c r="K90" s="5">
        <v>12.0</v>
      </c>
      <c r="L90" s="5">
        <v>0.073433</v>
      </c>
      <c r="M90" s="5">
        <v>0.139473</v>
      </c>
      <c r="N90" s="5">
        <v>0.212906</v>
      </c>
      <c r="O90" s="5">
        <v>0.008229</v>
      </c>
    </row>
    <row r="91">
      <c r="A91" s="12" t="str">
        <f>IFERROR(__xludf.DUMMYFUNCTION("""COMPUTED_VALUE"""),"")</f>
        <v/>
      </c>
      <c r="B91" s="13" t="str">
        <f>IFERROR(__xludf.DUMMYFUNCTION("""COMPUTED_VALUE"""),"")</f>
        <v/>
      </c>
      <c r="C91" s="14" t="str">
        <f>IFERROR(__xludf.DUMMYFUNCTION("""COMPUTED_VALUE"""),"")</f>
        <v/>
      </c>
      <c r="D91" s="15" t="str">
        <f>IFERROR(__xludf.DUMMYFUNCTION("""COMPUTED_VALUE"""),"")</f>
        <v/>
      </c>
      <c r="E91" s="15" t="str">
        <f>IFERROR(__xludf.DUMMYFUNCTION("""COMPUTED_VALUE"""),"")</f>
        <v/>
      </c>
      <c r="F91" s="15" t="str">
        <f>IFERROR(__xludf.DUMMYFUNCTION("""COMPUTED_VALUE"""),"")</f>
        <v/>
      </c>
      <c r="G91" s="17" t="str">
        <f>IFERROR(__xludf.DUMMYFUNCTION("""COMPUTED_VALUE"""),"")</f>
        <v/>
      </c>
      <c r="H91" s="4"/>
      <c r="I91" s="5" t="s">
        <v>2224</v>
      </c>
      <c r="J91" s="5" t="s">
        <v>2143</v>
      </c>
      <c r="K91" s="5">
        <v>2.0</v>
      </c>
      <c r="L91" s="5">
        <v>0.228318</v>
      </c>
      <c r="M91" s="5">
        <v>-0.055892</v>
      </c>
      <c r="N91" s="5">
        <v>0.172426</v>
      </c>
      <c r="O91" s="5">
        <v>0.00135</v>
      </c>
    </row>
    <row r="92">
      <c r="A92" s="18" t="str">
        <f>IFERROR(__xludf.DUMMYFUNCTION("""COMPUTED_VALUE"""),"")</f>
        <v/>
      </c>
      <c r="B92" s="19" t="str">
        <f>IFERROR(__xludf.DUMMYFUNCTION("""COMPUTED_VALUE"""),"")</f>
        <v/>
      </c>
      <c r="C92" s="20" t="str">
        <f>IFERROR(__xludf.DUMMYFUNCTION("""COMPUTED_VALUE"""),"")</f>
        <v/>
      </c>
      <c r="D92" s="21" t="str">
        <f>IFERROR(__xludf.DUMMYFUNCTION("""COMPUTED_VALUE"""),"")</f>
        <v/>
      </c>
      <c r="E92" s="21" t="str">
        <f>IFERROR(__xludf.DUMMYFUNCTION("""COMPUTED_VALUE"""),"")</f>
        <v/>
      </c>
      <c r="F92" s="21" t="str">
        <f>IFERROR(__xludf.DUMMYFUNCTION("""COMPUTED_VALUE"""),"")</f>
        <v/>
      </c>
      <c r="G92" s="23" t="str">
        <f>IFERROR(__xludf.DUMMYFUNCTION("""COMPUTED_VALUE"""),"")</f>
        <v/>
      </c>
      <c r="H92" s="4"/>
      <c r="I92" s="5" t="s">
        <v>2227</v>
      </c>
      <c r="J92" s="5" t="s">
        <v>2140</v>
      </c>
      <c r="K92" s="5">
        <v>777.0</v>
      </c>
      <c r="L92" s="5">
        <v>1.05274</v>
      </c>
      <c r="M92" s="5">
        <v>-0.927761</v>
      </c>
      <c r="N92" s="5">
        <v>0.124978</v>
      </c>
      <c r="O92" s="5">
        <v>0.498732</v>
      </c>
    </row>
    <row r="93">
      <c r="A93" s="12" t="str">
        <f>IFERROR(__xludf.DUMMYFUNCTION("""COMPUTED_VALUE"""),"")</f>
        <v/>
      </c>
      <c r="B93" s="13" t="str">
        <f>IFERROR(__xludf.DUMMYFUNCTION("""COMPUTED_VALUE"""),"")</f>
        <v/>
      </c>
      <c r="C93" s="14" t="str">
        <f>IFERROR(__xludf.DUMMYFUNCTION("""COMPUTED_VALUE"""),"")</f>
        <v/>
      </c>
      <c r="D93" s="15" t="str">
        <f>IFERROR(__xludf.DUMMYFUNCTION("""COMPUTED_VALUE"""),"")</f>
        <v/>
      </c>
      <c r="E93" s="15" t="str">
        <f>IFERROR(__xludf.DUMMYFUNCTION("""COMPUTED_VALUE"""),"")</f>
        <v/>
      </c>
      <c r="F93" s="15" t="str">
        <f>IFERROR(__xludf.DUMMYFUNCTION("""COMPUTED_VALUE"""),"")</f>
        <v/>
      </c>
      <c r="G93" s="17" t="str">
        <f>IFERROR(__xludf.DUMMYFUNCTION("""COMPUTED_VALUE"""),"")</f>
        <v/>
      </c>
      <c r="H93" s="4"/>
      <c r="I93" s="5" t="s">
        <v>2230</v>
      </c>
      <c r="J93" s="5" t="s">
        <v>2231</v>
      </c>
      <c r="K93" s="5">
        <v>933.0</v>
      </c>
      <c r="L93" s="5">
        <v>-0.458604</v>
      </c>
      <c r="M93" s="5">
        <v>0.573181</v>
      </c>
      <c r="N93" s="5">
        <v>0.114577</v>
      </c>
      <c r="O93" s="5">
        <v>0.596523</v>
      </c>
    </row>
    <row r="94">
      <c r="A94" s="18" t="str">
        <f>IFERROR(__xludf.DUMMYFUNCTION("""COMPUTED_VALUE"""),"")</f>
        <v/>
      </c>
      <c r="B94" s="19" t="str">
        <f>IFERROR(__xludf.DUMMYFUNCTION("""COMPUTED_VALUE"""),"")</f>
        <v/>
      </c>
      <c r="C94" s="20" t="str">
        <f>IFERROR(__xludf.DUMMYFUNCTION("""COMPUTED_VALUE"""),"")</f>
        <v/>
      </c>
      <c r="D94" s="21" t="str">
        <f>IFERROR(__xludf.DUMMYFUNCTION("""COMPUTED_VALUE"""),"")</f>
        <v/>
      </c>
      <c r="E94" s="21" t="str">
        <f>IFERROR(__xludf.DUMMYFUNCTION("""COMPUTED_VALUE"""),"")</f>
        <v/>
      </c>
      <c r="F94" s="21" t="str">
        <f>IFERROR(__xludf.DUMMYFUNCTION("""COMPUTED_VALUE"""),"")</f>
        <v/>
      </c>
      <c r="G94" s="23" t="str">
        <f>IFERROR(__xludf.DUMMYFUNCTION("""COMPUTED_VALUE"""),"")</f>
        <v/>
      </c>
      <c r="H94" s="4"/>
      <c r="I94" s="5" t="s">
        <v>2233</v>
      </c>
      <c r="J94" s="5" t="s">
        <v>2130</v>
      </c>
      <c r="K94" s="5">
        <v>3.0</v>
      </c>
      <c r="L94" s="5">
        <v>-0.072774</v>
      </c>
      <c r="M94" s="5">
        <v>0.166172</v>
      </c>
      <c r="N94" s="5">
        <v>0.093398</v>
      </c>
      <c r="O94" s="5">
        <v>0.001946</v>
      </c>
    </row>
    <row r="95">
      <c r="A95" s="12" t="str">
        <f>IFERROR(__xludf.DUMMYFUNCTION("""COMPUTED_VALUE"""),"")</f>
        <v/>
      </c>
      <c r="B95" s="13" t="str">
        <f>IFERROR(__xludf.DUMMYFUNCTION("""COMPUTED_VALUE"""),"")</f>
        <v/>
      </c>
      <c r="C95" s="14" t="str">
        <f>IFERROR(__xludf.DUMMYFUNCTION("""COMPUTED_VALUE"""),"")</f>
        <v/>
      </c>
      <c r="D95" s="15" t="str">
        <f>IFERROR(__xludf.DUMMYFUNCTION("""COMPUTED_VALUE"""),"")</f>
        <v/>
      </c>
      <c r="E95" s="15" t="str">
        <f>IFERROR(__xludf.DUMMYFUNCTION("""COMPUTED_VALUE"""),"")</f>
        <v/>
      </c>
      <c r="F95" s="15" t="str">
        <f>IFERROR(__xludf.DUMMYFUNCTION("""COMPUTED_VALUE"""),"")</f>
        <v/>
      </c>
      <c r="G95" s="17" t="str">
        <f>IFERROR(__xludf.DUMMYFUNCTION("""COMPUTED_VALUE"""),"")</f>
        <v/>
      </c>
      <c r="H95" s="4"/>
      <c r="I95" s="5" t="s">
        <v>38</v>
      </c>
      <c r="J95" s="5" t="s">
        <v>2133</v>
      </c>
      <c r="K95" s="5">
        <v>164.0</v>
      </c>
      <c r="L95" s="5">
        <v>0.891604</v>
      </c>
      <c r="M95" s="5">
        <v>-0.81858</v>
      </c>
      <c r="N95" s="5">
        <v>0.073025</v>
      </c>
      <c r="O95" s="5">
        <v>0.106792</v>
      </c>
    </row>
    <row r="96">
      <c r="A96" s="18" t="str">
        <f>IFERROR(__xludf.DUMMYFUNCTION("""COMPUTED_VALUE"""),"")</f>
        <v/>
      </c>
      <c r="B96" s="19" t="str">
        <f>IFERROR(__xludf.DUMMYFUNCTION("""COMPUTED_VALUE"""),"")</f>
        <v/>
      </c>
      <c r="C96" s="20" t="str">
        <f>IFERROR(__xludf.DUMMYFUNCTION("""COMPUTED_VALUE"""),"")</f>
        <v/>
      </c>
      <c r="D96" s="21" t="str">
        <f>IFERROR(__xludf.DUMMYFUNCTION("""COMPUTED_VALUE"""),"")</f>
        <v/>
      </c>
      <c r="E96" s="21" t="str">
        <f>IFERROR(__xludf.DUMMYFUNCTION("""COMPUTED_VALUE"""),"")</f>
        <v/>
      </c>
      <c r="F96" s="21" t="str">
        <f>IFERROR(__xludf.DUMMYFUNCTION("""COMPUTED_VALUE"""),"")</f>
        <v/>
      </c>
      <c r="G96" s="23" t="str">
        <f>IFERROR(__xludf.DUMMYFUNCTION("""COMPUTED_VALUE"""),"")</f>
        <v/>
      </c>
      <c r="H96" s="4"/>
      <c r="I96" s="5" t="s">
        <v>2237</v>
      </c>
      <c r="J96" s="5" t="s">
        <v>2119</v>
      </c>
      <c r="K96" s="24">
        <v>1.0</v>
      </c>
      <c r="L96" s="5">
        <v>0.091537</v>
      </c>
      <c r="M96" s="5">
        <v>-0.046409</v>
      </c>
      <c r="N96" s="5">
        <v>0.045128</v>
      </c>
      <c r="O96" s="5">
        <v>6.61E-4</v>
      </c>
    </row>
    <row r="97">
      <c r="A97" s="12" t="str">
        <f>IFERROR(__xludf.DUMMYFUNCTION("""COMPUTED_VALUE"""),"")</f>
        <v/>
      </c>
      <c r="B97" s="13" t="str">
        <f>IFERROR(__xludf.DUMMYFUNCTION("""COMPUTED_VALUE"""),"")</f>
        <v/>
      </c>
      <c r="C97" s="14" t="str">
        <f>IFERROR(__xludf.DUMMYFUNCTION("""COMPUTED_VALUE"""),"")</f>
        <v/>
      </c>
      <c r="D97" s="15" t="str">
        <f>IFERROR(__xludf.DUMMYFUNCTION("""COMPUTED_VALUE"""),"")</f>
        <v/>
      </c>
      <c r="E97" s="15" t="str">
        <f>IFERROR(__xludf.DUMMYFUNCTION("""COMPUTED_VALUE"""),"")</f>
        <v/>
      </c>
      <c r="F97" s="15" t="str">
        <f>IFERROR(__xludf.DUMMYFUNCTION("""COMPUTED_VALUE"""),"")</f>
        <v/>
      </c>
      <c r="G97" s="17" t="str">
        <f>IFERROR(__xludf.DUMMYFUNCTION("""COMPUTED_VALUE"""),"")</f>
        <v/>
      </c>
      <c r="H97" s="4"/>
      <c r="I97" s="5" t="s">
        <v>2238</v>
      </c>
      <c r="J97" s="5" t="s">
        <v>118</v>
      </c>
      <c r="K97" s="5">
        <v>7.0</v>
      </c>
      <c r="L97" s="5">
        <v>0.176598</v>
      </c>
      <c r="M97" s="5">
        <v>-0.136017</v>
      </c>
      <c r="N97" s="5">
        <v>0.040581</v>
      </c>
      <c r="O97" s="5">
        <v>0.004325</v>
      </c>
    </row>
    <row r="98">
      <c r="A98" s="18" t="str">
        <f>IFERROR(__xludf.DUMMYFUNCTION("""COMPUTED_VALUE"""),"")</f>
        <v/>
      </c>
      <c r="B98" s="19" t="str">
        <f>IFERROR(__xludf.DUMMYFUNCTION("""COMPUTED_VALUE"""),"")</f>
        <v/>
      </c>
      <c r="C98" s="20" t="str">
        <f>IFERROR(__xludf.DUMMYFUNCTION("""COMPUTED_VALUE"""),"")</f>
        <v/>
      </c>
      <c r="D98" s="21" t="str">
        <f>IFERROR(__xludf.DUMMYFUNCTION("""COMPUTED_VALUE"""),"")</f>
        <v/>
      </c>
      <c r="E98" s="21" t="str">
        <f>IFERROR(__xludf.DUMMYFUNCTION("""COMPUTED_VALUE"""),"")</f>
        <v/>
      </c>
      <c r="F98" s="21" t="str">
        <f>IFERROR(__xludf.DUMMYFUNCTION("""COMPUTED_VALUE"""),"")</f>
        <v/>
      </c>
      <c r="G98" s="23" t="str">
        <f>IFERROR(__xludf.DUMMYFUNCTION("""COMPUTED_VALUE"""),"")</f>
        <v/>
      </c>
      <c r="H98" s="4"/>
      <c r="I98" s="5" t="s">
        <v>2240</v>
      </c>
      <c r="J98" s="5" t="s">
        <v>2143</v>
      </c>
      <c r="K98" s="24">
        <v>201.0</v>
      </c>
      <c r="L98" s="5">
        <v>-0.394951</v>
      </c>
      <c r="M98" s="5">
        <v>0.385351</v>
      </c>
      <c r="N98" s="5">
        <v>-0.0096</v>
      </c>
      <c r="O98" s="5">
        <v>0.12435</v>
      </c>
    </row>
    <row r="99">
      <c r="A99" s="12" t="str">
        <f>IFERROR(__xludf.DUMMYFUNCTION("""COMPUTED_VALUE"""),"")</f>
        <v/>
      </c>
      <c r="B99" s="13" t="str">
        <f>IFERROR(__xludf.DUMMYFUNCTION("""COMPUTED_VALUE"""),"")</f>
        <v/>
      </c>
      <c r="C99" s="14" t="str">
        <f>IFERROR(__xludf.DUMMYFUNCTION("""COMPUTED_VALUE"""),"")</f>
        <v/>
      </c>
      <c r="D99" s="15" t="str">
        <f>IFERROR(__xludf.DUMMYFUNCTION("""COMPUTED_VALUE"""),"")</f>
        <v/>
      </c>
      <c r="E99" s="15" t="str">
        <f>IFERROR(__xludf.DUMMYFUNCTION("""COMPUTED_VALUE"""),"")</f>
        <v/>
      </c>
      <c r="F99" s="15" t="str">
        <f>IFERROR(__xludf.DUMMYFUNCTION("""COMPUTED_VALUE"""),"")</f>
        <v/>
      </c>
      <c r="G99" s="17" t="str">
        <f>IFERROR(__xludf.DUMMYFUNCTION("""COMPUTED_VALUE"""),"")</f>
        <v/>
      </c>
      <c r="H99" s="4"/>
      <c r="I99" s="5" t="s">
        <v>2242</v>
      </c>
      <c r="J99" s="5" t="s">
        <v>2121</v>
      </c>
      <c r="K99" s="5">
        <v>1.0</v>
      </c>
      <c r="L99" s="5">
        <v>-0.01432</v>
      </c>
      <c r="M99" s="5">
        <v>0.003691</v>
      </c>
      <c r="N99" s="5">
        <v>-0.010629</v>
      </c>
      <c r="O99" s="5">
        <v>6.16E-4</v>
      </c>
    </row>
    <row r="100">
      <c r="A100" s="18" t="str">
        <f>IFERROR(__xludf.DUMMYFUNCTION("""COMPUTED_VALUE"""),"")</f>
        <v/>
      </c>
      <c r="B100" s="19" t="str">
        <f>IFERROR(__xludf.DUMMYFUNCTION("""COMPUTED_VALUE"""),"")</f>
        <v/>
      </c>
      <c r="C100" s="20" t="str">
        <f>IFERROR(__xludf.DUMMYFUNCTION("""COMPUTED_VALUE"""),"")</f>
        <v/>
      </c>
      <c r="D100" s="21" t="str">
        <f>IFERROR(__xludf.DUMMYFUNCTION("""COMPUTED_VALUE"""),"")</f>
        <v/>
      </c>
      <c r="E100" s="21" t="str">
        <f>IFERROR(__xludf.DUMMYFUNCTION("""COMPUTED_VALUE"""),"")</f>
        <v/>
      </c>
      <c r="F100" s="21" t="str">
        <f>IFERROR(__xludf.DUMMYFUNCTION("""COMPUTED_VALUE"""),"")</f>
        <v/>
      </c>
      <c r="G100" s="23" t="str">
        <f>IFERROR(__xludf.DUMMYFUNCTION("""COMPUTED_VALUE"""),"")</f>
        <v/>
      </c>
      <c r="H100" s="4"/>
      <c r="I100" s="5" t="s">
        <v>2242</v>
      </c>
      <c r="J100" s="5" t="s">
        <v>2121</v>
      </c>
      <c r="K100" s="5">
        <v>1.0</v>
      </c>
      <c r="L100" s="5">
        <v>-0.01432</v>
      </c>
      <c r="M100" s="5">
        <v>0.003691</v>
      </c>
      <c r="N100" s="5">
        <v>-0.010629</v>
      </c>
      <c r="O100" s="5">
        <v>6.16E-4</v>
      </c>
    </row>
    <row r="101">
      <c r="A101" s="12" t="str">
        <f>IFERROR(__xludf.DUMMYFUNCTION("""COMPUTED_VALUE"""),"")</f>
        <v/>
      </c>
      <c r="B101" s="13" t="str">
        <f>IFERROR(__xludf.DUMMYFUNCTION("""COMPUTED_VALUE"""),"")</f>
        <v/>
      </c>
      <c r="C101" s="14" t="str">
        <f>IFERROR(__xludf.DUMMYFUNCTION("""COMPUTED_VALUE"""),"")</f>
        <v/>
      </c>
      <c r="D101" s="15" t="str">
        <f>IFERROR(__xludf.DUMMYFUNCTION("""COMPUTED_VALUE"""),"")</f>
        <v/>
      </c>
      <c r="E101" s="15" t="str">
        <f>IFERROR(__xludf.DUMMYFUNCTION("""COMPUTED_VALUE"""),"")</f>
        <v/>
      </c>
      <c r="F101" s="15" t="str">
        <f>IFERROR(__xludf.DUMMYFUNCTION("""COMPUTED_VALUE"""),"")</f>
        <v/>
      </c>
      <c r="G101" s="17" t="str">
        <f>IFERROR(__xludf.DUMMYFUNCTION("""COMPUTED_VALUE"""),"")</f>
        <v/>
      </c>
      <c r="H101" s="4"/>
      <c r="I101" s="5" t="s">
        <v>2245</v>
      </c>
      <c r="J101" s="5" t="s">
        <v>2130</v>
      </c>
      <c r="K101" s="5">
        <v>1.0</v>
      </c>
      <c r="L101" s="5">
        <v>-0.013293</v>
      </c>
      <c r="M101" s="5">
        <v>-4.06E-4</v>
      </c>
      <c r="N101" s="5">
        <v>-0.013699</v>
      </c>
      <c r="O101" s="5">
        <v>6.16E-4</v>
      </c>
    </row>
    <row r="102">
      <c r="A102" s="18" t="str">
        <f>IFERROR(__xludf.DUMMYFUNCTION("""COMPUTED_VALUE"""),"")</f>
        <v/>
      </c>
      <c r="B102" s="19" t="str">
        <f>IFERROR(__xludf.DUMMYFUNCTION("""COMPUTED_VALUE"""),"")</f>
        <v/>
      </c>
      <c r="C102" s="20" t="str">
        <f>IFERROR(__xludf.DUMMYFUNCTION("""COMPUTED_VALUE"""),"")</f>
        <v/>
      </c>
      <c r="D102" s="21" t="str">
        <f>IFERROR(__xludf.DUMMYFUNCTION("""COMPUTED_VALUE"""),"")</f>
        <v/>
      </c>
      <c r="E102" s="21" t="str">
        <f>IFERROR(__xludf.DUMMYFUNCTION("""COMPUTED_VALUE"""),"")</f>
        <v/>
      </c>
      <c r="F102" s="21" t="str">
        <f>IFERROR(__xludf.DUMMYFUNCTION("""COMPUTED_VALUE"""),"")</f>
        <v/>
      </c>
      <c r="G102" s="23" t="str">
        <f>IFERROR(__xludf.DUMMYFUNCTION("""COMPUTED_VALUE"""),"")</f>
        <v/>
      </c>
      <c r="H102" s="4"/>
      <c r="I102" s="5" t="s">
        <v>2246</v>
      </c>
      <c r="J102" s="5" t="s">
        <v>2126</v>
      </c>
      <c r="K102" s="5">
        <v>1.0</v>
      </c>
      <c r="L102" s="5">
        <v>-0.020646</v>
      </c>
      <c r="M102" s="5">
        <v>0.00325</v>
      </c>
      <c r="N102" s="5">
        <v>-0.017396</v>
      </c>
      <c r="O102" s="5">
        <v>6.17E-4</v>
      </c>
    </row>
    <row r="103">
      <c r="A103" s="12" t="str">
        <f>IFERROR(__xludf.DUMMYFUNCTION("""COMPUTED_VALUE"""),"")</f>
        <v/>
      </c>
      <c r="B103" s="13" t="str">
        <f>IFERROR(__xludf.DUMMYFUNCTION("""COMPUTED_VALUE"""),"")</f>
        <v/>
      </c>
      <c r="C103" s="14" t="str">
        <f>IFERROR(__xludf.DUMMYFUNCTION("""COMPUTED_VALUE"""),"")</f>
        <v/>
      </c>
      <c r="D103" s="15" t="str">
        <f>IFERROR(__xludf.DUMMYFUNCTION("""COMPUTED_VALUE"""),"")</f>
        <v/>
      </c>
      <c r="E103" s="15" t="str">
        <f>IFERROR(__xludf.DUMMYFUNCTION("""COMPUTED_VALUE"""),"")</f>
        <v/>
      </c>
      <c r="F103" s="15" t="str">
        <f>IFERROR(__xludf.DUMMYFUNCTION("""COMPUTED_VALUE"""),"")</f>
        <v/>
      </c>
      <c r="G103" s="17" t="str">
        <f>IFERROR(__xludf.DUMMYFUNCTION("""COMPUTED_VALUE"""),"")</f>
        <v/>
      </c>
      <c r="H103" s="4"/>
      <c r="I103" s="5" t="s">
        <v>2246</v>
      </c>
      <c r="J103" s="5" t="s">
        <v>2126</v>
      </c>
      <c r="K103" s="5">
        <v>1.0</v>
      </c>
      <c r="L103" s="5">
        <v>-0.020646</v>
      </c>
      <c r="M103" s="5">
        <v>0.00325</v>
      </c>
      <c r="N103" s="5">
        <v>-0.017396</v>
      </c>
      <c r="O103" s="5">
        <v>6.17E-4</v>
      </c>
    </row>
    <row r="104">
      <c r="A104" s="18" t="str">
        <f>IFERROR(__xludf.DUMMYFUNCTION("""COMPUTED_VALUE"""),"")</f>
        <v/>
      </c>
      <c r="B104" s="19" t="str">
        <f>IFERROR(__xludf.DUMMYFUNCTION("""COMPUTED_VALUE"""),"")</f>
        <v/>
      </c>
      <c r="C104" s="20" t="str">
        <f>IFERROR(__xludf.DUMMYFUNCTION("""COMPUTED_VALUE"""),"")</f>
        <v/>
      </c>
      <c r="D104" s="21" t="str">
        <f>IFERROR(__xludf.DUMMYFUNCTION("""COMPUTED_VALUE"""),"")</f>
        <v/>
      </c>
      <c r="E104" s="21" t="str">
        <f>IFERROR(__xludf.DUMMYFUNCTION("""COMPUTED_VALUE"""),"")</f>
        <v/>
      </c>
      <c r="F104" s="21" t="str">
        <f>IFERROR(__xludf.DUMMYFUNCTION("""COMPUTED_VALUE"""),"")</f>
        <v/>
      </c>
      <c r="G104" s="23" t="str">
        <f>IFERROR(__xludf.DUMMYFUNCTION("""COMPUTED_VALUE"""),"")</f>
        <v/>
      </c>
      <c r="H104" s="4"/>
      <c r="I104" s="5" t="s">
        <v>2249</v>
      </c>
      <c r="J104" s="5" t="s">
        <v>2149</v>
      </c>
      <c r="K104" s="5">
        <v>1.0</v>
      </c>
      <c r="L104" s="5">
        <v>-0.021424</v>
      </c>
      <c r="M104" s="5">
        <v>0.001537</v>
      </c>
      <c r="N104" s="5">
        <v>-0.019887</v>
      </c>
      <c r="O104" s="5">
        <v>6.17E-4</v>
      </c>
    </row>
    <row r="105">
      <c r="A105" s="12" t="str">
        <f>IFERROR(__xludf.DUMMYFUNCTION("""COMPUTED_VALUE"""),"")</f>
        <v/>
      </c>
      <c r="B105" s="13" t="str">
        <f>IFERROR(__xludf.DUMMYFUNCTION("""COMPUTED_VALUE"""),"")</f>
        <v/>
      </c>
      <c r="C105" s="14" t="str">
        <f>IFERROR(__xludf.DUMMYFUNCTION("""COMPUTED_VALUE"""),"")</f>
        <v/>
      </c>
      <c r="D105" s="15" t="str">
        <f>IFERROR(__xludf.DUMMYFUNCTION("""COMPUTED_VALUE"""),"")</f>
        <v/>
      </c>
      <c r="E105" s="15" t="str">
        <f>IFERROR(__xludf.DUMMYFUNCTION("""COMPUTED_VALUE"""),"")</f>
        <v/>
      </c>
      <c r="F105" s="15" t="str">
        <f>IFERROR(__xludf.DUMMYFUNCTION("""COMPUTED_VALUE"""),"")</f>
        <v/>
      </c>
      <c r="G105" s="17" t="str">
        <f>IFERROR(__xludf.DUMMYFUNCTION("""COMPUTED_VALUE"""),"")</f>
        <v/>
      </c>
      <c r="H105" s="4"/>
      <c r="I105" s="5" t="s">
        <v>2251</v>
      </c>
      <c r="J105" s="5" t="s">
        <v>2140</v>
      </c>
      <c r="K105" s="5">
        <v>1.0</v>
      </c>
      <c r="L105" s="5">
        <v>-0.019927</v>
      </c>
      <c r="M105" s="5">
        <v>-7.59E-4</v>
      </c>
      <c r="N105" s="5">
        <v>-0.020686</v>
      </c>
      <c r="O105" s="5">
        <v>5.98E-4</v>
      </c>
    </row>
    <row r="106">
      <c r="A106" s="18" t="str">
        <f>IFERROR(__xludf.DUMMYFUNCTION("""COMPUTED_VALUE"""),"")</f>
        <v/>
      </c>
      <c r="B106" s="19" t="str">
        <f>IFERROR(__xludf.DUMMYFUNCTION("""COMPUTED_VALUE"""),"")</f>
        <v/>
      </c>
      <c r="C106" s="20" t="str">
        <f>IFERROR(__xludf.DUMMYFUNCTION("""COMPUTED_VALUE"""),"")</f>
        <v/>
      </c>
      <c r="D106" s="21" t="str">
        <f>IFERROR(__xludf.DUMMYFUNCTION("""COMPUTED_VALUE"""),"")</f>
        <v/>
      </c>
      <c r="E106" s="21" t="str">
        <f>IFERROR(__xludf.DUMMYFUNCTION("""COMPUTED_VALUE"""),"")</f>
        <v/>
      </c>
      <c r="F106" s="21" t="str">
        <f>IFERROR(__xludf.DUMMYFUNCTION("""COMPUTED_VALUE"""),"")</f>
        <v/>
      </c>
      <c r="G106" s="23" t="str">
        <f>IFERROR(__xludf.DUMMYFUNCTION("""COMPUTED_VALUE"""),"")</f>
        <v/>
      </c>
      <c r="H106" s="4"/>
      <c r="I106" s="5" t="s">
        <v>2254</v>
      </c>
      <c r="J106" s="5" t="s">
        <v>2167</v>
      </c>
      <c r="K106" s="5">
        <v>1.0</v>
      </c>
      <c r="L106" s="5">
        <v>-0.022779</v>
      </c>
      <c r="M106" s="5">
        <v>5.99E-4</v>
      </c>
      <c r="N106" s="5">
        <v>-0.02218</v>
      </c>
      <c r="O106" s="5">
        <v>6.0E-4</v>
      </c>
    </row>
    <row r="107">
      <c r="A107" s="12" t="str">
        <f>IFERROR(__xludf.DUMMYFUNCTION("""COMPUTED_VALUE"""),"")</f>
        <v/>
      </c>
      <c r="B107" s="13" t="str">
        <f>IFERROR(__xludf.DUMMYFUNCTION("""COMPUTED_VALUE"""),"")</f>
        <v/>
      </c>
      <c r="C107" s="14" t="str">
        <f>IFERROR(__xludf.DUMMYFUNCTION("""COMPUTED_VALUE"""),"")</f>
        <v/>
      </c>
      <c r="D107" s="15" t="str">
        <f>IFERROR(__xludf.DUMMYFUNCTION("""COMPUTED_VALUE"""),"")</f>
        <v/>
      </c>
      <c r="E107" s="15" t="str">
        <f>IFERROR(__xludf.DUMMYFUNCTION("""COMPUTED_VALUE"""),"")</f>
        <v/>
      </c>
      <c r="F107" s="15" t="str">
        <f>IFERROR(__xludf.DUMMYFUNCTION("""COMPUTED_VALUE"""),"")</f>
        <v/>
      </c>
      <c r="G107" s="17" t="str">
        <f>IFERROR(__xludf.DUMMYFUNCTION("""COMPUTED_VALUE"""),"")</f>
        <v/>
      </c>
      <c r="H107" s="4"/>
      <c r="I107" s="5" t="s">
        <v>2257</v>
      </c>
      <c r="J107" s="5" t="s">
        <v>2231</v>
      </c>
      <c r="K107" s="5">
        <v>1.0</v>
      </c>
      <c r="L107" s="5">
        <v>-0.021915</v>
      </c>
      <c r="M107" s="5">
        <v>-0.005985</v>
      </c>
      <c r="N107" s="5">
        <v>-0.027899</v>
      </c>
      <c r="O107" s="5">
        <v>5.96E-4</v>
      </c>
    </row>
    <row r="108">
      <c r="A108" s="18" t="str">
        <f>IFERROR(__xludf.DUMMYFUNCTION("""COMPUTED_VALUE"""),"")</f>
        <v/>
      </c>
      <c r="B108" s="19" t="str">
        <f>IFERROR(__xludf.DUMMYFUNCTION("""COMPUTED_VALUE"""),"")</f>
        <v/>
      </c>
      <c r="C108" s="20" t="str">
        <f>IFERROR(__xludf.DUMMYFUNCTION("""COMPUTED_VALUE"""),"")</f>
        <v/>
      </c>
      <c r="D108" s="21" t="str">
        <f>IFERROR(__xludf.DUMMYFUNCTION("""COMPUTED_VALUE"""),"")</f>
        <v/>
      </c>
      <c r="E108" s="21" t="str">
        <f>IFERROR(__xludf.DUMMYFUNCTION("""COMPUTED_VALUE"""),"")</f>
        <v/>
      </c>
      <c r="F108" s="21" t="str">
        <f>IFERROR(__xludf.DUMMYFUNCTION("""COMPUTED_VALUE"""),"")</f>
        <v/>
      </c>
      <c r="G108" s="23" t="str">
        <f>IFERROR(__xludf.DUMMYFUNCTION("""COMPUTED_VALUE"""),"")</f>
        <v/>
      </c>
      <c r="H108" s="4"/>
      <c r="I108" s="5" t="s">
        <v>2258</v>
      </c>
      <c r="J108" s="5" t="s">
        <v>2169</v>
      </c>
      <c r="K108" s="5">
        <v>1.0</v>
      </c>
      <c r="L108" s="5">
        <v>-0.024928</v>
      </c>
      <c r="M108" s="5">
        <v>-0.004615</v>
      </c>
      <c r="N108" s="5">
        <v>-0.029543</v>
      </c>
      <c r="O108" s="5">
        <v>6.1E-4</v>
      </c>
    </row>
    <row r="109">
      <c r="A109" s="12" t="str">
        <f>IFERROR(__xludf.DUMMYFUNCTION("""COMPUTED_VALUE"""),"")</f>
        <v/>
      </c>
      <c r="B109" s="13" t="str">
        <f>IFERROR(__xludf.DUMMYFUNCTION("""COMPUTED_VALUE"""),"")</f>
        <v/>
      </c>
      <c r="C109" s="14" t="str">
        <f>IFERROR(__xludf.DUMMYFUNCTION("""COMPUTED_VALUE"""),"")</f>
        <v/>
      </c>
      <c r="D109" s="15" t="str">
        <f>IFERROR(__xludf.DUMMYFUNCTION("""COMPUTED_VALUE"""),"")</f>
        <v/>
      </c>
      <c r="E109" s="15" t="str">
        <f>IFERROR(__xludf.DUMMYFUNCTION("""COMPUTED_VALUE"""),"")</f>
        <v/>
      </c>
      <c r="F109" s="15" t="str">
        <f>IFERROR(__xludf.DUMMYFUNCTION("""COMPUTED_VALUE"""),"")</f>
        <v/>
      </c>
      <c r="G109" s="17" t="str">
        <f>IFERROR(__xludf.DUMMYFUNCTION("""COMPUTED_VALUE"""),"")</f>
        <v/>
      </c>
      <c r="H109" s="4"/>
      <c r="I109" s="5" t="s">
        <v>2260</v>
      </c>
      <c r="J109" s="5" t="s">
        <v>2143</v>
      </c>
      <c r="K109" s="5">
        <v>2.0</v>
      </c>
      <c r="L109" s="5">
        <v>-0.037504</v>
      </c>
      <c r="M109" s="5">
        <v>0.006237</v>
      </c>
      <c r="N109" s="5">
        <v>-0.031267</v>
      </c>
      <c r="O109" s="5">
        <v>0.001224</v>
      </c>
    </row>
    <row r="110">
      <c r="A110" s="18" t="str">
        <f>IFERROR(__xludf.DUMMYFUNCTION("""COMPUTED_VALUE"""),"")</f>
        <v/>
      </c>
      <c r="B110" s="19" t="str">
        <f>IFERROR(__xludf.DUMMYFUNCTION("""COMPUTED_VALUE"""),"")</f>
        <v/>
      </c>
      <c r="C110" s="20" t="str">
        <f>IFERROR(__xludf.DUMMYFUNCTION("""COMPUTED_VALUE"""),"")</f>
        <v/>
      </c>
      <c r="D110" s="21" t="str">
        <f>IFERROR(__xludf.DUMMYFUNCTION("""COMPUTED_VALUE"""),"")</f>
        <v/>
      </c>
      <c r="E110" s="21" t="str">
        <f>IFERROR(__xludf.DUMMYFUNCTION("""COMPUTED_VALUE"""),"")</f>
        <v/>
      </c>
      <c r="F110" s="21" t="str">
        <f>IFERROR(__xludf.DUMMYFUNCTION("""COMPUTED_VALUE"""),"")</f>
        <v/>
      </c>
      <c r="G110" s="23" t="str">
        <f>IFERROR(__xludf.DUMMYFUNCTION("""COMPUTED_VALUE"""),"")</f>
        <v/>
      </c>
      <c r="H110" s="4"/>
      <c r="I110" s="5" t="s">
        <v>2262</v>
      </c>
      <c r="J110" s="5" t="s">
        <v>2119</v>
      </c>
      <c r="K110" s="5">
        <v>2.0</v>
      </c>
      <c r="L110" s="5">
        <v>-0.038885</v>
      </c>
      <c r="M110" s="5">
        <v>0.004761</v>
      </c>
      <c r="N110" s="5">
        <v>-0.034123</v>
      </c>
      <c r="O110" s="5">
        <v>0.00127</v>
      </c>
    </row>
    <row r="111">
      <c r="A111" s="12" t="str">
        <f>IFERROR(__xludf.DUMMYFUNCTION("""COMPUTED_VALUE"""),"")</f>
        <v/>
      </c>
      <c r="B111" s="13" t="str">
        <f>IFERROR(__xludf.DUMMYFUNCTION("""COMPUTED_VALUE"""),"")</f>
        <v/>
      </c>
      <c r="C111" s="14" t="str">
        <f>IFERROR(__xludf.DUMMYFUNCTION("""COMPUTED_VALUE"""),"")</f>
        <v/>
      </c>
      <c r="D111" s="15" t="str">
        <f>IFERROR(__xludf.DUMMYFUNCTION("""COMPUTED_VALUE"""),"")</f>
        <v/>
      </c>
      <c r="E111" s="15" t="str">
        <f>IFERROR(__xludf.DUMMYFUNCTION("""COMPUTED_VALUE"""),"")</f>
        <v/>
      </c>
      <c r="F111" s="15" t="str">
        <f>IFERROR(__xludf.DUMMYFUNCTION("""COMPUTED_VALUE"""),"")</f>
        <v/>
      </c>
      <c r="G111" s="17" t="str">
        <f>IFERROR(__xludf.DUMMYFUNCTION("""COMPUTED_VALUE"""),"")</f>
        <v/>
      </c>
      <c r="H111" s="4"/>
      <c r="I111" s="5" t="s">
        <v>2264</v>
      </c>
      <c r="J111" s="5" t="s">
        <v>2231</v>
      </c>
      <c r="K111" s="5">
        <v>448.0</v>
      </c>
      <c r="L111" s="5">
        <v>-1.57124</v>
      </c>
      <c r="M111" s="5">
        <v>1.435519</v>
      </c>
      <c r="N111" s="5">
        <v>-0.135721</v>
      </c>
      <c r="O111" s="5">
        <v>0.252529</v>
      </c>
    </row>
    <row r="112">
      <c r="A112" s="18" t="str">
        <f>IFERROR(__xludf.DUMMYFUNCTION("""COMPUTED_VALUE"""),"")</f>
        <v/>
      </c>
      <c r="B112" s="19" t="str">
        <f>IFERROR(__xludf.DUMMYFUNCTION("""COMPUTED_VALUE"""),"")</f>
        <v/>
      </c>
      <c r="C112" s="20" t="str">
        <f>IFERROR(__xludf.DUMMYFUNCTION("""COMPUTED_VALUE"""),"")</f>
        <v/>
      </c>
      <c r="D112" s="21" t="str">
        <f>IFERROR(__xludf.DUMMYFUNCTION("""COMPUTED_VALUE"""),"")</f>
        <v/>
      </c>
      <c r="E112" s="21" t="str">
        <f>IFERROR(__xludf.DUMMYFUNCTION("""COMPUTED_VALUE"""),"")</f>
        <v/>
      </c>
      <c r="F112" s="21" t="str">
        <f>IFERROR(__xludf.DUMMYFUNCTION("""COMPUTED_VALUE"""),"")</f>
        <v/>
      </c>
      <c r="G112" s="23" t="str">
        <f>IFERROR(__xludf.DUMMYFUNCTION("""COMPUTED_VALUE"""),"")</f>
        <v/>
      </c>
      <c r="H112" s="4"/>
      <c r="I112" s="5" t="s">
        <v>2266</v>
      </c>
      <c r="J112" s="5" t="s">
        <v>2124</v>
      </c>
      <c r="K112" s="5">
        <v>1.0</v>
      </c>
      <c r="L112" s="5">
        <v>-0.091964</v>
      </c>
      <c r="M112" s="5">
        <v>-0.045889</v>
      </c>
      <c r="N112" s="5">
        <v>-0.137853</v>
      </c>
      <c r="O112" s="5">
        <v>5.61E-4</v>
      </c>
    </row>
    <row r="113">
      <c r="A113" s="12" t="str">
        <f>IFERROR(__xludf.DUMMYFUNCTION("""COMPUTED_VALUE"""),"")</f>
        <v/>
      </c>
      <c r="B113" s="13" t="str">
        <f>IFERROR(__xludf.DUMMYFUNCTION("""COMPUTED_VALUE"""),"")</f>
        <v/>
      </c>
      <c r="C113" s="14" t="str">
        <f>IFERROR(__xludf.DUMMYFUNCTION("""COMPUTED_VALUE"""),"")</f>
        <v/>
      </c>
      <c r="D113" s="15" t="str">
        <f>IFERROR(__xludf.DUMMYFUNCTION("""COMPUTED_VALUE"""),"")</f>
        <v/>
      </c>
      <c r="E113" s="15" t="str">
        <f>IFERROR(__xludf.DUMMYFUNCTION("""COMPUTED_VALUE"""),"")</f>
        <v/>
      </c>
      <c r="F113" s="15" t="str">
        <f>IFERROR(__xludf.DUMMYFUNCTION("""COMPUTED_VALUE"""),"")</f>
        <v/>
      </c>
      <c r="G113" s="17" t="str">
        <f>IFERROR(__xludf.DUMMYFUNCTION("""COMPUTED_VALUE"""),"")</f>
        <v/>
      </c>
      <c r="H113" s="4"/>
      <c r="I113" s="5" t="s">
        <v>2268</v>
      </c>
      <c r="J113" s="5" t="s">
        <v>2135</v>
      </c>
      <c r="K113" s="5">
        <v>1.0</v>
      </c>
      <c r="L113" s="5">
        <v>-0.093157</v>
      </c>
      <c r="M113" s="5">
        <v>-0.053308</v>
      </c>
      <c r="N113" s="5">
        <v>-0.146464</v>
      </c>
      <c r="O113" s="5">
        <v>5.62E-4</v>
      </c>
    </row>
    <row r="114">
      <c r="A114" s="18" t="str">
        <f>IFERROR(__xludf.DUMMYFUNCTION("""COMPUTED_VALUE"""),"")</f>
        <v/>
      </c>
      <c r="B114" s="19" t="str">
        <f>IFERROR(__xludf.DUMMYFUNCTION("""COMPUTED_VALUE"""),"")</f>
        <v/>
      </c>
      <c r="C114" s="20" t="str">
        <f>IFERROR(__xludf.DUMMYFUNCTION("""COMPUTED_VALUE"""),"")</f>
        <v/>
      </c>
      <c r="D114" s="21" t="str">
        <f>IFERROR(__xludf.DUMMYFUNCTION("""COMPUTED_VALUE"""),"")</f>
        <v/>
      </c>
      <c r="E114" s="21" t="str">
        <f>IFERROR(__xludf.DUMMYFUNCTION("""COMPUTED_VALUE"""),"")</f>
        <v/>
      </c>
      <c r="F114" s="21" t="str">
        <f>IFERROR(__xludf.DUMMYFUNCTION("""COMPUTED_VALUE"""),"")</f>
        <v/>
      </c>
      <c r="G114" s="23" t="str">
        <f>IFERROR(__xludf.DUMMYFUNCTION("""COMPUTED_VALUE"""),"")</f>
        <v/>
      </c>
      <c r="H114" s="4"/>
      <c r="I114" s="5" t="s">
        <v>2270</v>
      </c>
      <c r="J114" s="5" t="s">
        <v>2126</v>
      </c>
      <c r="K114" s="5">
        <v>476.0</v>
      </c>
      <c r="L114" s="5">
        <v>-0.310855</v>
      </c>
      <c r="M114" s="5">
        <v>0.162466</v>
      </c>
      <c r="N114" s="5">
        <v>-0.148389</v>
      </c>
      <c r="O114" s="5">
        <v>0.27431</v>
      </c>
    </row>
    <row r="115">
      <c r="A115" s="12" t="str">
        <f>IFERROR(__xludf.DUMMYFUNCTION("""COMPUTED_VALUE"""),"")</f>
        <v/>
      </c>
      <c r="B115" s="13" t="str">
        <f>IFERROR(__xludf.DUMMYFUNCTION("""COMPUTED_VALUE"""),"")</f>
        <v/>
      </c>
      <c r="C115" s="14" t="str">
        <f>IFERROR(__xludf.DUMMYFUNCTION("""COMPUTED_VALUE"""),"")</f>
        <v/>
      </c>
      <c r="D115" s="15" t="str">
        <f>IFERROR(__xludf.DUMMYFUNCTION("""COMPUTED_VALUE"""),"")</f>
        <v/>
      </c>
      <c r="E115" s="15" t="str">
        <f>IFERROR(__xludf.DUMMYFUNCTION("""COMPUTED_VALUE"""),"")</f>
        <v/>
      </c>
      <c r="F115" s="15" t="str">
        <f>IFERROR(__xludf.DUMMYFUNCTION("""COMPUTED_VALUE"""),"")</f>
        <v/>
      </c>
      <c r="G115" s="17" t="str">
        <f>IFERROR(__xludf.DUMMYFUNCTION("""COMPUTED_VALUE"""),"")</f>
        <v/>
      </c>
      <c r="H115" s="4"/>
      <c r="I115" s="5" t="s">
        <v>2272</v>
      </c>
      <c r="J115" s="5" t="s">
        <v>2137</v>
      </c>
      <c r="K115" s="5">
        <v>261.0</v>
      </c>
      <c r="L115" s="5">
        <v>1.652186</v>
      </c>
      <c r="M115" s="5">
        <v>-1.809038</v>
      </c>
      <c r="N115" s="5">
        <v>-0.156851</v>
      </c>
      <c r="O115" s="5">
        <v>0.152596</v>
      </c>
    </row>
    <row r="116">
      <c r="A116" s="18" t="str">
        <f>IFERROR(__xludf.DUMMYFUNCTION("""COMPUTED_VALUE"""),"")</f>
        <v/>
      </c>
      <c r="B116" s="19" t="str">
        <f>IFERROR(__xludf.DUMMYFUNCTION("""COMPUTED_VALUE"""),"")</f>
        <v/>
      </c>
      <c r="C116" s="20" t="str">
        <f>IFERROR(__xludf.DUMMYFUNCTION("""COMPUTED_VALUE"""),"")</f>
        <v/>
      </c>
      <c r="D116" s="21" t="str">
        <f>IFERROR(__xludf.DUMMYFUNCTION("""COMPUTED_VALUE"""),"")</f>
        <v/>
      </c>
      <c r="E116" s="21" t="str">
        <f>IFERROR(__xludf.DUMMYFUNCTION("""COMPUTED_VALUE"""),"")</f>
        <v/>
      </c>
      <c r="F116" s="21" t="str">
        <f>IFERROR(__xludf.DUMMYFUNCTION("""COMPUTED_VALUE"""),"")</f>
        <v/>
      </c>
      <c r="G116" s="23" t="str">
        <f>IFERROR(__xludf.DUMMYFUNCTION("""COMPUTED_VALUE"""),"")</f>
        <v/>
      </c>
      <c r="H116" s="4"/>
      <c r="I116" s="5" t="s">
        <v>2274</v>
      </c>
      <c r="J116" s="5" t="s">
        <v>118</v>
      </c>
      <c r="K116" s="5">
        <v>3.0</v>
      </c>
      <c r="L116" s="5">
        <v>-0.074059</v>
      </c>
      <c r="M116" s="5">
        <v>-0.083323</v>
      </c>
      <c r="N116" s="5">
        <v>-0.157382</v>
      </c>
      <c r="O116" s="5">
        <v>0.001674</v>
      </c>
    </row>
    <row r="117">
      <c r="A117" s="12" t="str">
        <f>IFERROR(__xludf.DUMMYFUNCTION("""COMPUTED_VALUE"""),"")</f>
        <v/>
      </c>
      <c r="B117" s="13" t="str">
        <f>IFERROR(__xludf.DUMMYFUNCTION("""COMPUTED_VALUE"""),"")</f>
        <v/>
      </c>
      <c r="C117" s="14" t="str">
        <f>IFERROR(__xludf.DUMMYFUNCTION("""COMPUTED_VALUE"""),"")</f>
        <v/>
      </c>
      <c r="D117" s="15" t="str">
        <f>IFERROR(__xludf.DUMMYFUNCTION("""COMPUTED_VALUE"""),"")</f>
        <v/>
      </c>
      <c r="E117" s="15" t="str">
        <f>IFERROR(__xludf.DUMMYFUNCTION("""COMPUTED_VALUE"""),"")</f>
        <v/>
      </c>
      <c r="F117" s="15" t="str">
        <f>IFERROR(__xludf.DUMMYFUNCTION("""COMPUTED_VALUE"""),"")</f>
        <v/>
      </c>
      <c r="G117" s="17" t="str">
        <f>IFERROR(__xludf.DUMMYFUNCTION("""COMPUTED_VALUE"""),"")</f>
        <v/>
      </c>
      <c r="H117" s="4"/>
      <c r="I117" s="5" t="s">
        <v>2276</v>
      </c>
      <c r="J117" s="5" t="s">
        <v>118</v>
      </c>
      <c r="K117" s="5">
        <v>1.0</v>
      </c>
      <c r="L117" s="5">
        <v>-0.165681</v>
      </c>
      <c r="M117" s="5">
        <v>0.007608</v>
      </c>
      <c r="N117" s="5">
        <v>-0.158073</v>
      </c>
      <c r="O117" s="5">
        <v>5.58E-4</v>
      </c>
    </row>
    <row r="118">
      <c r="A118" s="18" t="str">
        <f>IFERROR(__xludf.DUMMYFUNCTION("""COMPUTED_VALUE"""),"")</f>
        <v/>
      </c>
      <c r="B118" s="19" t="str">
        <f>IFERROR(__xludf.DUMMYFUNCTION("""COMPUTED_VALUE"""),"")</f>
        <v/>
      </c>
      <c r="C118" s="20" t="str">
        <f>IFERROR(__xludf.DUMMYFUNCTION("""COMPUTED_VALUE"""),"")</f>
        <v/>
      </c>
      <c r="D118" s="21" t="str">
        <f>IFERROR(__xludf.DUMMYFUNCTION("""COMPUTED_VALUE"""),"")</f>
        <v/>
      </c>
      <c r="E118" s="21" t="str">
        <f>IFERROR(__xludf.DUMMYFUNCTION("""COMPUTED_VALUE"""),"")</f>
        <v/>
      </c>
      <c r="F118" s="21" t="str">
        <f>IFERROR(__xludf.DUMMYFUNCTION("""COMPUTED_VALUE"""),"")</f>
        <v/>
      </c>
      <c r="G118" s="23" t="str">
        <f>IFERROR(__xludf.DUMMYFUNCTION("""COMPUTED_VALUE"""),"")</f>
        <v/>
      </c>
      <c r="H118" s="4"/>
      <c r="I118" s="5" t="s">
        <v>2277</v>
      </c>
      <c r="J118" s="5" t="s">
        <v>2121</v>
      </c>
      <c r="K118" s="5">
        <v>2.0</v>
      </c>
      <c r="L118" s="5">
        <v>-0.114651</v>
      </c>
      <c r="M118" s="5">
        <v>-0.059814</v>
      </c>
      <c r="N118" s="5">
        <v>-0.174465</v>
      </c>
      <c r="O118" s="5">
        <v>0.00113</v>
      </c>
    </row>
    <row r="119">
      <c r="A119" s="12" t="str">
        <f>IFERROR(__xludf.DUMMYFUNCTION("""COMPUTED_VALUE"""),"")</f>
        <v/>
      </c>
      <c r="B119" s="13" t="str">
        <f>IFERROR(__xludf.DUMMYFUNCTION("""COMPUTED_VALUE"""),"")</f>
        <v/>
      </c>
      <c r="C119" s="14" t="str">
        <f>IFERROR(__xludf.DUMMYFUNCTION("""COMPUTED_VALUE"""),"")</f>
        <v/>
      </c>
      <c r="D119" s="15" t="str">
        <f>IFERROR(__xludf.DUMMYFUNCTION("""COMPUTED_VALUE"""),"")</f>
        <v/>
      </c>
      <c r="E119" s="15" t="str">
        <f>IFERROR(__xludf.DUMMYFUNCTION("""COMPUTED_VALUE"""),"")</f>
        <v/>
      </c>
      <c r="F119" s="15" t="str">
        <f>IFERROR(__xludf.DUMMYFUNCTION("""COMPUTED_VALUE"""),"")</f>
        <v/>
      </c>
      <c r="G119" s="17" t="str">
        <f>IFERROR(__xludf.DUMMYFUNCTION("""COMPUTED_VALUE"""),"")</f>
        <v/>
      </c>
      <c r="H119" s="4"/>
      <c r="I119" s="5" t="s">
        <v>2279</v>
      </c>
      <c r="J119" s="5" t="s">
        <v>2140</v>
      </c>
      <c r="K119" s="5">
        <v>1.0</v>
      </c>
      <c r="L119" s="5">
        <v>-0.134247</v>
      </c>
      <c r="M119" s="5">
        <v>-0.0455</v>
      </c>
      <c r="N119" s="5">
        <v>-0.179747</v>
      </c>
      <c r="O119" s="5">
        <v>5.5E-4</v>
      </c>
    </row>
    <row r="120">
      <c r="A120" s="18" t="str">
        <f>IFERROR(__xludf.DUMMYFUNCTION("""COMPUTED_VALUE"""),"")</f>
        <v/>
      </c>
      <c r="B120" s="19" t="str">
        <f>IFERROR(__xludf.DUMMYFUNCTION("""COMPUTED_VALUE"""),"")</f>
        <v/>
      </c>
      <c r="C120" s="20" t="str">
        <f>IFERROR(__xludf.DUMMYFUNCTION("""COMPUTED_VALUE"""),"")</f>
        <v/>
      </c>
      <c r="D120" s="21" t="str">
        <f>IFERROR(__xludf.DUMMYFUNCTION("""COMPUTED_VALUE"""),"")</f>
        <v/>
      </c>
      <c r="E120" s="21" t="str">
        <f>IFERROR(__xludf.DUMMYFUNCTION("""COMPUTED_VALUE"""),"")</f>
        <v/>
      </c>
      <c r="F120" s="21" t="str">
        <f>IFERROR(__xludf.DUMMYFUNCTION("""COMPUTED_VALUE"""),"")</f>
        <v/>
      </c>
      <c r="G120" s="23" t="str">
        <f>IFERROR(__xludf.DUMMYFUNCTION("""COMPUTED_VALUE"""),"")</f>
        <v/>
      </c>
      <c r="H120" s="4"/>
      <c r="I120" s="5" t="s">
        <v>2281</v>
      </c>
      <c r="J120" s="5" t="s">
        <v>2126</v>
      </c>
      <c r="K120" s="5">
        <v>202.0</v>
      </c>
      <c r="L120" s="5">
        <v>-1.474813</v>
      </c>
      <c r="M120" s="5">
        <v>1.287752</v>
      </c>
      <c r="N120" s="5">
        <v>-0.18706</v>
      </c>
      <c r="O120" s="5">
        <v>0.113978</v>
      </c>
    </row>
    <row r="121">
      <c r="A121" s="12" t="str">
        <f>IFERROR(__xludf.DUMMYFUNCTION("""COMPUTED_VALUE"""),"")</f>
        <v/>
      </c>
      <c r="B121" s="13" t="str">
        <f>IFERROR(__xludf.DUMMYFUNCTION("""COMPUTED_VALUE"""),"")</f>
        <v/>
      </c>
      <c r="C121" s="14" t="str">
        <f>IFERROR(__xludf.DUMMYFUNCTION("""COMPUTED_VALUE"""),"")</f>
        <v/>
      </c>
      <c r="D121" s="15" t="str">
        <f>IFERROR(__xludf.DUMMYFUNCTION("""COMPUTED_VALUE"""),"")</f>
        <v/>
      </c>
      <c r="E121" s="15" t="str">
        <f>IFERROR(__xludf.DUMMYFUNCTION("""COMPUTED_VALUE"""),"")</f>
        <v/>
      </c>
      <c r="F121" s="15" t="str">
        <f>IFERROR(__xludf.DUMMYFUNCTION("""COMPUTED_VALUE"""),"")</f>
        <v/>
      </c>
      <c r="G121" s="17" t="str">
        <f>IFERROR(__xludf.DUMMYFUNCTION("""COMPUTED_VALUE"""),"")</f>
        <v/>
      </c>
      <c r="H121" s="4"/>
      <c r="I121" s="5" t="s">
        <v>2283</v>
      </c>
      <c r="J121" s="5" t="s">
        <v>2231</v>
      </c>
      <c r="K121" s="5">
        <v>3.0</v>
      </c>
      <c r="L121" s="5">
        <v>-0.031385</v>
      </c>
      <c r="M121" s="5">
        <v>-0.167093</v>
      </c>
      <c r="N121" s="5">
        <v>-0.198478</v>
      </c>
      <c r="O121" s="5">
        <v>0.001634</v>
      </c>
    </row>
    <row r="122">
      <c r="A122" s="18" t="str">
        <f>IFERROR(__xludf.DUMMYFUNCTION("""COMPUTED_VALUE"""),"")</f>
        <v/>
      </c>
      <c r="B122" s="19" t="str">
        <f>IFERROR(__xludf.DUMMYFUNCTION("""COMPUTED_VALUE"""),"")</f>
        <v/>
      </c>
      <c r="C122" s="20" t="str">
        <f>IFERROR(__xludf.DUMMYFUNCTION("""COMPUTED_VALUE"""),"")</f>
        <v/>
      </c>
      <c r="D122" s="21" t="str">
        <f>IFERROR(__xludf.DUMMYFUNCTION("""COMPUTED_VALUE"""),"")</f>
        <v/>
      </c>
      <c r="E122" s="21" t="str">
        <f>IFERROR(__xludf.DUMMYFUNCTION("""COMPUTED_VALUE"""),"")</f>
        <v/>
      </c>
      <c r="F122" s="21" t="str">
        <f>IFERROR(__xludf.DUMMYFUNCTION("""COMPUTED_VALUE"""),"")</f>
        <v/>
      </c>
      <c r="G122" s="23" t="str">
        <f>IFERROR(__xludf.DUMMYFUNCTION("""COMPUTED_VALUE"""),"")</f>
        <v/>
      </c>
      <c r="H122" s="4"/>
      <c r="I122" s="5" t="s">
        <v>2285</v>
      </c>
      <c r="J122" s="5" t="s">
        <v>2143</v>
      </c>
      <c r="K122" s="5">
        <v>831.0</v>
      </c>
      <c r="L122" s="5">
        <v>-0.586455</v>
      </c>
      <c r="M122" s="5">
        <v>0.369577</v>
      </c>
      <c r="N122" s="5">
        <v>-0.216878</v>
      </c>
      <c r="O122" s="5">
        <v>0.460566</v>
      </c>
    </row>
    <row r="123">
      <c r="A123" s="12" t="str">
        <f>IFERROR(__xludf.DUMMYFUNCTION("""COMPUTED_VALUE"""),"")</f>
        <v/>
      </c>
      <c r="B123" s="13" t="str">
        <f>IFERROR(__xludf.DUMMYFUNCTION("""COMPUTED_VALUE"""),"")</f>
        <v/>
      </c>
      <c r="C123" s="14" t="str">
        <f>IFERROR(__xludf.DUMMYFUNCTION("""COMPUTED_VALUE"""),"")</f>
        <v/>
      </c>
      <c r="D123" s="15" t="str">
        <f>IFERROR(__xludf.DUMMYFUNCTION("""COMPUTED_VALUE"""),"")</f>
        <v/>
      </c>
      <c r="E123" s="15" t="str">
        <f>IFERROR(__xludf.DUMMYFUNCTION("""COMPUTED_VALUE"""),"")</f>
        <v/>
      </c>
      <c r="F123" s="15" t="str">
        <f>IFERROR(__xludf.DUMMYFUNCTION("""COMPUTED_VALUE"""),"")</f>
        <v/>
      </c>
      <c r="G123" s="17" t="str">
        <f>IFERROR(__xludf.DUMMYFUNCTION("""COMPUTED_VALUE"""),"")</f>
        <v/>
      </c>
      <c r="H123" s="4"/>
      <c r="I123" s="5" t="s">
        <v>2287</v>
      </c>
      <c r="J123" s="5" t="s">
        <v>2231</v>
      </c>
      <c r="K123" s="5">
        <v>10.0</v>
      </c>
      <c r="L123" s="5">
        <v>-0.023743</v>
      </c>
      <c r="M123" s="5">
        <v>-0.19518</v>
      </c>
      <c r="N123" s="5">
        <v>-0.218923</v>
      </c>
      <c r="O123" s="5">
        <v>0.005385</v>
      </c>
    </row>
    <row r="124">
      <c r="A124" s="18" t="str">
        <f>IFERROR(__xludf.DUMMYFUNCTION("""COMPUTED_VALUE"""),"")</f>
        <v/>
      </c>
      <c r="B124" s="19" t="str">
        <f>IFERROR(__xludf.DUMMYFUNCTION("""COMPUTED_VALUE"""),"")</f>
        <v/>
      </c>
      <c r="C124" s="20" t="str">
        <f>IFERROR(__xludf.DUMMYFUNCTION("""COMPUTED_VALUE"""),"")</f>
        <v/>
      </c>
      <c r="D124" s="21" t="str">
        <f>IFERROR(__xludf.DUMMYFUNCTION("""COMPUTED_VALUE"""),"")</f>
        <v/>
      </c>
      <c r="E124" s="21" t="str">
        <f>IFERROR(__xludf.DUMMYFUNCTION("""COMPUTED_VALUE"""),"")</f>
        <v/>
      </c>
      <c r="F124" s="21" t="str">
        <f>IFERROR(__xludf.DUMMYFUNCTION("""COMPUTED_VALUE"""),"")</f>
        <v/>
      </c>
      <c r="G124" s="23" t="str">
        <f>IFERROR(__xludf.DUMMYFUNCTION("""COMPUTED_VALUE"""),"")</f>
        <v/>
      </c>
      <c r="H124" s="4"/>
      <c r="I124" s="5" t="s">
        <v>2289</v>
      </c>
      <c r="J124" s="5" t="s">
        <v>2119</v>
      </c>
      <c r="K124" s="5">
        <v>3.0</v>
      </c>
      <c r="L124" s="5">
        <v>-0.245602</v>
      </c>
      <c r="M124" s="5">
        <v>-0.005235</v>
      </c>
      <c r="N124" s="5">
        <v>-0.250837</v>
      </c>
      <c r="O124" s="5">
        <v>0.001695</v>
      </c>
    </row>
    <row r="125">
      <c r="A125" s="12" t="str">
        <f>IFERROR(__xludf.DUMMYFUNCTION("""COMPUTED_VALUE"""),"")</f>
        <v/>
      </c>
      <c r="B125" s="13" t="str">
        <f>IFERROR(__xludf.DUMMYFUNCTION("""COMPUTED_VALUE"""),"")</f>
        <v/>
      </c>
      <c r="C125" s="14" t="str">
        <f>IFERROR(__xludf.DUMMYFUNCTION("""COMPUTED_VALUE"""),"")</f>
        <v/>
      </c>
      <c r="D125" s="15" t="str">
        <f>IFERROR(__xludf.DUMMYFUNCTION("""COMPUTED_VALUE"""),"")</f>
        <v/>
      </c>
      <c r="E125" s="15" t="str">
        <f>IFERROR(__xludf.DUMMYFUNCTION("""COMPUTED_VALUE"""),"")</f>
        <v/>
      </c>
      <c r="F125" s="15" t="str">
        <f>IFERROR(__xludf.DUMMYFUNCTION("""COMPUTED_VALUE"""),"")</f>
        <v/>
      </c>
      <c r="G125" s="17" t="str">
        <f>IFERROR(__xludf.DUMMYFUNCTION("""COMPUTED_VALUE"""),"")</f>
        <v/>
      </c>
      <c r="H125" s="4"/>
      <c r="I125" s="5" t="s">
        <v>2291</v>
      </c>
      <c r="J125" s="5" t="s">
        <v>2121</v>
      </c>
      <c r="K125" s="24">
        <v>1002.0</v>
      </c>
      <c r="L125" s="5">
        <v>1.285208</v>
      </c>
      <c r="M125" s="5">
        <v>-1.544801</v>
      </c>
      <c r="N125" s="5">
        <v>-0.259593</v>
      </c>
      <c r="O125" s="5">
        <v>0.53977</v>
      </c>
    </row>
    <row r="126">
      <c r="A126" s="18" t="str">
        <f>IFERROR(__xludf.DUMMYFUNCTION("""COMPUTED_VALUE"""),"")</f>
        <v/>
      </c>
      <c r="B126" s="19" t="str">
        <f>IFERROR(__xludf.DUMMYFUNCTION("""COMPUTED_VALUE"""),"")</f>
        <v/>
      </c>
      <c r="C126" s="20" t="str">
        <f>IFERROR(__xludf.DUMMYFUNCTION("""COMPUTED_VALUE"""),"")</f>
        <v/>
      </c>
      <c r="D126" s="21" t="str">
        <f>IFERROR(__xludf.DUMMYFUNCTION("""COMPUTED_VALUE"""),"")</f>
        <v/>
      </c>
      <c r="E126" s="21" t="str">
        <f>IFERROR(__xludf.DUMMYFUNCTION("""COMPUTED_VALUE"""),"")</f>
        <v/>
      </c>
      <c r="F126" s="21" t="str">
        <f>IFERROR(__xludf.DUMMYFUNCTION("""COMPUTED_VALUE"""),"")</f>
        <v/>
      </c>
      <c r="G126" s="23" t="str">
        <f>IFERROR(__xludf.DUMMYFUNCTION("""COMPUTED_VALUE"""),"")</f>
        <v/>
      </c>
      <c r="H126" s="4"/>
      <c r="I126" s="5" t="s">
        <v>2292</v>
      </c>
      <c r="J126" s="5" t="s">
        <v>2130</v>
      </c>
      <c r="K126" s="5">
        <v>219.0</v>
      </c>
      <c r="L126" s="5">
        <v>-1.041316</v>
      </c>
      <c r="M126" s="5">
        <v>0.763636</v>
      </c>
      <c r="N126" s="5">
        <v>-0.277679</v>
      </c>
      <c r="O126" s="5">
        <v>0.116882</v>
      </c>
    </row>
    <row r="127">
      <c r="A127" s="12" t="str">
        <f>IFERROR(__xludf.DUMMYFUNCTION("""COMPUTED_VALUE"""),"")</f>
        <v/>
      </c>
      <c r="B127" s="13" t="str">
        <f>IFERROR(__xludf.DUMMYFUNCTION("""COMPUTED_VALUE"""),"")</f>
        <v/>
      </c>
      <c r="C127" s="14" t="str">
        <f>IFERROR(__xludf.DUMMYFUNCTION("""COMPUTED_VALUE"""),"")</f>
        <v/>
      </c>
      <c r="D127" s="15" t="str">
        <f>IFERROR(__xludf.DUMMYFUNCTION("""COMPUTED_VALUE"""),"")</f>
        <v/>
      </c>
      <c r="E127" s="15" t="str">
        <f>IFERROR(__xludf.DUMMYFUNCTION("""COMPUTED_VALUE"""),"")</f>
        <v/>
      </c>
      <c r="F127" s="15" t="str">
        <f>IFERROR(__xludf.DUMMYFUNCTION("""COMPUTED_VALUE"""),"")</f>
        <v/>
      </c>
      <c r="G127" s="17" t="str">
        <f>IFERROR(__xludf.DUMMYFUNCTION("""COMPUTED_VALUE"""),"")</f>
        <v/>
      </c>
      <c r="H127" s="4"/>
      <c r="I127" s="5" t="s">
        <v>2293</v>
      </c>
      <c r="J127" s="5" t="s">
        <v>2140</v>
      </c>
      <c r="K127" s="5">
        <v>843.0</v>
      </c>
      <c r="L127" s="5">
        <v>0.917323</v>
      </c>
      <c r="M127" s="5">
        <v>-1.195468</v>
      </c>
      <c r="N127" s="5">
        <v>-0.278145</v>
      </c>
      <c r="O127" s="5">
        <v>0.438445</v>
      </c>
    </row>
    <row r="128">
      <c r="A128" s="18" t="str">
        <f>IFERROR(__xludf.DUMMYFUNCTION("""COMPUTED_VALUE"""),"")</f>
        <v/>
      </c>
      <c r="B128" s="19" t="str">
        <f>IFERROR(__xludf.DUMMYFUNCTION("""COMPUTED_VALUE"""),"")</f>
        <v/>
      </c>
      <c r="C128" s="20" t="str">
        <f>IFERROR(__xludf.DUMMYFUNCTION("""COMPUTED_VALUE"""),"")</f>
        <v/>
      </c>
      <c r="D128" s="21" t="str">
        <f>IFERROR(__xludf.DUMMYFUNCTION("""COMPUTED_VALUE"""),"")</f>
        <v/>
      </c>
      <c r="E128" s="21" t="str">
        <f>IFERROR(__xludf.DUMMYFUNCTION("""COMPUTED_VALUE"""),"")</f>
        <v/>
      </c>
      <c r="F128" s="21" t="str">
        <f>IFERROR(__xludf.DUMMYFUNCTION("""COMPUTED_VALUE"""),"")</f>
        <v/>
      </c>
      <c r="G128" s="23" t="str">
        <f>IFERROR(__xludf.DUMMYFUNCTION("""COMPUTED_VALUE"""),"")</f>
        <v/>
      </c>
      <c r="H128" s="4"/>
      <c r="I128" s="5" t="s">
        <v>2294</v>
      </c>
      <c r="J128" s="5" t="s">
        <v>2124</v>
      </c>
      <c r="K128" s="5">
        <v>473.0</v>
      </c>
      <c r="L128" s="5">
        <v>-1.405114</v>
      </c>
      <c r="M128" s="5">
        <v>1.122567</v>
      </c>
      <c r="N128" s="5">
        <v>-0.282547</v>
      </c>
      <c r="O128" s="5">
        <v>0.244887</v>
      </c>
    </row>
    <row r="129">
      <c r="A129" s="12" t="str">
        <f>IFERROR(__xludf.DUMMYFUNCTION("""COMPUTED_VALUE"""),"")</f>
        <v/>
      </c>
      <c r="B129" s="13" t="str">
        <f>IFERROR(__xludf.DUMMYFUNCTION("""COMPUTED_VALUE"""),"")</f>
        <v/>
      </c>
      <c r="C129" s="14" t="str">
        <f>IFERROR(__xludf.DUMMYFUNCTION("""COMPUTED_VALUE"""),"")</f>
        <v/>
      </c>
      <c r="D129" s="15" t="str">
        <f>IFERROR(__xludf.DUMMYFUNCTION("""COMPUTED_VALUE"""),"")</f>
        <v/>
      </c>
      <c r="E129" s="15" t="str">
        <f>IFERROR(__xludf.DUMMYFUNCTION("""COMPUTED_VALUE"""),"")</f>
        <v/>
      </c>
      <c r="F129" s="15" t="str">
        <f>IFERROR(__xludf.DUMMYFUNCTION("""COMPUTED_VALUE"""),"")</f>
        <v/>
      </c>
      <c r="G129" s="17" t="str">
        <f>IFERROR(__xludf.DUMMYFUNCTION("""COMPUTED_VALUE"""),"")</f>
        <v/>
      </c>
      <c r="H129" s="4"/>
      <c r="I129" s="5" t="s">
        <v>2296</v>
      </c>
      <c r="J129" s="5" t="s">
        <v>2143</v>
      </c>
      <c r="K129" s="5">
        <v>264.0</v>
      </c>
      <c r="L129" s="5">
        <v>0.315219</v>
      </c>
      <c r="M129" s="5">
        <v>-0.599282</v>
      </c>
      <c r="N129" s="5">
        <v>-0.284063</v>
      </c>
      <c r="O129" s="5">
        <v>0.140804</v>
      </c>
    </row>
    <row r="130">
      <c r="A130" s="18" t="str">
        <f>IFERROR(__xludf.DUMMYFUNCTION("""COMPUTED_VALUE"""),"")</f>
        <v/>
      </c>
      <c r="B130" s="19" t="str">
        <f>IFERROR(__xludf.DUMMYFUNCTION("""COMPUTED_VALUE"""),"")</f>
        <v/>
      </c>
      <c r="C130" s="20" t="str">
        <f>IFERROR(__xludf.DUMMYFUNCTION("""COMPUTED_VALUE"""),"")</f>
        <v/>
      </c>
      <c r="D130" s="21" t="str">
        <f>IFERROR(__xludf.DUMMYFUNCTION("""COMPUTED_VALUE"""),"")</f>
        <v/>
      </c>
      <c r="E130" s="21" t="str">
        <f>IFERROR(__xludf.DUMMYFUNCTION("""COMPUTED_VALUE"""),"")</f>
        <v/>
      </c>
      <c r="F130" s="21" t="str">
        <f>IFERROR(__xludf.DUMMYFUNCTION("""COMPUTED_VALUE"""),"")</f>
        <v/>
      </c>
      <c r="G130" s="23" t="str">
        <f>IFERROR(__xludf.DUMMYFUNCTION("""COMPUTED_VALUE"""),"")</f>
        <v/>
      </c>
      <c r="H130" s="4"/>
      <c r="I130" s="5" t="s">
        <v>2298</v>
      </c>
      <c r="J130" s="5" t="s">
        <v>2119</v>
      </c>
      <c r="K130" s="5">
        <v>576.0</v>
      </c>
      <c r="L130" s="5">
        <v>0.908246</v>
      </c>
      <c r="M130" s="5">
        <v>-1.236207</v>
      </c>
      <c r="N130" s="5">
        <v>-0.327961</v>
      </c>
      <c r="O130" s="5">
        <v>0.311065</v>
      </c>
    </row>
    <row r="131">
      <c r="A131" s="12" t="str">
        <f>IFERROR(__xludf.DUMMYFUNCTION("""COMPUTED_VALUE"""),"")</f>
        <v/>
      </c>
      <c r="B131" s="13" t="str">
        <f>IFERROR(__xludf.DUMMYFUNCTION("""COMPUTED_VALUE"""),"")</f>
        <v/>
      </c>
      <c r="C131" s="14" t="str">
        <f>IFERROR(__xludf.DUMMYFUNCTION("""COMPUTED_VALUE"""),"")</f>
        <v/>
      </c>
      <c r="D131" s="15" t="str">
        <f>IFERROR(__xludf.DUMMYFUNCTION("""COMPUTED_VALUE"""),"")</f>
        <v/>
      </c>
      <c r="E131" s="15" t="str">
        <f>IFERROR(__xludf.DUMMYFUNCTION("""COMPUTED_VALUE"""),"")</f>
        <v/>
      </c>
      <c r="F131" s="15" t="str">
        <f>IFERROR(__xludf.DUMMYFUNCTION("""COMPUTED_VALUE"""),"")</f>
        <v/>
      </c>
      <c r="G131" s="17" t="str">
        <f>IFERROR(__xludf.DUMMYFUNCTION("""COMPUTED_VALUE"""),"")</f>
        <v/>
      </c>
      <c r="H131" s="4"/>
      <c r="I131" s="5" t="s">
        <v>2300</v>
      </c>
      <c r="J131" s="5" t="s">
        <v>2169</v>
      </c>
      <c r="K131" s="5">
        <v>15.0</v>
      </c>
      <c r="L131" s="5">
        <v>-0.005259</v>
      </c>
      <c r="M131" s="5">
        <v>-0.337837</v>
      </c>
      <c r="N131" s="5">
        <v>-0.343096</v>
      </c>
      <c r="O131" s="5">
        <v>0.00769</v>
      </c>
    </row>
    <row r="132">
      <c r="A132" s="18" t="str">
        <f>IFERROR(__xludf.DUMMYFUNCTION("""COMPUTED_VALUE"""),"")</f>
        <v/>
      </c>
      <c r="B132" s="19" t="str">
        <f>IFERROR(__xludf.DUMMYFUNCTION("""COMPUTED_VALUE"""),"")</f>
        <v/>
      </c>
      <c r="C132" s="20" t="str">
        <f>IFERROR(__xludf.DUMMYFUNCTION("""COMPUTED_VALUE"""),"")</f>
        <v/>
      </c>
      <c r="D132" s="21" t="str">
        <f>IFERROR(__xludf.DUMMYFUNCTION("""COMPUTED_VALUE"""),"")</f>
        <v/>
      </c>
      <c r="E132" s="21" t="str">
        <f>IFERROR(__xludf.DUMMYFUNCTION("""COMPUTED_VALUE"""),"")</f>
        <v/>
      </c>
      <c r="F132" s="21" t="str">
        <f>IFERROR(__xludf.DUMMYFUNCTION("""COMPUTED_VALUE"""),"")</f>
        <v/>
      </c>
      <c r="G132" s="23" t="str">
        <f>IFERROR(__xludf.DUMMYFUNCTION("""COMPUTED_VALUE"""),"")</f>
        <v/>
      </c>
      <c r="H132" s="4"/>
      <c r="I132" s="5" t="s">
        <v>2302</v>
      </c>
      <c r="J132" s="5" t="s">
        <v>2149</v>
      </c>
      <c r="K132" s="5">
        <v>6.0</v>
      </c>
      <c r="L132" s="5">
        <v>-0.257037</v>
      </c>
      <c r="M132" s="5">
        <v>-0.098118</v>
      </c>
      <c r="N132" s="5">
        <v>-0.355155</v>
      </c>
      <c r="O132" s="5">
        <v>0.003074</v>
      </c>
    </row>
    <row r="133">
      <c r="A133" s="12" t="str">
        <f>IFERROR(__xludf.DUMMYFUNCTION("""COMPUTED_VALUE"""),"")</f>
        <v/>
      </c>
      <c r="B133" s="13" t="str">
        <f>IFERROR(__xludf.DUMMYFUNCTION("""COMPUTED_VALUE"""),"")</f>
        <v/>
      </c>
      <c r="C133" s="14" t="str">
        <f>IFERROR(__xludf.DUMMYFUNCTION("""COMPUTED_VALUE"""),"")</f>
        <v/>
      </c>
      <c r="D133" s="15" t="str">
        <f>IFERROR(__xludf.DUMMYFUNCTION("""COMPUTED_VALUE"""),"")</f>
        <v/>
      </c>
      <c r="E133" s="15" t="str">
        <f>IFERROR(__xludf.DUMMYFUNCTION("""COMPUTED_VALUE"""),"")</f>
        <v/>
      </c>
      <c r="F133" s="15" t="str">
        <f>IFERROR(__xludf.DUMMYFUNCTION("""COMPUTED_VALUE"""),"")</f>
        <v/>
      </c>
      <c r="G133" s="17" t="str">
        <f>IFERROR(__xludf.DUMMYFUNCTION("""COMPUTED_VALUE"""),"")</f>
        <v/>
      </c>
      <c r="H133" s="4"/>
      <c r="I133" s="5" t="s">
        <v>2304</v>
      </c>
      <c r="J133" s="5" t="s">
        <v>2169</v>
      </c>
      <c r="K133" s="5">
        <v>287.0</v>
      </c>
      <c r="L133" s="5">
        <v>1.045074</v>
      </c>
      <c r="M133" s="5">
        <v>-1.407838</v>
      </c>
      <c r="N133" s="5">
        <v>-0.362764</v>
      </c>
      <c r="O133" s="5">
        <v>0.145391</v>
      </c>
    </row>
    <row r="134">
      <c r="A134" s="18" t="str">
        <f>IFERROR(__xludf.DUMMYFUNCTION("""COMPUTED_VALUE"""),"")</f>
        <v/>
      </c>
      <c r="B134" s="19" t="str">
        <f>IFERROR(__xludf.DUMMYFUNCTION("""COMPUTED_VALUE"""),"")</f>
        <v/>
      </c>
      <c r="C134" s="20" t="str">
        <f>IFERROR(__xludf.DUMMYFUNCTION("""COMPUTED_VALUE"""),"")</f>
        <v/>
      </c>
      <c r="D134" s="21" t="str">
        <f>IFERROR(__xludf.DUMMYFUNCTION("""COMPUTED_VALUE"""),"")</f>
        <v/>
      </c>
      <c r="E134" s="21" t="str">
        <f>IFERROR(__xludf.DUMMYFUNCTION("""COMPUTED_VALUE"""),"")</f>
        <v/>
      </c>
      <c r="F134" s="21" t="str">
        <f>IFERROR(__xludf.DUMMYFUNCTION("""COMPUTED_VALUE"""),"")</f>
        <v/>
      </c>
      <c r="G134" s="23" t="str">
        <f>IFERROR(__xludf.DUMMYFUNCTION("""COMPUTED_VALUE"""),"")</f>
        <v/>
      </c>
      <c r="H134" s="4"/>
      <c r="I134" s="5" t="s">
        <v>2306</v>
      </c>
      <c r="J134" s="5" t="s">
        <v>2140</v>
      </c>
      <c r="K134" s="5">
        <v>5.0</v>
      </c>
      <c r="L134" s="5">
        <v>-0.305957</v>
      </c>
      <c r="M134" s="5">
        <v>-0.058032</v>
      </c>
      <c r="N134" s="5">
        <v>-0.363989</v>
      </c>
      <c r="O134" s="5">
        <v>0.002471</v>
      </c>
    </row>
    <row r="135">
      <c r="A135" s="12" t="str">
        <f>IFERROR(__xludf.DUMMYFUNCTION("""COMPUTED_VALUE"""),"")</f>
        <v/>
      </c>
      <c r="B135" s="13" t="str">
        <f>IFERROR(__xludf.DUMMYFUNCTION("""COMPUTED_VALUE"""),"")</f>
        <v/>
      </c>
      <c r="C135" s="14" t="str">
        <f>IFERROR(__xludf.DUMMYFUNCTION("""COMPUTED_VALUE"""),"")</f>
        <v/>
      </c>
      <c r="D135" s="15" t="str">
        <f>IFERROR(__xludf.DUMMYFUNCTION("""COMPUTED_VALUE"""),"")</f>
        <v/>
      </c>
      <c r="E135" s="15" t="str">
        <f>IFERROR(__xludf.DUMMYFUNCTION("""COMPUTED_VALUE"""),"")</f>
        <v/>
      </c>
      <c r="F135" s="15" t="str">
        <f>IFERROR(__xludf.DUMMYFUNCTION("""COMPUTED_VALUE"""),"")</f>
        <v/>
      </c>
      <c r="G135" s="17" t="str">
        <f>IFERROR(__xludf.DUMMYFUNCTION("""COMPUTED_VALUE"""),"")</f>
        <v/>
      </c>
      <c r="H135" s="4"/>
      <c r="I135" s="5" t="s">
        <v>2308</v>
      </c>
      <c r="J135" s="5" t="s">
        <v>2126</v>
      </c>
      <c r="K135" s="5">
        <v>103.0</v>
      </c>
      <c r="L135" s="5">
        <v>-1.505428</v>
      </c>
      <c r="M135" s="5">
        <v>1.111615</v>
      </c>
      <c r="N135" s="5">
        <v>-0.393814</v>
      </c>
      <c r="O135" s="5">
        <v>0.051489</v>
      </c>
    </row>
    <row r="136">
      <c r="A136" s="18" t="str">
        <f>IFERROR(__xludf.DUMMYFUNCTION("""COMPUTED_VALUE"""),"")</f>
        <v/>
      </c>
      <c r="B136" s="19" t="str">
        <f>IFERROR(__xludf.DUMMYFUNCTION("""COMPUTED_VALUE"""),"")</f>
        <v/>
      </c>
      <c r="C136" s="20" t="str">
        <f>IFERROR(__xludf.DUMMYFUNCTION("""COMPUTED_VALUE"""),"")</f>
        <v/>
      </c>
      <c r="D136" s="21" t="str">
        <f>IFERROR(__xludf.DUMMYFUNCTION("""COMPUTED_VALUE"""),"")</f>
        <v/>
      </c>
      <c r="E136" s="21" t="str">
        <f>IFERROR(__xludf.DUMMYFUNCTION("""COMPUTED_VALUE"""),"")</f>
        <v/>
      </c>
      <c r="F136" s="21" t="str">
        <f>IFERROR(__xludf.DUMMYFUNCTION("""COMPUTED_VALUE"""),"")</f>
        <v/>
      </c>
      <c r="G136" s="23" t="str">
        <f>IFERROR(__xludf.DUMMYFUNCTION("""COMPUTED_VALUE"""),"")</f>
        <v/>
      </c>
      <c r="H136" s="4"/>
      <c r="I136" s="5" t="s">
        <v>2309</v>
      </c>
      <c r="J136" s="5" t="s">
        <v>2121</v>
      </c>
      <c r="K136" s="5">
        <v>494.0</v>
      </c>
      <c r="L136" s="5">
        <v>-0.818073</v>
      </c>
      <c r="M136" s="5">
        <v>0.380722</v>
      </c>
      <c r="N136" s="5">
        <v>-0.437351</v>
      </c>
      <c r="O136" s="5">
        <v>0.238934</v>
      </c>
    </row>
    <row r="137">
      <c r="A137" s="12" t="str">
        <f>IFERROR(__xludf.DUMMYFUNCTION("""COMPUTED_VALUE"""),"")</f>
        <v/>
      </c>
      <c r="B137" s="13" t="str">
        <f>IFERROR(__xludf.DUMMYFUNCTION("""COMPUTED_VALUE"""),"")</f>
        <v/>
      </c>
      <c r="C137" s="14" t="str">
        <f>IFERROR(__xludf.DUMMYFUNCTION("""COMPUTED_VALUE"""),"")</f>
        <v/>
      </c>
      <c r="D137" s="15" t="str">
        <f>IFERROR(__xludf.DUMMYFUNCTION("""COMPUTED_VALUE"""),"")</f>
        <v/>
      </c>
      <c r="E137" s="15" t="str">
        <f>IFERROR(__xludf.DUMMYFUNCTION("""COMPUTED_VALUE"""),"")</f>
        <v/>
      </c>
      <c r="F137" s="15" t="str">
        <f>IFERROR(__xludf.DUMMYFUNCTION("""COMPUTED_VALUE"""),"")</f>
        <v/>
      </c>
      <c r="G137" s="17" t="str">
        <f>IFERROR(__xludf.DUMMYFUNCTION("""COMPUTED_VALUE"""),"")</f>
        <v/>
      </c>
      <c r="H137" s="4"/>
      <c r="I137" s="5" t="s">
        <v>2311</v>
      </c>
      <c r="J137" s="5" t="s">
        <v>2140</v>
      </c>
      <c r="K137" s="5">
        <v>31.0</v>
      </c>
      <c r="L137" s="5">
        <v>-0.546084</v>
      </c>
      <c r="M137" s="5">
        <v>0.104759</v>
      </c>
      <c r="N137" s="5">
        <v>-0.441325</v>
      </c>
      <c r="O137" s="5">
        <v>0.014595</v>
      </c>
    </row>
    <row r="138">
      <c r="A138" s="18" t="str">
        <f>IFERROR(__xludf.DUMMYFUNCTION("""COMPUTED_VALUE"""),"")</f>
        <v/>
      </c>
      <c r="B138" s="19" t="str">
        <f>IFERROR(__xludf.DUMMYFUNCTION("""COMPUTED_VALUE"""),"")</f>
        <v/>
      </c>
      <c r="C138" s="20" t="str">
        <f>IFERROR(__xludf.DUMMYFUNCTION("""COMPUTED_VALUE"""),"")</f>
        <v/>
      </c>
      <c r="D138" s="21" t="str">
        <f>IFERROR(__xludf.DUMMYFUNCTION("""COMPUTED_VALUE"""),"")</f>
        <v/>
      </c>
      <c r="E138" s="21" t="str">
        <f>IFERROR(__xludf.DUMMYFUNCTION("""COMPUTED_VALUE"""),"")</f>
        <v/>
      </c>
      <c r="F138" s="21" t="str">
        <f>IFERROR(__xludf.DUMMYFUNCTION("""COMPUTED_VALUE"""),"")</f>
        <v/>
      </c>
      <c r="G138" s="23" t="str">
        <f>IFERROR(__xludf.DUMMYFUNCTION("""COMPUTED_VALUE"""),"")</f>
        <v/>
      </c>
      <c r="H138" s="4"/>
      <c r="I138" s="5" t="s">
        <v>2313</v>
      </c>
      <c r="J138" s="5" t="s">
        <v>2121</v>
      </c>
      <c r="K138" s="5">
        <v>368.0</v>
      </c>
      <c r="L138" s="5">
        <v>-4.024919</v>
      </c>
      <c r="M138" s="5">
        <v>3.581706</v>
      </c>
      <c r="N138" s="5">
        <v>-0.443213</v>
      </c>
      <c r="O138" s="5">
        <v>0.177324</v>
      </c>
    </row>
    <row r="139">
      <c r="A139" s="12" t="str">
        <f>IFERROR(__xludf.DUMMYFUNCTION("""COMPUTED_VALUE"""),"")</f>
        <v/>
      </c>
      <c r="B139" s="13" t="str">
        <f>IFERROR(__xludf.DUMMYFUNCTION("""COMPUTED_VALUE"""),"")</f>
        <v/>
      </c>
      <c r="C139" s="14" t="str">
        <f>IFERROR(__xludf.DUMMYFUNCTION("""COMPUTED_VALUE"""),"")</f>
        <v/>
      </c>
      <c r="D139" s="15" t="str">
        <f>IFERROR(__xludf.DUMMYFUNCTION("""COMPUTED_VALUE"""),"")</f>
        <v/>
      </c>
      <c r="E139" s="15" t="str">
        <f>IFERROR(__xludf.DUMMYFUNCTION("""COMPUTED_VALUE"""),"")</f>
        <v/>
      </c>
      <c r="F139" s="15" t="str">
        <f>IFERROR(__xludf.DUMMYFUNCTION("""COMPUTED_VALUE"""),"")</f>
        <v/>
      </c>
      <c r="G139" s="17" t="str">
        <f>IFERROR(__xludf.DUMMYFUNCTION("""COMPUTED_VALUE"""),"")</f>
        <v/>
      </c>
      <c r="H139" s="4"/>
      <c r="I139" s="5" t="s">
        <v>2314</v>
      </c>
      <c r="J139" s="5" t="s">
        <v>2137</v>
      </c>
      <c r="K139" s="5">
        <v>216.0</v>
      </c>
      <c r="L139" s="5">
        <v>-0.773849</v>
      </c>
      <c r="M139" s="5">
        <v>0.29605</v>
      </c>
      <c r="N139" s="5">
        <v>-0.477799</v>
      </c>
      <c r="O139" s="5">
        <v>0.104296</v>
      </c>
    </row>
    <row r="140">
      <c r="A140" s="18" t="str">
        <f>IFERROR(__xludf.DUMMYFUNCTION("""COMPUTED_VALUE"""),"")</f>
        <v/>
      </c>
      <c r="B140" s="19" t="str">
        <f>IFERROR(__xludf.DUMMYFUNCTION("""COMPUTED_VALUE"""),"")</f>
        <v/>
      </c>
      <c r="C140" s="20" t="str">
        <f>IFERROR(__xludf.DUMMYFUNCTION("""COMPUTED_VALUE"""),"")</f>
        <v/>
      </c>
      <c r="D140" s="21" t="str">
        <f>IFERROR(__xludf.DUMMYFUNCTION("""COMPUTED_VALUE"""),"")</f>
        <v/>
      </c>
      <c r="E140" s="21" t="str">
        <f>IFERROR(__xludf.DUMMYFUNCTION("""COMPUTED_VALUE"""),"")</f>
        <v/>
      </c>
      <c r="F140" s="21" t="str">
        <f>IFERROR(__xludf.DUMMYFUNCTION("""COMPUTED_VALUE"""),"")</f>
        <v/>
      </c>
      <c r="G140" s="23" t="str">
        <f>IFERROR(__xludf.DUMMYFUNCTION("""COMPUTED_VALUE"""),"")</f>
        <v/>
      </c>
      <c r="H140" s="4"/>
      <c r="I140" s="5" t="s">
        <v>2316</v>
      </c>
      <c r="J140" s="5" t="s">
        <v>54</v>
      </c>
      <c r="K140" s="5">
        <v>379.0</v>
      </c>
      <c r="L140" s="5">
        <v>1.260002</v>
      </c>
      <c r="M140" s="5">
        <v>-1.740779</v>
      </c>
      <c r="N140" s="5">
        <v>-0.480777</v>
      </c>
      <c r="O140" s="5">
        <v>0.174225</v>
      </c>
    </row>
    <row r="141">
      <c r="A141" s="12" t="str">
        <f>IFERROR(__xludf.DUMMYFUNCTION("""COMPUTED_VALUE"""),"")</f>
        <v/>
      </c>
      <c r="B141" s="13" t="str">
        <f>IFERROR(__xludf.DUMMYFUNCTION("""COMPUTED_VALUE"""),"")</f>
        <v/>
      </c>
      <c r="C141" s="14" t="str">
        <f>IFERROR(__xludf.DUMMYFUNCTION("""COMPUTED_VALUE"""),"")</f>
        <v/>
      </c>
      <c r="D141" s="15" t="str">
        <f>IFERROR(__xludf.DUMMYFUNCTION("""COMPUTED_VALUE"""),"")</f>
        <v/>
      </c>
      <c r="E141" s="15" t="str">
        <f>IFERROR(__xludf.DUMMYFUNCTION("""COMPUTED_VALUE"""),"")</f>
        <v/>
      </c>
      <c r="F141" s="15" t="str">
        <f>IFERROR(__xludf.DUMMYFUNCTION("""COMPUTED_VALUE"""),"")</f>
        <v/>
      </c>
      <c r="G141" s="17" t="str">
        <f>IFERROR(__xludf.DUMMYFUNCTION("""COMPUTED_VALUE"""),"")</f>
        <v/>
      </c>
      <c r="H141" s="4"/>
      <c r="I141" s="5" t="s">
        <v>2319</v>
      </c>
      <c r="J141" s="5" t="s">
        <v>2124</v>
      </c>
      <c r="K141" s="5">
        <v>112.0</v>
      </c>
      <c r="L141" s="5">
        <v>-0.707785</v>
      </c>
      <c r="M141" s="5">
        <v>0.223162</v>
      </c>
      <c r="N141" s="5">
        <v>-0.484623</v>
      </c>
      <c r="O141" s="5">
        <v>0.051163</v>
      </c>
    </row>
    <row r="142">
      <c r="A142" s="18" t="str">
        <f>IFERROR(__xludf.DUMMYFUNCTION("""COMPUTED_VALUE"""),"")</f>
        <v/>
      </c>
      <c r="B142" s="19" t="str">
        <f>IFERROR(__xludf.DUMMYFUNCTION("""COMPUTED_VALUE"""),"")</f>
        <v/>
      </c>
      <c r="C142" s="20" t="str">
        <f>IFERROR(__xludf.DUMMYFUNCTION("""COMPUTED_VALUE"""),"")</f>
        <v/>
      </c>
      <c r="D142" s="21" t="str">
        <f>IFERROR(__xludf.DUMMYFUNCTION("""COMPUTED_VALUE"""),"")</f>
        <v/>
      </c>
      <c r="E142" s="21" t="str">
        <f>IFERROR(__xludf.DUMMYFUNCTION("""COMPUTED_VALUE"""),"")</f>
        <v/>
      </c>
      <c r="F142" s="21" t="str">
        <f>IFERROR(__xludf.DUMMYFUNCTION("""COMPUTED_VALUE"""),"")</f>
        <v/>
      </c>
      <c r="G142" s="23" t="str">
        <f>IFERROR(__xludf.DUMMYFUNCTION("""COMPUTED_VALUE"""),"")</f>
        <v/>
      </c>
      <c r="H142" s="4"/>
      <c r="I142" s="5" t="s">
        <v>2320</v>
      </c>
      <c r="J142" s="5" t="s">
        <v>54</v>
      </c>
      <c r="K142" s="5">
        <v>4.0</v>
      </c>
      <c r="L142" s="5">
        <v>-0.366189</v>
      </c>
      <c r="M142" s="5">
        <v>-0.143088</v>
      </c>
      <c r="N142" s="5">
        <v>-0.509277</v>
      </c>
      <c r="O142" s="5">
        <v>0.001804</v>
      </c>
    </row>
    <row r="143">
      <c r="A143" s="12" t="str">
        <f>IFERROR(__xludf.DUMMYFUNCTION("""COMPUTED_VALUE"""),"")</f>
        <v/>
      </c>
      <c r="B143" s="13" t="str">
        <f>IFERROR(__xludf.DUMMYFUNCTION("""COMPUTED_VALUE"""),"")</f>
        <v/>
      </c>
      <c r="C143" s="14" t="str">
        <f>IFERROR(__xludf.DUMMYFUNCTION("""COMPUTED_VALUE"""),"")</f>
        <v/>
      </c>
      <c r="D143" s="15" t="str">
        <f>IFERROR(__xludf.DUMMYFUNCTION("""COMPUTED_VALUE"""),"")</f>
        <v/>
      </c>
      <c r="E143" s="15" t="str">
        <f>IFERROR(__xludf.DUMMYFUNCTION("""COMPUTED_VALUE"""),"")</f>
        <v/>
      </c>
      <c r="F143" s="15" t="str">
        <f>IFERROR(__xludf.DUMMYFUNCTION("""COMPUTED_VALUE"""),"")</f>
        <v/>
      </c>
      <c r="G143" s="17" t="str">
        <f>IFERROR(__xludf.DUMMYFUNCTION("""COMPUTED_VALUE"""),"")</f>
        <v/>
      </c>
      <c r="H143" s="4"/>
      <c r="I143" s="5" t="s">
        <v>2322</v>
      </c>
      <c r="J143" s="5" t="s">
        <v>2124</v>
      </c>
      <c r="K143" s="5">
        <v>465.0</v>
      </c>
      <c r="L143" s="5">
        <v>-0.673368</v>
      </c>
      <c r="M143" s="5">
        <v>0.15465</v>
      </c>
      <c r="N143" s="5">
        <v>-0.518718</v>
      </c>
      <c r="O143" s="5">
        <v>0.207639</v>
      </c>
    </row>
    <row r="144">
      <c r="A144" s="18" t="str">
        <f>IFERROR(__xludf.DUMMYFUNCTION("""COMPUTED_VALUE"""),"")</f>
        <v/>
      </c>
      <c r="B144" s="19" t="str">
        <f>IFERROR(__xludf.DUMMYFUNCTION("""COMPUTED_VALUE"""),"")</f>
        <v/>
      </c>
      <c r="C144" s="20" t="str">
        <f>IFERROR(__xludf.DUMMYFUNCTION("""COMPUTED_VALUE"""),"")</f>
        <v/>
      </c>
      <c r="D144" s="21" t="str">
        <f>IFERROR(__xludf.DUMMYFUNCTION("""COMPUTED_VALUE"""),"")</f>
        <v/>
      </c>
      <c r="E144" s="21" t="str">
        <f>IFERROR(__xludf.DUMMYFUNCTION("""COMPUTED_VALUE"""),"")</f>
        <v/>
      </c>
      <c r="F144" s="21" t="str">
        <f>IFERROR(__xludf.DUMMYFUNCTION("""COMPUTED_VALUE"""),"")</f>
        <v/>
      </c>
      <c r="G144" s="23" t="str">
        <f>IFERROR(__xludf.DUMMYFUNCTION("""COMPUTED_VALUE"""),"")</f>
        <v/>
      </c>
      <c r="H144" s="4"/>
      <c r="I144" s="5" t="s">
        <v>2324</v>
      </c>
      <c r="J144" s="5" t="s">
        <v>2124</v>
      </c>
      <c r="K144" s="5">
        <v>42.0</v>
      </c>
      <c r="L144" s="5">
        <v>-1.02711</v>
      </c>
      <c r="M144" s="5">
        <v>0.504322</v>
      </c>
      <c r="N144" s="5">
        <v>-0.522788</v>
      </c>
      <c r="O144" s="5">
        <v>0.018703</v>
      </c>
    </row>
    <row r="145">
      <c r="A145" s="12" t="str">
        <f>IFERROR(__xludf.DUMMYFUNCTION("""COMPUTED_VALUE"""),"")</f>
        <v/>
      </c>
      <c r="B145" s="13" t="str">
        <f>IFERROR(__xludf.DUMMYFUNCTION("""COMPUTED_VALUE"""),"")</f>
        <v/>
      </c>
      <c r="C145" s="14" t="str">
        <f>IFERROR(__xludf.DUMMYFUNCTION("""COMPUTED_VALUE"""),"")</f>
        <v/>
      </c>
      <c r="D145" s="15" t="str">
        <f>IFERROR(__xludf.DUMMYFUNCTION("""COMPUTED_VALUE"""),"")</f>
        <v/>
      </c>
      <c r="E145" s="15" t="str">
        <f>IFERROR(__xludf.DUMMYFUNCTION("""COMPUTED_VALUE"""),"")</f>
        <v/>
      </c>
      <c r="F145" s="15" t="str">
        <f>IFERROR(__xludf.DUMMYFUNCTION("""COMPUTED_VALUE"""),"")</f>
        <v/>
      </c>
      <c r="G145" s="17" t="str">
        <f>IFERROR(__xludf.DUMMYFUNCTION("""COMPUTED_VALUE"""),"")</f>
        <v/>
      </c>
      <c r="H145" s="4"/>
      <c r="I145" s="5" t="s">
        <v>2326</v>
      </c>
      <c r="J145" s="5" t="s">
        <v>2130</v>
      </c>
      <c r="K145" s="5">
        <v>158.0</v>
      </c>
      <c r="L145" s="5">
        <v>1.82077</v>
      </c>
      <c r="M145" s="5">
        <v>-2.387551</v>
      </c>
      <c r="N145" s="5">
        <v>-0.566781</v>
      </c>
      <c r="O145" s="5">
        <v>0.070171</v>
      </c>
    </row>
    <row r="146">
      <c r="A146" s="18" t="str">
        <f>IFERROR(__xludf.DUMMYFUNCTION("""COMPUTED_VALUE"""),"")</f>
        <v/>
      </c>
      <c r="B146" s="19" t="str">
        <f>IFERROR(__xludf.DUMMYFUNCTION("""COMPUTED_VALUE"""),"")</f>
        <v/>
      </c>
      <c r="C146" s="20" t="str">
        <f>IFERROR(__xludf.DUMMYFUNCTION("""COMPUTED_VALUE"""),"")</f>
        <v/>
      </c>
      <c r="D146" s="21" t="str">
        <f>IFERROR(__xludf.DUMMYFUNCTION("""COMPUTED_VALUE"""),"")</f>
        <v/>
      </c>
      <c r="E146" s="21" t="str">
        <f>IFERROR(__xludf.DUMMYFUNCTION("""COMPUTED_VALUE"""),"")</f>
        <v/>
      </c>
      <c r="F146" s="21" t="str">
        <f>IFERROR(__xludf.DUMMYFUNCTION("""COMPUTED_VALUE"""),"")</f>
        <v/>
      </c>
      <c r="G146" s="23" t="str">
        <f>IFERROR(__xludf.DUMMYFUNCTION("""COMPUTED_VALUE"""),"")</f>
        <v/>
      </c>
      <c r="H146" s="4"/>
      <c r="I146" s="5" t="s">
        <v>2328</v>
      </c>
      <c r="J146" s="5" t="s">
        <v>2121</v>
      </c>
      <c r="K146" s="5">
        <v>793.0</v>
      </c>
      <c r="L146" s="5">
        <v>0.412097</v>
      </c>
      <c r="M146" s="5">
        <v>-1.011544</v>
      </c>
      <c r="N146" s="5">
        <v>-0.599448</v>
      </c>
      <c r="O146" s="5">
        <v>0.343766</v>
      </c>
    </row>
    <row r="147">
      <c r="A147" s="12" t="str">
        <f>IFERROR(__xludf.DUMMYFUNCTION("""COMPUTED_VALUE"""),"")</f>
        <v/>
      </c>
      <c r="B147" s="13" t="str">
        <f>IFERROR(__xludf.DUMMYFUNCTION("""COMPUTED_VALUE"""),"")</f>
        <v/>
      </c>
      <c r="C147" s="14" t="str">
        <f>IFERROR(__xludf.DUMMYFUNCTION("""COMPUTED_VALUE"""),"")</f>
        <v/>
      </c>
      <c r="D147" s="15" t="str">
        <f>IFERROR(__xludf.DUMMYFUNCTION("""COMPUTED_VALUE"""),"")</f>
        <v/>
      </c>
      <c r="E147" s="15" t="str">
        <f>IFERROR(__xludf.DUMMYFUNCTION("""COMPUTED_VALUE"""),"")</f>
        <v/>
      </c>
      <c r="F147" s="15" t="str">
        <f>IFERROR(__xludf.DUMMYFUNCTION("""COMPUTED_VALUE"""),"")</f>
        <v/>
      </c>
      <c r="G147" s="17" t="str">
        <f>IFERROR(__xludf.DUMMYFUNCTION("""COMPUTED_VALUE"""),"")</f>
        <v/>
      </c>
      <c r="H147" s="4"/>
      <c r="I147" s="5" t="s">
        <v>2329</v>
      </c>
      <c r="J147" s="5" t="s">
        <v>2121</v>
      </c>
      <c r="K147" s="5">
        <v>6.0</v>
      </c>
      <c r="L147" s="5">
        <v>-0.437893</v>
      </c>
      <c r="M147" s="5">
        <v>-0.185931</v>
      </c>
      <c r="N147" s="5">
        <v>-0.623824</v>
      </c>
      <c r="O147" s="5">
        <v>0.002556</v>
      </c>
    </row>
    <row r="148">
      <c r="A148" s="18" t="str">
        <f>IFERROR(__xludf.DUMMYFUNCTION("""COMPUTED_VALUE"""),"")</f>
        <v/>
      </c>
      <c r="B148" s="19" t="str">
        <f>IFERROR(__xludf.DUMMYFUNCTION("""COMPUTED_VALUE"""),"")</f>
        <v/>
      </c>
      <c r="C148" s="20" t="str">
        <f>IFERROR(__xludf.DUMMYFUNCTION("""COMPUTED_VALUE"""),"")</f>
        <v/>
      </c>
      <c r="D148" s="21" t="str">
        <f>IFERROR(__xludf.DUMMYFUNCTION("""COMPUTED_VALUE"""),"")</f>
        <v/>
      </c>
      <c r="E148" s="21" t="str">
        <f>IFERROR(__xludf.DUMMYFUNCTION("""COMPUTED_VALUE"""),"")</f>
        <v/>
      </c>
      <c r="F148" s="21" t="str">
        <f>IFERROR(__xludf.DUMMYFUNCTION("""COMPUTED_VALUE"""),"")</f>
        <v/>
      </c>
      <c r="G148" s="23" t="str">
        <f>IFERROR(__xludf.DUMMYFUNCTION("""COMPUTED_VALUE"""),"")</f>
        <v/>
      </c>
      <c r="H148" s="4"/>
      <c r="I148" s="5" t="s">
        <v>2331</v>
      </c>
      <c r="J148" s="5" t="s">
        <v>2121</v>
      </c>
      <c r="K148" s="5">
        <v>23.0</v>
      </c>
      <c r="L148" s="5">
        <v>-0.536608</v>
      </c>
      <c r="M148" s="5">
        <v>-0.110048</v>
      </c>
      <c r="N148" s="5">
        <v>-0.646656</v>
      </c>
      <c r="O148" s="5">
        <v>0.009634</v>
      </c>
    </row>
    <row r="149">
      <c r="A149" s="12" t="str">
        <f>IFERROR(__xludf.DUMMYFUNCTION("""COMPUTED_VALUE"""),"")</f>
        <v/>
      </c>
      <c r="B149" s="13" t="str">
        <f>IFERROR(__xludf.DUMMYFUNCTION("""COMPUTED_VALUE"""),"")</f>
        <v/>
      </c>
      <c r="C149" s="14" t="str">
        <f>IFERROR(__xludf.DUMMYFUNCTION("""COMPUTED_VALUE"""),"")</f>
        <v/>
      </c>
      <c r="D149" s="15" t="str">
        <f>IFERROR(__xludf.DUMMYFUNCTION("""COMPUTED_VALUE"""),"")</f>
        <v/>
      </c>
      <c r="E149" s="15" t="str">
        <f>IFERROR(__xludf.DUMMYFUNCTION("""COMPUTED_VALUE"""),"")</f>
        <v/>
      </c>
      <c r="F149" s="15" t="str">
        <f>IFERROR(__xludf.DUMMYFUNCTION("""COMPUTED_VALUE"""),"")</f>
        <v/>
      </c>
      <c r="G149" s="17" t="str">
        <f>IFERROR(__xludf.DUMMYFUNCTION("""COMPUTED_VALUE"""),"")</f>
        <v/>
      </c>
      <c r="H149" s="4"/>
      <c r="I149" s="5" t="s">
        <v>2333</v>
      </c>
      <c r="J149" s="5" t="s">
        <v>2231</v>
      </c>
      <c r="K149" s="5">
        <v>112.0</v>
      </c>
      <c r="L149" s="5">
        <v>0.6476</v>
      </c>
      <c r="M149" s="5">
        <v>-1.320269</v>
      </c>
      <c r="N149" s="5">
        <v>-0.672669</v>
      </c>
      <c r="O149" s="5">
        <v>0.044949</v>
      </c>
    </row>
    <row r="150">
      <c r="A150" s="18" t="str">
        <f>IFERROR(__xludf.DUMMYFUNCTION("""COMPUTED_VALUE"""),"")</f>
        <v/>
      </c>
      <c r="B150" s="19" t="str">
        <f>IFERROR(__xludf.DUMMYFUNCTION("""COMPUTED_VALUE"""),"")</f>
        <v/>
      </c>
      <c r="C150" s="20" t="str">
        <f>IFERROR(__xludf.DUMMYFUNCTION("""COMPUTED_VALUE"""),"")</f>
        <v/>
      </c>
      <c r="D150" s="21" t="str">
        <f>IFERROR(__xludf.DUMMYFUNCTION("""COMPUTED_VALUE"""),"")</f>
        <v/>
      </c>
      <c r="E150" s="21" t="str">
        <f>IFERROR(__xludf.DUMMYFUNCTION("""COMPUTED_VALUE"""),"")</f>
        <v/>
      </c>
      <c r="F150" s="21" t="str">
        <f>IFERROR(__xludf.DUMMYFUNCTION("""COMPUTED_VALUE"""),"")</f>
        <v/>
      </c>
      <c r="G150" s="23" t="str">
        <f>IFERROR(__xludf.DUMMYFUNCTION("""COMPUTED_VALUE"""),"")</f>
        <v/>
      </c>
      <c r="H150" s="4"/>
      <c r="I150" s="5" t="s">
        <v>2335</v>
      </c>
      <c r="J150" s="5" t="s">
        <v>2167</v>
      </c>
      <c r="K150" s="5">
        <v>342.0</v>
      </c>
      <c r="L150" s="5">
        <v>-2.227415</v>
      </c>
      <c r="M150" s="5">
        <v>1.545896</v>
      </c>
      <c r="N150" s="5">
        <v>-0.681519</v>
      </c>
      <c r="O150" s="5">
        <v>0.136905</v>
      </c>
    </row>
    <row r="151">
      <c r="A151" s="12" t="str">
        <f>IFERROR(__xludf.DUMMYFUNCTION("""COMPUTED_VALUE"""),"")</f>
        <v/>
      </c>
      <c r="B151" s="13" t="str">
        <f>IFERROR(__xludf.DUMMYFUNCTION("""COMPUTED_VALUE"""),"")</f>
        <v/>
      </c>
      <c r="C151" s="14" t="str">
        <f>IFERROR(__xludf.DUMMYFUNCTION("""COMPUTED_VALUE"""),"")</f>
        <v/>
      </c>
      <c r="D151" s="15" t="str">
        <f>IFERROR(__xludf.DUMMYFUNCTION("""COMPUTED_VALUE"""),"")</f>
        <v/>
      </c>
      <c r="E151" s="15" t="str">
        <f>IFERROR(__xludf.DUMMYFUNCTION("""COMPUTED_VALUE"""),"")</f>
        <v/>
      </c>
      <c r="F151" s="15" t="str">
        <f>IFERROR(__xludf.DUMMYFUNCTION("""COMPUTED_VALUE"""),"")</f>
        <v/>
      </c>
      <c r="G151" s="17" t="str">
        <f>IFERROR(__xludf.DUMMYFUNCTION("""COMPUTED_VALUE"""),"")</f>
        <v/>
      </c>
      <c r="H151" s="4"/>
      <c r="I151" s="5" t="s">
        <v>2338</v>
      </c>
      <c r="J151" s="5" t="s">
        <v>2169</v>
      </c>
      <c r="K151" s="5">
        <v>10.0</v>
      </c>
      <c r="L151" s="5">
        <v>-0.403127</v>
      </c>
      <c r="M151" s="5">
        <v>-0.288559</v>
      </c>
      <c r="N151" s="5">
        <v>-0.691686</v>
      </c>
      <c r="O151" s="5">
        <v>0.004048</v>
      </c>
    </row>
    <row r="152">
      <c r="A152" s="18" t="str">
        <f>IFERROR(__xludf.DUMMYFUNCTION("""COMPUTED_VALUE"""),"")</f>
        <v/>
      </c>
      <c r="B152" s="19" t="str">
        <f>IFERROR(__xludf.DUMMYFUNCTION("""COMPUTED_VALUE"""),"")</f>
        <v/>
      </c>
      <c r="C152" s="20" t="str">
        <f>IFERROR(__xludf.DUMMYFUNCTION("""COMPUTED_VALUE"""),"")</f>
        <v/>
      </c>
      <c r="D152" s="21" t="str">
        <f>IFERROR(__xludf.DUMMYFUNCTION("""COMPUTED_VALUE"""),"")</f>
        <v/>
      </c>
      <c r="E152" s="21" t="str">
        <f>IFERROR(__xludf.DUMMYFUNCTION("""COMPUTED_VALUE"""),"")</f>
        <v/>
      </c>
      <c r="F152" s="21" t="str">
        <f>IFERROR(__xludf.DUMMYFUNCTION("""COMPUTED_VALUE"""),"")</f>
        <v/>
      </c>
      <c r="G152" s="23" t="str">
        <f>IFERROR(__xludf.DUMMYFUNCTION("""COMPUTED_VALUE"""),"")</f>
        <v/>
      </c>
      <c r="H152" s="4"/>
      <c r="I152" s="5" t="s">
        <v>2339</v>
      </c>
      <c r="J152" s="5" t="s">
        <v>2169</v>
      </c>
      <c r="K152" s="5">
        <v>12.0</v>
      </c>
      <c r="L152" s="5">
        <v>-0.505435</v>
      </c>
      <c r="M152" s="5">
        <v>-0.200826</v>
      </c>
      <c r="N152" s="5">
        <v>-0.706261</v>
      </c>
      <c r="O152" s="5">
        <v>0.004804</v>
      </c>
    </row>
    <row r="153">
      <c r="A153" s="12" t="str">
        <f>IFERROR(__xludf.DUMMYFUNCTION("""COMPUTED_VALUE"""),"")</f>
        <v/>
      </c>
      <c r="B153" s="13" t="str">
        <f>IFERROR(__xludf.DUMMYFUNCTION("""COMPUTED_VALUE"""),"")</f>
        <v/>
      </c>
      <c r="C153" s="14" t="str">
        <f>IFERROR(__xludf.DUMMYFUNCTION("""COMPUTED_VALUE"""),"")</f>
        <v/>
      </c>
      <c r="D153" s="15" t="str">
        <f>IFERROR(__xludf.DUMMYFUNCTION("""COMPUTED_VALUE"""),"")</f>
        <v/>
      </c>
      <c r="E153" s="15" t="str">
        <f>IFERROR(__xludf.DUMMYFUNCTION("""COMPUTED_VALUE"""),"")</f>
        <v/>
      </c>
      <c r="F153" s="15" t="str">
        <f>IFERROR(__xludf.DUMMYFUNCTION("""COMPUTED_VALUE"""),"")</f>
        <v/>
      </c>
      <c r="G153" s="17" t="str">
        <f>IFERROR(__xludf.DUMMYFUNCTION("""COMPUTED_VALUE"""),"")</f>
        <v/>
      </c>
      <c r="H153" s="4"/>
      <c r="I153" s="5" t="s">
        <v>2341</v>
      </c>
      <c r="J153" s="5" t="s">
        <v>54</v>
      </c>
      <c r="K153" s="5">
        <v>23.0</v>
      </c>
      <c r="L153" s="5">
        <v>-0.356173</v>
      </c>
      <c r="M153" s="5">
        <v>-0.369114</v>
      </c>
      <c r="N153" s="5">
        <v>-0.725287</v>
      </c>
      <c r="O153" s="5">
        <v>0.008871</v>
      </c>
    </row>
    <row r="154">
      <c r="A154" s="18" t="str">
        <f>IFERROR(__xludf.DUMMYFUNCTION("""COMPUTED_VALUE"""),"")</f>
        <v/>
      </c>
      <c r="B154" s="19" t="str">
        <f>IFERROR(__xludf.DUMMYFUNCTION("""COMPUTED_VALUE"""),"")</f>
        <v/>
      </c>
      <c r="C154" s="20" t="str">
        <f>IFERROR(__xludf.DUMMYFUNCTION("""COMPUTED_VALUE"""),"")</f>
        <v/>
      </c>
      <c r="D154" s="21" t="str">
        <f>IFERROR(__xludf.DUMMYFUNCTION("""COMPUTED_VALUE"""),"")</f>
        <v/>
      </c>
      <c r="E154" s="21" t="str">
        <f>IFERROR(__xludf.DUMMYFUNCTION("""COMPUTED_VALUE"""),"")</f>
        <v/>
      </c>
      <c r="F154" s="21" t="str">
        <f>IFERROR(__xludf.DUMMYFUNCTION("""COMPUTED_VALUE"""),"")</f>
        <v/>
      </c>
      <c r="G154" s="23" t="str">
        <f>IFERROR(__xludf.DUMMYFUNCTION("""COMPUTED_VALUE"""),"")</f>
        <v/>
      </c>
      <c r="H154" s="4"/>
      <c r="I154" s="5" t="s">
        <v>2343</v>
      </c>
      <c r="J154" s="5" t="s">
        <v>2119</v>
      </c>
      <c r="K154" s="5">
        <v>394.0</v>
      </c>
      <c r="L154" s="5">
        <v>-0.880562</v>
      </c>
      <c r="M154" s="5">
        <v>0.139097</v>
      </c>
      <c r="N154" s="5">
        <v>-0.741465</v>
      </c>
      <c r="O154" s="5">
        <v>0.160156</v>
      </c>
    </row>
    <row r="155">
      <c r="A155" s="12" t="str">
        <f>IFERROR(__xludf.DUMMYFUNCTION("""COMPUTED_VALUE"""),"")</f>
        <v/>
      </c>
      <c r="B155" s="13" t="str">
        <f>IFERROR(__xludf.DUMMYFUNCTION("""COMPUTED_VALUE"""),"")</f>
        <v/>
      </c>
      <c r="C155" s="14" t="str">
        <f>IFERROR(__xludf.DUMMYFUNCTION("""COMPUTED_VALUE"""),"")</f>
        <v/>
      </c>
      <c r="D155" s="15" t="str">
        <f>IFERROR(__xludf.DUMMYFUNCTION("""COMPUTED_VALUE"""),"")</f>
        <v/>
      </c>
      <c r="E155" s="15" t="str">
        <f>IFERROR(__xludf.DUMMYFUNCTION("""COMPUTED_VALUE"""),"")</f>
        <v/>
      </c>
      <c r="F155" s="15" t="str">
        <f>IFERROR(__xludf.DUMMYFUNCTION("""COMPUTED_VALUE"""),"")</f>
        <v/>
      </c>
      <c r="G155" s="17" t="str">
        <f>IFERROR(__xludf.DUMMYFUNCTION("""COMPUTED_VALUE"""),"")</f>
        <v/>
      </c>
      <c r="H155" s="4"/>
      <c r="I155" s="5" t="s">
        <v>2345</v>
      </c>
      <c r="J155" s="5" t="s">
        <v>2143</v>
      </c>
      <c r="K155" s="5">
        <v>743.0</v>
      </c>
      <c r="L155" s="5">
        <v>-0.548719</v>
      </c>
      <c r="M155" s="5">
        <v>-0.266308</v>
      </c>
      <c r="N155" s="5">
        <v>-0.815028</v>
      </c>
      <c r="O155" s="5">
        <v>0.273657</v>
      </c>
    </row>
    <row r="156">
      <c r="A156" s="18" t="str">
        <f>IFERROR(__xludf.DUMMYFUNCTION("""COMPUTED_VALUE"""),"")</f>
        <v/>
      </c>
      <c r="B156" s="19" t="str">
        <f>IFERROR(__xludf.DUMMYFUNCTION("""COMPUTED_VALUE"""),"")</f>
        <v/>
      </c>
      <c r="C156" s="20" t="str">
        <f>IFERROR(__xludf.DUMMYFUNCTION("""COMPUTED_VALUE"""),"")</f>
        <v/>
      </c>
      <c r="D156" s="21" t="str">
        <f>IFERROR(__xludf.DUMMYFUNCTION("""COMPUTED_VALUE"""),"")</f>
        <v/>
      </c>
      <c r="E156" s="21" t="str">
        <f>IFERROR(__xludf.DUMMYFUNCTION("""COMPUTED_VALUE"""),"")</f>
        <v/>
      </c>
      <c r="F156" s="21" t="str">
        <f>IFERROR(__xludf.DUMMYFUNCTION("""COMPUTED_VALUE"""),"")</f>
        <v/>
      </c>
      <c r="G156" s="23" t="str">
        <f>IFERROR(__xludf.DUMMYFUNCTION("""COMPUTED_VALUE"""),"")</f>
        <v/>
      </c>
      <c r="H156" s="4"/>
      <c r="I156" s="5" t="s">
        <v>2347</v>
      </c>
      <c r="J156" s="5" t="s">
        <v>2149</v>
      </c>
      <c r="K156" s="5">
        <v>97.0</v>
      </c>
      <c r="L156" s="5">
        <v>-1.703425</v>
      </c>
      <c r="M156" s="5">
        <v>0.857641</v>
      </c>
      <c r="N156" s="5">
        <v>-0.845783</v>
      </c>
      <c r="O156" s="5">
        <v>0.034872</v>
      </c>
    </row>
    <row r="157">
      <c r="A157" s="12" t="str">
        <f>IFERROR(__xludf.DUMMYFUNCTION("""COMPUTED_VALUE"""),"")</f>
        <v/>
      </c>
      <c r="B157" s="13" t="str">
        <f>IFERROR(__xludf.DUMMYFUNCTION("""COMPUTED_VALUE"""),"")</f>
        <v/>
      </c>
      <c r="C157" s="14" t="str">
        <f>IFERROR(__xludf.DUMMYFUNCTION("""COMPUTED_VALUE"""),"")</f>
        <v/>
      </c>
      <c r="D157" s="15" t="str">
        <f>IFERROR(__xludf.DUMMYFUNCTION("""COMPUTED_VALUE"""),"")</f>
        <v/>
      </c>
      <c r="E157" s="15" t="str">
        <f>IFERROR(__xludf.DUMMYFUNCTION("""COMPUTED_VALUE"""),"")</f>
        <v/>
      </c>
      <c r="F157" s="15" t="str">
        <f>IFERROR(__xludf.DUMMYFUNCTION("""COMPUTED_VALUE"""),"")</f>
        <v/>
      </c>
      <c r="G157" s="17" t="str">
        <f>IFERROR(__xludf.DUMMYFUNCTION("""COMPUTED_VALUE"""),"")</f>
        <v/>
      </c>
      <c r="H157" s="4"/>
      <c r="I157" s="5" t="s">
        <v>2348</v>
      </c>
      <c r="J157" s="5" t="s">
        <v>54</v>
      </c>
      <c r="K157" s="5">
        <v>979.0</v>
      </c>
      <c r="L157" s="5">
        <v>3.222382</v>
      </c>
      <c r="M157" s="5">
        <v>-4.076522</v>
      </c>
      <c r="N157" s="5">
        <v>-0.85414</v>
      </c>
      <c r="O157" s="5">
        <v>0.33944</v>
      </c>
    </row>
    <row r="158">
      <c r="A158" s="18" t="str">
        <f>IFERROR(__xludf.DUMMYFUNCTION("""COMPUTED_VALUE"""),"")</f>
        <v/>
      </c>
      <c r="B158" s="19" t="str">
        <f>IFERROR(__xludf.DUMMYFUNCTION("""COMPUTED_VALUE"""),"")</f>
        <v/>
      </c>
      <c r="C158" s="20" t="str">
        <f>IFERROR(__xludf.DUMMYFUNCTION("""COMPUTED_VALUE"""),"")</f>
        <v/>
      </c>
      <c r="D158" s="21" t="str">
        <f>IFERROR(__xludf.DUMMYFUNCTION("""COMPUTED_VALUE"""),"")</f>
        <v/>
      </c>
      <c r="E158" s="21" t="str">
        <f>IFERROR(__xludf.DUMMYFUNCTION("""COMPUTED_VALUE"""),"")</f>
        <v/>
      </c>
      <c r="F158" s="21" t="str">
        <f>IFERROR(__xludf.DUMMYFUNCTION("""COMPUTED_VALUE"""),"")</f>
        <v/>
      </c>
      <c r="G158" s="23" t="str">
        <f>IFERROR(__xludf.DUMMYFUNCTION("""COMPUTED_VALUE"""),"")</f>
        <v/>
      </c>
      <c r="H158" s="4"/>
      <c r="I158" s="5" t="s">
        <v>2350</v>
      </c>
      <c r="J158" s="5" t="s">
        <v>54</v>
      </c>
      <c r="K158" s="5">
        <v>24.0</v>
      </c>
      <c r="L158" s="5">
        <v>-0.652017</v>
      </c>
      <c r="M158" s="5">
        <v>-0.2117</v>
      </c>
      <c r="N158" s="5">
        <v>-0.863717</v>
      </c>
      <c r="O158" s="5">
        <v>0.008252</v>
      </c>
    </row>
    <row r="159">
      <c r="A159" s="12" t="str">
        <f>IFERROR(__xludf.DUMMYFUNCTION("""COMPUTED_VALUE"""),"")</f>
        <v/>
      </c>
      <c r="B159" s="13" t="str">
        <f>IFERROR(__xludf.DUMMYFUNCTION("""COMPUTED_VALUE"""),"")</f>
        <v/>
      </c>
      <c r="C159" s="14" t="str">
        <f>IFERROR(__xludf.DUMMYFUNCTION("""COMPUTED_VALUE"""),"")</f>
        <v/>
      </c>
      <c r="D159" s="15" t="str">
        <f>IFERROR(__xludf.DUMMYFUNCTION("""COMPUTED_VALUE"""),"")</f>
        <v/>
      </c>
      <c r="E159" s="15" t="str">
        <f>IFERROR(__xludf.DUMMYFUNCTION("""COMPUTED_VALUE"""),"")</f>
        <v/>
      </c>
      <c r="F159" s="15" t="str">
        <f>IFERROR(__xludf.DUMMYFUNCTION("""COMPUTED_VALUE"""),"")</f>
        <v/>
      </c>
      <c r="G159" s="17" t="str">
        <f>IFERROR(__xludf.DUMMYFUNCTION("""COMPUTED_VALUE"""),"")</f>
        <v/>
      </c>
      <c r="H159" s="4"/>
      <c r="I159" s="5" t="s">
        <v>2353</v>
      </c>
      <c r="J159" s="5" t="s">
        <v>2167</v>
      </c>
      <c r="K159" s="5">
        <v>918.0</v>
      </c>
      <c r="L159" s="5">
        <v>0.087493</v>
      </c>
      <c r="M159" s="5">
        <v>-0.976352</v>
      </c>
      <c r="N159" s="5">
        <v>-0.888859</v>
      </c>
      <c r="O159" s="5">
        <v>0.309694</v>
      </c>
    </row>
    <row r="160">
      <c r="A160" s="18" t="str">
        <f>IFERROR(__xludf.DUMMYFUNCTION("""COMPUTED_VALUE"""),"")</f>
        <v/>
      </c>
      <c r="B160" s="19" t="str">
        <f>IFERROR(__xludf.DUMMYFUNCTION("""COMPUTED_VALUE"""),"")</f>
        <v/>
      </c>
      <c r="C160" s="20" t="str">
        <f>IFERROR(__xludf.DUMMYFUNCTION("""COMPUTED_VALUE"""),"")</f>
        <v/>
      </c>
      <c r="D160" s="21" t="str">
        <f>IFERROR(__xludf.DUMMYFUNCTION("""COMPUTED_VALUE"""),"")</f>
        <v/>
      </c>
      <c r="E160" s="21" t="str">
        <f>IFERROR(__xludf.DUMMYFUNCTION("""COMPUTED_VALUE"""),"")</f>
        <v/>
      </c>
      <c r="F160" s="21" t="str">
        <f>IFERROR(__xludf.DUMMYFUNCTION("""COMPUTED_VALUE"""),"")</f>
        <v/>
      </c>
      <c r="G160" s="23" t="str">
        <f>IFERROR(__xludf.DUMMYFUNCTION("""COMPUTED_VALUE"""),"")</f>
        <v/>
      </c>
      <c r="H160" s="4"/>
      <c r="I160" s="5" t="s">
        <v>401</v>
      </c>
      <c r="J160" s="5" t="s">
        <v>118</v>
      </c>
      <c r="K160" s="5">
        <v>349.0</v>
      </c>
      <c r="L160" s="5">
        <v>-1.731983</v>
      </c>
      <c r="M160" s="5">
        <v>0.817222</v>
      </c>
      <c r="N160" s="5">
        <v>-0.914762</v>
      </c>
      <c r="O160" s="5">
        <v>0.11469</v>
      </c>
    </row>
    <row r="161">
      <c r="A161" s="12" t="str">
        <f>IFERROR(__xludf.DUMMYFUNCTION("""COMPUTED_VALUE"""),"")</f>
        <v/>
      </c>
      <c r="B161" s="13" t="str">
        <f>IFERROR(__xludf.DUMMYFUNCTION("""COMPUTED_VALUE"""),"")</f>
        <v/>
      </c>
      <c r="C161" s="14" t="str">
        <f>IFERROR(__xludf.DUMMYFUNCTION("""COMPUTED_VALUE"""),"")</f>
        <v/>
      </c>
      <c r="D161" s="15" t="str">
        <f>IFERROR(__xludf.DUMMYFUNCTION("""COMPUTED_VALUE"""),"")</f>
        <v/>
      </c>
      <c r="E161" s="15" t="str">
        <f>IFERROR(__xludf.DUMMYFUNCTION("""COMPUTED_VALUE"""),"")</f>
        <v/>
      </c>
      <c r="F161" s="15" t="str">
        <f>IFERROR(__xludf.DUMMYFUNCTION("""COMPUTED_VALUE"""),"")</f>
        <v/>
      </c>
      <c r="G161" s="17" t="str">
        <f>IFERROR(__xludf.DUMMYFUNCTION("""COMPUTED_VALUE"""),"")</f>
        <v/>
      </c>
      <c r="H161" s="4"/>
      <c r="I161" s="5" t="s">
        <v>2359</v>
      </c>
      <c r="J161" s="5" t="s">
        <v>2231</v>
      </c>
      <c r="K161" s="5">
        <v>823.0</v>
      </c>
      <c r="L161" s="5">
        <v>-0.504173</v>
      </c>
      <c r="M161" s="5">
        <v>-0.493094</v>
      </c>
      <c r="N161" s="5">
        <v>-0.997267</v>
      </c>
      <c r="O161" s="5">
        <v>0.249521</v>
      </c>
    </row>
    <row r="162">
      <c r="A162" s="18" t="str">
        <f>IFERROR(__xludf.DUMMYFUNCTION("""COMPUTED_VALUE"""),"")</f>
        <v/>
      </c>
      <c r="B162" s="19" t="str">
        <f>IFERROR(__xludf.DUMMYFUNCTION("""COMPUTED_VALUE"""),"")</f>
        <v/>
      </c>
      <c r="C162" s="20" t="str">
        <f>IFERROR(__xludf.DUMMYFUNCTION("""COMPUTED_VALUE"""),"")</f>
        <v/>
      </c>
      <c r="D162" s="21" t="str">
        <f>IFERROR(__xludf.DUMMYFUNCTION("""COMPUTED_VALUE"""),"")</f>
        <v/>
      </c>
      <c r="E162" s="21" t="str">
        <f>IFERROR(__xludf.DUMMYFUNCTION("""COMPUTED_VALUE"""),"")</f>
        <v/>
      </c>
      <c r="F162" s="21" t="str">
        <f>IFERROR(__xludf.DUMMYFUNCTION("""COMPUTED_VALUE"""),"")</f>
        <v/>
      </c>
      <c r="G162" s="23" t="str">
        <f>IFERROR(__xludf.DUMMYFUNCTION("""COMPUTED_VALUE"""),"")</f>
        <v/>
      </c>
      <c r="H162" s="4"/>
      <c r="I162" s="5" t="s">
        <v>2360</v>
      </c>
      <c r="J162" s="5" t="s">
        <v>2143</v>
      </c>
      <c r="K162" s="5">
        <v>89.0</v>
      </c>
      <c r="L162" s="5">
        <v>-1.309258</v>
      </c>
      <c r="M162" s="5">
        <v>0.289352</v>
      </c>
      <c r="N162" s="5">
        <v>-1.019905</v>
      </c>
      <c r="O162" s="5">
        <v>0.027112</v>
      </c>
    </row>
    <row r="163">
      <c r="A163" s="12" t="str">
        <f>IFERROR(__xludf.DUMMYFUNCTION("""COMPUTED_VALUE"""),"")</f>
        <v/>
      </c>
      <c r="B163" s="13" t="str">
        <f>IFERROR(__xludf.DUMMYFUNCTION("""COMPUTED_VALUE"""),"")</f>
        <v/>
      </c>
      <c r="C163" s="14" t="str">
        <f>IFERROR(__xludf.DUMMYFUNCTION("""COMPUTED_VALUE"""),"")</f>
        <v/>
      </c>
      <c r="D163" s="15" t="str">
        <f>IFERROR(__xludf.DUMMYFUNCTION("""COMPUTED_VALUE"""),"")</f>
        <v/>
      </c>
      <c r="E163" s="15" t="str">
        <f>IFERROR(__xludf.DUMMYFUNCTION("""COMPUTED_VALUE"""),"")</f>
        <v/>
      </c>
      <c r="F163" s="15" t="str">
        <f>IFERROR(__xludf.DUMMYFUNCTION("""COMPUTED_VALUE"""),"")</f>
        <v/>
      </c>
      <c r="G163" s="17" t="str">
        <f>IFERROR(__xludf.DUMMYFUNCTION("""COMPUTED_VALUE"""),"")</f>
        <v/>
      </c>
      <c r="H163" s="4"/>
      <c r="I163" s="5" t="s">
        <v>2363</v>
      </c>
      <c r="J163" s="5" t="s">
        <v>2149</v>
      </c>
      <c r="K163" s="5">
        <v>175.0</v>
      </c>
      <c r="L163" s="5">
        <v>-2.533051</v>
      </c>
      <c r="M163" s="5">
        <v>1.510926</v>
      </c>
      <c r="N163" s="5">
        <v>-1.022125</v>
      </c>
      <c r="O163" s="5">
        <v>0.053301</v>
      </c>
    </row>
    <row r="164">
      <c r="A164" s="18" t="str">
        <f>IFERROR(__xludf.DUMMYFUNCTION("""COMPUTED_VALUE"""),"")</f>
        <v/>
      </c>
      <c r="B164" s="19" t="str">
        <f>IFERROR(__xludf.DUMMYFUNCTION("""COMPUTED_VALUE"""),"")</f>
        <v/>
      </c>
      <c r="C164" s="20" t="str">
        <f>IFERROR(__xludf.DUMMYFUNCTION("""COMPUTED_VALUE"""),"")</f>
        <v/>
      </c>
      <c r="D164" s="21" t="str">
        <f>IFERROR(__xludf.DUMMYFUNCTION("""COMPUTED_VALUE"""),"")</f>
        <v/>
      </c>
      <c r="E164" s="21" t="str">
        <f>IFERROR(__xludf.DUMMYFUNCTION("""COMPUTED_VALUE"""),"")</f>
        <v/>
      </c>
      <c r="F164" s="21" t="str">
        <f>IFERROR(__xludf.DUMMYFUNCTION("""COMPUTED_VALUE"""),"")</f>
        <v/>
      </c>
      <c r="G164" s="23" t="str">
        <f>IFERROR(__xludf.DUMMYFUNCTION("""COMPUTED_VALUE"""),"")</f>
        <v/>
      </c>
      <c r="H164" s="4"/>
      <c r="I164" s="5" t="s">
        <v>2364</v>
      </c>
      <c r="J164" s="5" t="s">
        <v>2133</v>
      </c>
      <c r="K164" s="24">
        <v>946.0</v>
      </c>
      <c r="L164" s="5">
        <v>-0.289522</v>
      </c>
      <c r="M164" s="5">
        <v>-0.745606</v>
      </c>
      <c r="N164" s="5">
        <v>-1.035127</v>
      </c>
      <c r="O164" s="5">
        <v>0.286716</v>
      </c>
    </row>
    <row r="165">
      <c r="A165" s="12" t="str">
        <f>IFERROR(__xludf.DUMMYFUNCTION("""COMPUTED_VALUE"""),"")</f>
        <v/>
      </c>
      <c r="B165" s="13" t="str">
        <f>IFERROR(__xludf.DUMMYFUNCTION("""COMPUTED_VALUE"""),"")</f>
        <v/>
      </c>
      <c r="C165" s="14" t="str">
        <f>IFERROR(__xludf.DUMMYFUNCTION("""COMPUTED_VALUE"""),"")</f>
        <v/>
      </c>
      <c r="D165" s="15" t="str">
        <f>IFERROR(__xludf.DUMMYFUNCTION("""COMPUTED_VALUE"""),"")</f>
        <v/>
      </c>
      <c r="E165" s="15" t="str">
        <f>IFERROR(__xludf.DUMMYFUNCTION("""COMPUTED_VALUE"""),"")</f>
        <v/>
      </c>
      <c r="F165" s="15" t="str">
        <f>IFERROR(__xludf.DUMMYFUNCTION("""COMPUTED_VALUE"""),"")</f>
        <v/>
      </c>
      <c r="G165" s="17" t="str">
        <f>IFERROR(__xludf.DUMMYFUNCTION("""COMPUTED_VALUE"""),"")</f>
        <v/>
      </c>
      <c r="H165" s="4"/>
      <c r="I165" s="5" t="s">
        <v>2367</v>
      </c>
      <c r="J165" s="5" t="s">
        <v>2130</v>
      </c>
      <c r="K165" s="5">
        <v>541.0</v>
      </c>
      <c r="L165" s="5">
        <v>0.41352</v>
      </c>
      <c r="M165" s="5">
        <v>-1.468382</v>
      </c>
      <c r="N165" s="5">
        <v>-1.054862</v>
      </c>
      <c r="O165" s="5">
        <v>0.158446</v>
      </c>
    </row>
    <row r="166">
      <c r="A166" s="18" t="str">
        <f>IFERROR(__xludf.DUMMYFUNCTION("""COMPUTED_VALUE"""),"")</f>
        <v/>
      </c>
      <c r="B166" s="19" t="str">
        <f>IFERROR(__xludf.DUMMYFUNCTION("""COMPUTED_VALUE"""),"")</f>
        <v/>
      </c>
      <c r="C166" s="20" t="str">
        <f>IFERROR(__xludf.DUMMYFUNCTION("""COMPUTED_VALUE"""),"")</f>
        <v/>
      </c>
      <c r="D166" s="21" t="str">
        <f>IFERROR(__xludf.DUMMYFUNCTION("""COMPUTED_VALUE"""),"")</f>
        <v/>
      </c>
      <c r="E166" s="21" t="str">
        <f>IFERROR(__xludf.DUMMYFUNCTION("""COMPUTED_VALUE"""),"")</f>
        <v/>
      </c>
      <c r="F166" s="21" t="str">
        <f>IFERROR(__xludf.DUMMYFUNCTION("""COMPUTED_VALUE"""),"")</f>
        <v/>
      </c>
      <c r="G166" s="23" t="str">
        <f>IFERROR(__xludf.DUMMYFUNCTION("""COMPUTED_VALUE"""),"")</f>
        <v/>
      </c>
      <c r="H166" s="4"/>
      <c r="I166" s="5" t="s">
        <v>532</v>
      </c>
      <c r="J166" s="5" t="s">
        <v>2135</v>
      </c>
      <c r="K166" s="5">
        <v>307.0</v>
      </c>
      <c r="L166" s="5">
        <v>1.365845</v>
      </c>
      <c r="M166" s="5">
        <v>-2.450163</v>
      </c>
      <c r="N166" s="5">
        <v>-1.084318</v>
      </c>
      <c r="O166" s="5">
        <v>0.085279</v>
      </c>
    </row>
    <row r="167">
      <c r="A167" s="12" t="str">
        <f>IFERROR(__xludf.DUMMYFUNCTION("""COMPUTED_VALUE"""),"")</f>
        <v/>
      </c>
      <c r="B167" s="13" t="str">
        <f>IFERROR(__xludf.DUMMYFUNCTION("""COMPUTED_VALUE"""),"")</f>
        <v/>
      </c>
      <c r="C167" s="14" t="str">
        <f>IFERROR(__xludf.DUMMYFUNCTION("""COMPUTED_VALUE"""),"")</f>
        <v/>
      </c>
      <c r="D167" s="15" t="str">
        <f>IFERROR(__xludf.DUMMYFUNCTION("""COMPUTED_VALUE"""),"")</f>
        <v/>
      </c>
      <c r="E167" s="15" t="str">
        <f>IFERROR(__xludf.DUMMYFUNCTION("""COMPUTED_VALUE"""),"")</f>
        <v/>
      </c>
      <c r="F167" s="15" t="str">
        <f>IFERROR(__xludf.DUMMYFUNCTION("""COMPUTED_VALUE"""),"")</f>
        <v/>
      </c>
      <c r="G167" s="17" t="str">
        <f>IFERROR(__xludf.DUMMYFUNCTION("""COMPUTED_VALUE"""),"")</f>
        <v/>
      </c>
      <c r="H167" s="4"/>
      <c r="I167" s="5" t="s">
        <v>2372</v>
      </c>
      <c r="J167" s="5" t="s">
        <v>2167</v>
      </c>
      <c r="K167" s="5">
        <v>578.0</v>
      </c>
      <c r="L167" s="5">
        <v>-0.168256</v>
      </c>
      <c r="M167" s="5">
        <v>-0.959783</v>
      </c>
      <c r="N167" s="5">
        <v>-1.128039</v>
      </c>
      <c r="O167" s="5">
        <v>0.153019</v>
      </c>
    </row>
    <row r="168">
      <c r="A168" s="18" t="str">
        <f>IFERROR(__xludf.DUMMYFUNCTION("""COMPUTED_VALUE"""),"")</f>
        <v/>
      </c>
      <c r="B168" s="19" t="str">
        <f>IFERROR(__xludf.DUMMYFUNCTION("""COMPUTED_VALUE"""),"")</f>
        <v/>
      </c>
      <c r="C168" s="20" t="str">
        <f>IFERROR(__xludf.DUMMYFUNCTION("""COMPUTED_VALUE"""),"")</f>
        <v/>
      </c>
      <c r="D168" s="21" t="str">
        <f>IFERROR(__xludf.DUMMYFUNCTION("""COMPUTED_VALUE"""),"")</f>
        <v/>
      </c>
      <c r="E168" s="21" t="str">
        <f>IFERROR(__xludf.DUMMYFUNCTION("""COMPUTED_VALUE"""),"")</f>
        <v/>
      </c>
      <c r="F168" s="21" t="str">
        <f>IFERROR(__xludf.DUMMYFUNCTION("""COMPUTED_VALUE"""),"")</f>
        <v/>
      </c>
      <c r="G168" s="23" t="str">
        <f>IFERROR(__xludf.DUMMYFUNCTION("""COMPUTED_VALUE"""),"")</f>
        <v/>
      </c>
      <c r="H168" s="4"/>
      <c r="I168" s="5" t="s">
        <v>190</v>
      </c>
      <c r="J168" s="5" t="s">
        <v>2135</v>
      </c>
      <c r="K168" s="5">
        <v>165.0</v>
      </c>
      <c r="L168" s="5">
        <v>-1.848925</v>
      </c>
      <c r="M168" s="5">
        <v>0.679407</v>
      </c>
      <c r="N168" s="5">
        <v>-1.169518</v>
      </c>
      <c r="O168" s="5">
        <v>0.041569</v>
      </c>
    </row>
    <row r="169">
      <c r="A169" s="12" t="str">
        <f>IFERROR(__xludf.DUMMYFUNCTION("""COMPUTED_VALUE"""),"")</f>
        <v/>
      </c>
      <c r="B169" s="13" t="str">
        <f>IFERROR(__xludf.DUMMYFUNCTION("""COMPUTED_VALUE"""),"")</f>
        <v/>
      </c>
      <c r="C169" s="14" t="str">
        <f>IFERROR(__xludf.DUMMYFUNCTION("""COMPUTED_VALUE"""),"")</f>
        <v/>
      </c>
      <c r="D169" s="15" t="str">
        <f>IFERROR(__xludf.DUMMYFUNCTION("""COMPUTED_VALUE"""),"")</f>
        <v/>
      </c>
      <c r="E169" s="15" t="str">
        <f>IFERROR(__xludf.DUMMYFUNCTION("""COMPUTED_VALUE"""),"")</f>
        <v/>
      </c>
      <c r="F169" s="15" t="str">
        <f>IFERROR(__xludf.DUMMYFUNCTION("""COMPUTED_VALUE"""),"")</f>
        <v/>
      </c>
      <c r="G169" s="17" t="str">
        <f>IFERROR(__xludf.DUMMYFUNCTION("""COMPUTED_VALUE"""),"")</f>
        <v/>
      </c>
      <c r="H169" s="4"/>
      <c r="I169" s="5" t="s">
        <v>2375</v>
      </c>
      <c r="J169" s="5" t="s">
        <v>2135</v>
      </c>
      <c r="K169" s="5">
        <v>569.0</v>
      </c>
      <c r="L169" s="5">
        <v>-1.897899</v>
      </c>
      <c r="M169" s="5">
        <v>0.715434</v>
      </c>
      <c r="N169" s="5">
        <v>-1.182465</v>
      </c>
      <c r="O169" s="5">
        <v>0.141117</v>
      </c>
    </row>
    <row r="170">
      <c r="A170" s="18" t="str">
        <f>IFERROR(__xludf.DUMMYFUNCTION("""COMPUTED_VALUE"""),"")</f>
        <v/>
      </c>
      <c r="B170" s="19" t="str">
        <f>IFERROR(__xludf.DUMMYFUNCTION("""COMPUTED_VALUE"""),"")</f>
        <v/>
      </c>
      <c r="C170" s="20" t="str">
        <f>IFERROR(__xludf.DUMMYFUNCTION("""COMPUTED_VALUE"""),"")</f>
        <v/>
      </c>
      <c r="D170" s="21" t="str">
        <f>IFERROR(__xludf.DUMMYFUNCTION("""COMPUTED_VALUE"""),"")</f>
        <v/>
      </c>
      <c r="E170" s="21" t="str">
        <f>IFERROR(__xludf.DUMMYFUNCTION("""COMPUTED_VALUE"""),"")</f>
        <v/>
      </c>
      <c r="F170" s="21" t="str">
        <f>IFERROR(__xludf.DUMMYFUNCTION("""COMPUTED_VALUE"""),"")</f>
        <v/>
      </c>
      <c r="G170" s="23" t="str">
        <f>IFERROR(__xludf.DUMMYFUNCTION("""COMPUTED_VALUE"""),"")</f>
        <v/>
      </c>
      <c r="H170" s="4"/>
      <c r="I170" s="5" t="s">
        <v>2378</v>
      </c>
      <c r="J170" s="5" t="s">
        <v>2167</v>
      </c>
      <c r="K170" s="5">
        <v>133.0</v>
      </c>
      <c r="L170" s="5">
        <v>-1.553663</v>
      </c>
      <c r="M170" s="5">
        <v>0.316271</v>
      </c>
      <c r="N170" s="5">
        <v>-1.237392</v>
      </c>
      <c r="O170" s="5">
        <v>0.030795</v>
      </c>
    </row>
    <row r="171">
      <c r="A171" s="12" t="str">
        <f>IFERROR(__xludf.DUMMYFUNCTION("""COMPUTED_VALUE"""),"")</f>
        <v/>
      </c>
      <c r="B171" s="13" t="str">
        <f>IFERROR(__xludf.DUMMYFUNCTION("""COMPUTED_VALUE"""),"")</f>
        <v/>
      </c>
      <c r="C171" s="14" t="str">
        <f>IFERROR(__xludf.DUMMYFUNCTION("""COMPUTED_VALUE"""),"")</f>
        <v/>
      </c>
      <c r="D171" s="15" t="str">
        <f>IFERROR(__xludf.DUMMYFUNCTION("""COMPUTED_VALUE"""),"")</f>
        <v/>
      </c>
      <c r="E171" s="15" t="str">
        <f>IFERROR(__xludf.DUMMYFUNCTION("""COMPUTED_VALUE"""),"")</f>
        <v/>
      </c>
      <c r="F171" s="15" t="str">
        <f>IFERROR(__xludf.DUMMYFUNCTION("""COMPUTED_VALUE"""),"")</f>
        <v/>
      </c>
      <c r="G171" s="17" t="str">
        <f>IFERROR(__xludf.DUMMYFUNCTION("""COMPUTED_VALUE"""),"")</f>
        <v/>
      </c>
      <c r="H171" s="4"/>
      <c r="I171" s="5" t="s">
        <v>2379</v>
      </c>
      <c r="J171" s="5" t="s">
        <v>2135</v>
      </c>
      <c r="K171" s="5">
        <v>773.0</v>
      </c>
      <c r="L171" s="5">
        <v>-0.080101</v>
      </c>
      <c r="M171" s="5">
        <v>-1.175945</v>
      </c>
      <c r="N171" s="5">
        <v>-1.256047</v>
      </c>
      <c r="O171" s="5">
        <v>0.174456</v>
      </c>
    </row>
    <row r="172">
      <c r="A172" s="18" t="str">
        <f>IFERROR(__xludf.DUMMYFUNCTION("""COMPUTED_VALUE"""),"")</f>
        <v/>
      </c>
      <c r="B172" s="19" t="str">
        <f>IFERROR(__xludf.DUMMYFUNCTION("""COMPUTED_VALUE"""),"")</f>
        <v/>
      </c>
      <c r="C172" s="20" t="str">
        <f>IFERROR(__xludf.DUMMYFUNCTION("""COMPUTED_VALUE"""),"")</f>
        <v/>
      </c>
      <c r="D172" s="21" t="str">
        <f>IFERROR(__xludf.DUMMYFUNCTION("""COMPUTED_VALUE"""),"")</f>
        <v/>
      </c>
      <c r="E172" s="21" t="str">
        <f>IFERROR(__xludf.DUMMYFUNCTION("""COMPUTED_VALUE"""),"")</f>
        <v/>
      </c>
      <c r="F172" s="21" t="str">
        <f>IFERROR(__xludf.DUMMYFUNCTION("""COMPUTED_VALUE"""),"")</f>
        <v/>
      </c>
      <c r="G172" s="23" t="str">
        <f>IFERROR(__xludf.DUMMYFUNCTION("""COMPUTED_VALUE"""),"")</f>
        <v/>
      </c>
      <c r="H172" s="4"/>
      <c r="I172" s="5" t="s">
        <v>2381</v>
      </c>
      <c r="J172" s="5" t="s">
        <v>2167</v>
      </c>
      <c r="K172" s="5">
        <v>439.0</v>
      </c>
      <c r="L172" s="5">
        <v>-2.141464</v>
      </c>
      <c r="M172" s="5">
        <v>0.876282</v>
      </c>
      <c r="N172" s="5">
        <v>-1.265182</v>
      </c>
      <c r="O172" s="5">
        <v>0.097941</v>
      </c>
    </row>
    <row r="173">
      <c r="A173" s="12" t="str">
        <f>IFERROR(__xludf.DUMMYFUNCTION("""COMPUTED_VALUE"""),"")</f>
        <v/>
      </c>
      <c r="B173" s="13" t="str">
        <f>IFERROR(__xludf.DUMMYFUNCTION("""COMPUTED_VALUE"""),"")</f>
        <v/>
      </c>
      <c r="C173" s="14" t="str">
        <f>IFERROR(__xludf.DUMMYFUNCTION("""COMPUTED_VALUE"""),"")</f>
        <v/>
      </c>
      <c r="D173" s="15" t="str">
        <f>IFERROR(__xludf.DUMMYFUNCTION("""COMPUTED_VALUE"""),"")</f>
        <v/>
      </c>
      <c r="E173" s="15" t="str">
        <f>IFERROR(__xludf.DUMMYFUNCTION("""COMPUTED_VALUE"""),"")</f>
        <v/>
      </c>
      <c r="F173" s="15" t="str">
        <f>IFERROR(__xludf.DUMMYFUNCTION("""COMPUTED_VALUE"""),"")</f>
        <v/>
      </c>
      <c r="G173" s="17" t="str">
        <f>IFERROR(__xludf.DUMMYFUNCTION("""COMPUTED_VALUE"""),"")</f>
        <v/>
      </c>
      <c r="H173" s="4"/>
      <c r="I173" s="5" t="s">
        <v>304</v>
      </c>
      <c r="J173" s="5" t="s">
        <v>2231</v>
      </c>
      <c r="K173" s="5">
        <v>395.0</v>
      </c>
      <c r="L173" s="5">
        <v>2.155917</v>
      </c>
      <c r="M173" s="5">
        <v>-3.444263</v>
      </c>
      <c r="N173" s="5">
        <v>-1.288346</v>
      </c>
      <c r="O173" s="5">
        <v>0.084994</v>
      </c>
    </row>
    <row r="174">
      <c r="A174" s="18" t="str">
        <f>IFERROR(__xludf.DUMMYFUNCTION("""COMPUTED_VALUE"""),"")</f>
        <v/>
      </c>
      <c r="B174" s="19" t="str">
        <f>IFERROR(__xludf.DUMMYFUNCTION("""COMPUTED_VALUE"""),"")</f>
        <v/>
      </c>
      <c r="C174" s="20" t="str">
        <f>IFERROR(__xludf.DUMMYFUNCTION("""COMPUTED_VALUE"""),"")</f>
        <v/>
      </c>
      <c r="D174" s="21" t="str">
        <f>IFERROR(__xludf.DUMMYFUNCTION("""COMPUTED_VALUE"""),"")</f>
        <v/>
      </c>
      <c r="E174" s="21" t="str">
        <f>IFERROR(__xludf.DUMMYFUNCTION("""COMPUTED_VALUE"""),"")</f>
        <v/>
      </c>
      <c r="F174" s="21" t="str">
        <f>IFERROR(__xludf.DUMMYFUNCTION("""COMPUTED_VALUE"""),"")</f>
        <v/>
      </c>
      <c r="G174" s="23" t="str">
        <f>IFERROR(__xludf.DUMMYFUNCTION("""COMPUTED_VALUE"""),"")</f>
        <v/>
      </c>
      <c r="H174" s="4"/>
      <c r="I174" s="5" t="s">
        <v>2383</v>
      </c>
      <c r="J174" s="5" t="s">
        <v>2126</v>
      </c>
      <c r="K174" s="5">
        <v>517.0</v>
      </c>
      <c r="L174" s="5">
        <v>-1.77114</v>
      </c>
      <c r="M174" s="5">
        <v>0.458317</v>
      </c>
      <c r="N174" s="5">
        <v>-1.312823</v>
      </c>
      <c r="O174" s="5">
        <v>0.110572</v>
      </c>
    </row>
    <row r="175">
      <c r="A175" s="12" t="str">
        <f>IFERROR(__xludf.DUMMYFUNCTION("""COMPUTED_VALUE"""),"")</f>
        <v/>
      </c>
      <c r="B175" s="13" t="str">
        <f>IFERROR(__xludf.DUMMYFUNCTION("""COMPUTED_VALUE"""),"")</f>
        <v/>
      </c>
      <c r="C175" s="14" t="str">
        <f>IFERROR(__xludf.DUMMYFUNCTION("""COMPUTED_VALUE"""),"")</f>
        <v/>
      </c>
      <c r="D175" s="15" t="str">
        <f>IFERROR(__xludf.DUMMYFUNCTION("""COMPUTED_VALUE"""),"")</f>
        <v/>
      </c>
      <c r="E175" s="15" t="str">
        <f>IFERROR(__xludf.DUMMYFUNCTION("""COMPUTED_VALUE"""),"")</f>
        <v/>
      </c>
      <c r="F175" s="15" t="str">
        <f>IFERROR(__xludf.DUMMYFUNCTION("""COMPUTED_VALUE"""),"")</f>
        <v/>
      </c>
      <c r="G175" s="17" t="str">
        <f>IFERROR(__xludf.DUMMYFUNCTION("""COMPUTED_VALUE"""),"")</f>
        <v/>
      </c>
      <c r="H175" s="4"/>
      <c r="I175" s="5" t="s">
        <v>2385</v>
      </c>
      <c r="J175" s="5" t="s">
        <v>2140</v>
      </c>
      <c r="K175" s="5">
        <v>17.0</v>
      </c>
      <c r="L175" s="5">
        <v>-0.954425</v>
      </c>
      <c r="M175" s="5">
        <v>-0.383384</v>
      </c>
      <c r="N175" s="5">
        <v>-1.337809</v>
      </c>
      <c r="O175" s="5">
        <v>0.0034</v>
      </c>
    </row>
    <row r="176">
      <c r="A176" s="18" t="str">
        <f>IFERROR(__xludf.DUMMYFUNCTION("""COMPUTED_VALUE"""),"")</f>
        <v/>
      </c>
      <c r="B176" s="19" t="str">
        <f>IFERROR(__xludf.DUMMYFUNCTION("""COMPUTED_VALUE"""),"")</f>
        <v/>
      </c>
      <c r="C176" s="20" t="str">
        <f>IFERROR(__xludf.DUMMYFUNCTION("""COMPUTED_VALUE"""),"")</f>
        <v/>
      </c>
      <c r="D176" s="21" t="str">
        <f>IFERROR(__xludf.DUMMYFUNCTION("""COMPUTED_VALUE"""),"")</f>
        <v/>
      </c>
      <c r="E176" s="21" t="str">
        <f>IFERROR(__xludf.DUMMYFUNCTION("""COMPUTED_VALUE"""),"")</f>
        <v/>
      </c>
      <c r="F176" s="21" t="str">
        <f>IFERROR(__xludf.DUMMYFUNCTION("""COMPUTED_VALUE"""),"")</f>
        <v/>
      </c>
      <c r="G176" s="23" t="str">
        <f>IFERROR(__xludf.DUMMYFUNCTION("""COMPUTED_VALUE"""),"")</f>
        <v/>
      </c>
      <c r="H176" s="4"/>
      <c r="I176" s="5" t="s">
        <v>2387</v>
      </c>
      <c r="J176" s="5" t="s">
        <v>2231</v>
      </c>
      <c r="K176" s="5">
        <v>803.0</v>
      </c>
      <c r="L176" s="5">
        <v>1.650372</v>
      </c>
      <c r="M176" s="5">
        <v>-3.014652</v>
      </c>
      <c r="N176" s="5">
        <v>-1.36428</v>
      </c>
      <c r="O176" s="5">
        <v>0.154349</v>
      </c>
    </row>
    <row r="177">
      <c r="A177" s="12" t="str">
        <f>IFERROR(__xludf.DUMMYFUNCTION("""COMPUTED_VALUE"""),"")</f>
        <v/>
      </c>
      <c r="B177" s="13" t="str">
        <f>IFERROR(__xludf.DUMMYFUNCTION("""COMPUTED_VALUE"""),"")</f>
        <v/>
      </c>
      <c r="C177" s="14" t="str">
        <f>IFERROR(__xludf.DUMMYFUNCTION("""COMPUTED_VALUE"""),"")</f>
        <v/>
      </c>
      <c r="D177" s="15" t="str">
        <f>IFERROR(__xludf.DUMMYFUNCTION("""COMPUTED_VALUE"""),"")</f>
        <v/>
      </c>
      <c r="E177" s="15" t="str">
        <f>IFERROR(__xludf.DUMMYFUNCTION("""COMPUTED_VALUE"""),"")</f>
        <v/>
      </c>
      <c r="F177" s="15" t="str">
        <f>IFERROR(__xludf.DUMMYFUNCTION("""COMPUTED_VALUE"""),"")</f>
        <v/>
      </c>
      <c r="G177" s="17" t="str">
        <f>IFERROR(__xludf.DUMMYFUNCTION("""COMPUTED_VALUE"""),"")</f>
        <v/>
      </c>
      <c r="H177" s="4"/>
      <c r="I177" s="5" t="s">
        <v>2388</v>
      </c>
      <c r="J177" s="5" t="s">
        <v>2231</v>
      </c>
      <c r="K177" s="5">
        <v>221.0</v>
      </c>
      <c r="L177" s="5">
        <v>-0.933139</v>
      </c>
      <c r="M177" s="5">
        <v>-0.465067</v>
      </c>
      <c r="N177" s="5">
        <v>-1.398206</v>
      </c>
      <c r="O177" s="5">
        <v>0.040213</v>
      </c>
    </row>
    <row r="178">
      <c r="A178" s="18" t="str">
        <f>IFERROR(__xludf.DUMMYFUNCTION("""COMPUTED_VALUE"""),"")</f>
        <v/>
      </c>
      <c r="B178" s="19" t="str">
        <f>IFERROR(__xludf.DUMMYFUNCTION("""COMPUTED_VALUE"""),"")</f>
        <v/>
      </c>
      <c r="C178" s="20" t="str">
        <f>IFERROR(__xludf.DUMMYFUNCTION("""COMPUTED_VALUE"""),"")</f>
        <v/>
      </c>
      <c r="D178" s="21" t="str">
        <f>IFERROR(__xludf.DUMMYFUNCTION("""COMPUTED_VALUE"""),"")</f>
        <v/>
      </c>
      <c r="E178" s="21" t="str">
        <f>IFERROR(__xludf.DUMMYFUNCTION("""COMPUTED_VALUE"""),"")</f>
        <v/>
      </c>
      <c r="F178" s="21" t="str">
        <f>IFERROR(__xludf.DUMMYFUNCTION("""COMPUTED_VALUE"""),"")</f>
        <v/>
      </c>
      <c r="G178" s="23" t="str">
        <f>IFERROR(__xludf.DUMMYFUNCTION("""COMPUTED_VALUE"""),"")</f>
        <v/>
      </c>
      <c r="H178" s="4"/>
      <c r="I178" s="5" t="s">
        <v>2390</v>
      </c>
      <c r="J178" s="5" t="s">
        <v>2135</v>
      </c>
      <c r="K178" s="5">
        <v>392.0</v>
      </c>
      <c r="L178" s="5">
        <v>-0.19293</v>
      </c>
      <c r="M178" s="5">
        <v>-1.245549</v>
      </c>
      <c r="N178" s="5">
        <v>-1.438478</v>
      </c>
      <c r="O178" s="5">
        <v>0.066775</v>
      </c>
    </row>
    <row r="179">
      <c r="A179" s="12" t="str">
        <f>IFERROR(__xludf.DUMMYFUNCTION("""COMPUTED_VALUE"""),"")</f>
        <v/>
      </c>
      <c r="B179" s="13" t="str">
        <f>IFERROR(__xludf.DUMMYFUNCTION("""COMPUTED_VALUE"""),"")</f>
        <v/>
      </c>
      <c r="C179" s="14" t="str">
        <f>IFERROR(__xludf.DUMMYFUNCTION("""COMPUTED_VALUE"""),"")</f>
        <v/>
      </c>
      <c r="D179" s="15" t="str">
        <f>IFERROR(__xludf.DUMMYFUNCTION("""COMPUTED_VALUE"""),"")</f>
        <v/>
      </c>
      <c r="E179" s="15" t="str">
        <f>IFERROR(__xludf.DUMMYFUNCTION("""COMPUTED_VALUE"""),"")</f>
        <v/>
      </c>
      <c r="F179" s="15" t="str">
        <f>IFERROR(__xludf.DUMMYFUNCTION("""COMPUTED_VALUE"""),"")</f>
        <v/>
      </c>
      <c r="G179" s="17" t="str">
        <f>IFERROR(__xludf.DUMMYFUNCTION("""COMPUTED_VALUE"""),"")</f>
        <v/>
      </c>
      <c r="H179" s="4"/>
      <c r="I179" s="5" t="s">
        <v>2392</v>
      </c>
      <c r="J179" s="5" t="s">
        <v>2119</v>
      </c>
      <c r="K179" s="5">
        <v>678.0</v>
      </c>
      <c r="L179" s="5">
        <v>-1.337403</v>
      </c>
      <c r="M179" s="5">
        <v>-0.191433</v>
      </c>
      <c r="N179" s="5">
        <v>-1.528836</v>
      </c>
      <c r="O179" s="5">
        <v>0.103177</v>
      </c>
    </row>
    <row r="180">
      <c r="A180" s="18" t="str">
        <f>IFERROR(__xludf.DUMMYFUNCTION("""COMPUTED_VALUE"""),"")</f>
        <v/>
      </c>
      <c r="B180" s="19" t="str">
        <f>IFERROR(__xludf.DUMMYFUNCTION("""COMPUTED_VALUE"""),"")</f>
        <v/>
      </c>
      <c r="C180" s="20" t="str">
        <f>IFERROR(__xludf.DUMMYFUNCTION("""COMPUTED_VALUE"""),"")</f>
        <v/>
      </c>
      <c r="D180" s="21" t="str">
        <f>IFERROR(__xludf.DUMMYFUNCTION("""COMPUTED_VALUE"""),"")</f>
        <v/>
      </c>
      <c r="E180" s="21" t="str">
        <f>IFERROR(__xludf.DUMMYFUNCTION("""COMPUTED_VALUE"""),"")</f>
        <v/>
      </c>
      <c r="F180" s="21" t="str">
        <f>IFERROR(__xludf.DUMMYFUNCTION("""COMPUTED_VALUE"""),"")</f>
        <v/>
      </c>
      <c r="G180" s="23" t="str">
        <f>IFERROR(__xludf.DUMMYFUNCTION("""COMPUTED_VALUE"""),"")</f>
        <v/>
      </c>
      <c r="H180" s="4"/>
      <c r="I180" s="5" t="s">
        <v>2394</v>
      </c>
      <c r="J180" s="5" t="s">
        <v>2143</v>
      </c>
      <c r="K180" s="5">
        <v>516.0</v>
      </c>
      <c r="L180" s="5">
        <v>-3.496466</v>
      </c>
      <c r="M180" s="5">
        <v>1.933132</v>
      </c>
      <c r="N180" s="5">
        <v>-1.563334</v>
      </c>
      <c r="O180" s="5">
        <v>0.070034</v>
      </c>
    </row>
    <row r="181">
      <c r="A181" s="12" t="str">
        <f>IFERROR(__xludf.DUMMYFUNCTION("""COMPUTED_VALUE"""),"")</f>
        <v/>
      </c>
      <c r="B181" s="13" t="str">
        <f>IFERROR(__xludf.DUMMYFUNCTION("""COMPUTED_VALUE"""),"")</f>
        <v/>
      </c>
      <c r="C181" s="14" t="str">
        <f>IFERROR(__xludf.DUMMYFUNCTION("""COMPUTED_VALUE"""),"")</f>
        <v/>
      </c>
      <c r="D181" s="15" t="str">
        <f>IFERROR(__xludf.DUMMYFUNCTION("""COMPUTED_VALUE"""),"")</f>
        <v/>
      </c>
      <c r="E181" s="15" t="str">
        <f>IFERROR(__xludf.DUMMYFUNCTION("""COMPUTED_VALUE"""),"")</f>
        <v/>
      </c>
      <c r="F181" s="15" t="str">
        <f>IFERROR(__xludf.DUMMYFUNCTION("""COMPUTED_VALUE"""),"")</f>
        <v/>
      </c>
      <c r="G181" s="17" t="str">
        <f>IFERROR(__xludf.DUMMYFUNCTION("""COMPUTED_VALUE"""),"")</f>
        <v/>
      </c>
      <c r="H181" s="4"/>
      <c r="I181" s="5" t="s">
        <v>2396</v>
      </c>
      <c r="J181" s="5" t="s">
        <v>2149</v>
      </c>
      <c r="K181" s="5">
        <v>841.0</v>
      </c>
      <c r="L181" s="5">
        <v>-0.957637</v>
      </c>
      <c r="M181" s="5">
        <v>-0.631602</v>
      </c>
      <c r="N181" s="5">
        <v>-1.589239</v>
      </c>
      <c r="O181" s="5">
        <v>0.107598</v>
      </c>
    </row>
    <row r="182">
      <c r="A182" s="18" t="str">
        <f>IFERROR(__xludf.DUMMYFUNCTION("""COMPUTED_VALUE"""),"")</f>
        <v/>
      </c>
      <c r="B182" s="19" t="str">
        <f>IFERROR(__xludf.DUMMYFUNCTION("""COMPUTED_VALUE"""),"")</f>
        <v/>
      </c>
      <c r="C182" s="20" t="str">
        <f>IFERROR(__xludf.DUMMYFUNCTION("""COMPUTED_VALUE"""),"")</f>
        <v/>
      </c>
      <c r="D182" s="21" t="str">
        <f>IFERROR(__xludf.DUMMYFUNCTION("""COMPUTED_VALUE"""),"")</f>
        <v/>
      </c>
      <c r="E182" s="21" t="str">
        <f>IFERROR(__xludf.DUMMYFUNCTION("""COMPUTED_VALUE"""),"")</f>
        <v/>
      </c>
      <c r="F182" s="21" t="str">
        <f>IFERROR(__xludf.DUMMYFUNCTION("""COMPUTED_VALUE"""),"")</f>
        <v/>
      </c>
      <c r="G182" s="23" t="str">
        <f>IFERROR(__xludf.DUMMYFUNCTION("""COMPUTED_VALUE"""),"")</f>
        <v/>
      </c>
      <c r="H182" s="4"/>
      <c r="I182" s="5" t="s">
        <v>142</v>
      </c>
      <c r="J182" s="5" t="s">
        <v>2124</v>
      </c>
      <c r="K182" s="5">
        <v>173.0</v>
      </c>
      <c r="L182" s="5">
        <v>-0.384595</v>
      </c>
      <c r="M182" s="5">
        <v>-1.217046</v>
      </c>
      <c r="N182" s="5">
        <v>-1.601641</v>
      </c>
      <c r="O182" s="5">
        <v>0.020775</v>
      </c>
    </row>
    <row r="183">
      <c r="A183" s="12" t="str">
        <f>IFERROR(__xludf.DUMMYFUNCTION("""COMPUTED_VALUE"""),"")</f>
        <v/>
      </c>
      <c r="B183" s="13" t="str">
        <f>IFERROR(__xludf.DUMMYFUNCTION("""COMPUTED_VALUE"""),"")</f>
        <v/>
      </c>
      <c r="C183" s="14" t="str">
        <f>IFERROR(__xludf.DUMMYFUNCTION("""COMPUTED_VALUE"""),"")</f>
        <v/>
      </c>
      <c r="D183" s="15" t="str">
        <f>IFERROR(__xludf.DUMMYFUNCTION("""COMPUTED_VALUE"""),"")</f>
        <v/>
      </c>
      <c r="E183" s="15" t="str">
        <f>IFERROR(__xludf.DUMMYFUNCTION("""COMPUTED_VALUE"""),"")</f>
        <v/>
      </c>
      <c r="F183" s="15" t="str">
        <f>IFERROR(__xludf.DUMMYFUNCTION("""COMPUTED_VALUE"""),"")</f>
        <v/>
      </c>
      <c r="G183" s="17" t="str">
        <f>IFERROR(__xludf.DUMMYFUNCTION("""COMPUTED_VALUE"""),"")</f>
        <v/>
      </c>
      <c r="H183" s="4"/>
      <c r="I183" s="5" t="s">
        <v>2398</v>
      </c>
      <c r="J183" s="5" t="s">
        <v>54</v>
      </c>
      <c r="K183" s="5">
        <v>625.0</v>
      </c>
      <c r="L183" s="5">
        <v>0.517537</v>
      </c>
      <c r="M183" s="5">
        <v>-2.213228</v>
      </c>
      <c r="N183" s="5">
        <v>-1.695691</v>
      </c>
      <c r="O183" s="5">
        <v>0.05755</v>
      </c>
    </row>
    <row r="184">
      <c r="A184" s="18" t="str">
        <f>IFERROR(__xludf.DUMMYFUNCTION("""COMPUTED_VALUE"""),"")</f>
        <v/>
      </c>
      <c r="B184" s="19" t="str">
        <f>IFERROR(__xludf.DUMMYFUNCTION("""COMPUTED_VALUE"""),"")</f>
        <v/>
      </c>
      <c r="C184" s="20" t="str">
        <f>IFERROR(__xludf.DUMMYFUNCTION("""COMPUTED_VALUE"""),"")</f>
        <v/>
      </c>
      <c r="D184" s="21" t="str">
        <f>IFERROR(__xludf.DUMMYFUNCTION("""COMPUTED_VALUE"""),"")</f>
        <v/>
      </c>
      <c r="E184" s="21" t="str">
        <f>IFERROR(__xludf.DUMMYFUNCTION("""COMPUTED_VALUE"""),"")</f>
        <v/>
      </c>
      <c r="F184" s="21" t="str">
        <f>IFERROR(__xludf.DUMMYFUNCTION("""COMPUTED_VALUE"""),"")</f>
        <v/>
      </c>
      <c r="G184" s="23" t="str">
        <f>IFERROR(__xludf.DUMMYFUNCTION("""COMPUTED_VALUE"""),"")</f>
        <v/>
      </c>
      <c r="H184" s="4"/>
      <c r="I184" s="5" t="s">
        <v>2402</v>
      </c>
      <c r="J184" s="5" t="s">
        <v>2119</v>
      </c>
      <c r="K184" s="5">
        <v>33.0</v>
      </c>
      <c r="L184" s="5">
        <v>-1.180515</v>
      </c>
      <c r="M184" s="5">
        <v>-0.517113</v>
      </c>
      <c r="N184" s="5">
        <v>-1.697628</v>
      </c>
      <c r="O184" s="5">
        <v>0.003223</v>
      </c>
    </row>
    <row r="185">
      <c r="A185" s="12" t="str">
        <f>IFERROR(__xludf.DUMMYFUNCTION("""COMPUTED_VALUE"""),"")</f>
        <v/>
      </c>
      <c r="B185" s="13" t="str">
        <f>IFERROR(__xludf.DUMMYFUNCTION("""COMPUTED_VALUE"""),"")</f>
        <v/>
      </c>
      <c r="C185" s="14" t="str">
        <f>IFERROR(__xludf.DUMMYFUNCTION("""COMPUTED_VALUE"""),"")</f>
        <v/>
      </c>
      <c r="D185" s="15" t="str">
        <f>IFERROR(__xludf.DUMMYFUNCTION("""COMPUTED_VALUE"""),"")</f>
        <v/>
      </c>
      <c r="E185" s="15" t="str">
        <f>IFERROR(__xludf.DUMMYFUNCTION("""COMPUTED_VALUE"""),"")</f>
        <v/>
      </c>
      <c r="F185" s="15" t="str">
        <f>IFERROR(__xludf.DUMMYFUNCTION("""COMPUTED_VALUE"""),"")</f>
        <v/>
      </c>
      <c r="G185" s="17" t="str">
        <f>IFERROR(__xludf.DUMMYFUNCTION("""COMPUTED_VALUE"""),"")</f>
        <v/>
      </c>
      <c r="H185" s="4"/>
      <c r="I185" s="5" t="s">
        <v>2403</v>
      </c>
      <c r="J185" s="5" t="s">
        <v>2149</v>
      </c>
      <c r="K185" s="5">
        <v>709.0</v>
      </c>
      <c r="L185" s="5">
        <v>-0.341415</v>
      </c>
      <c r="M185" s="5">
        <v>-1.365467</v>
      </c>
      <c r="N185" s="5">
        <v>-1.706882</v>
      </c>
      <c r="O185" s="5">
        <v>0.06473</v>
      </c>
    </row>
    <row r="186">
      <c r="A186" s="18" t="str">
        <f>IFERROR(__xludf.DUMMYFUNCTION("""COMPUTED_VALUE"""),"")</f>
        <v/>
      </c>
      <c r="B186" s="19" t="str">
        <f>IFERROR(__xludf.DUMMYFUNCTION("""COMPUTED_VALUE"""),"")</f>
        <v/>
      </c>
      <c r="C186" s="20" t="str">
        <f>IFERROR(__xludf.DUMMYFUNCTION("""COMPUTED_VALUE"""),"")</f>
        <v/>
      </c>
      <c r="D186" s="21" t="str">
        <f>IFERROR(__xludf.DUMMYFUNCTION("""COMPUTED_VALUE"""),"")</f>
        <v/>
      </c>
      <c r="E186" s="21" t="str">
        <f>IFERROR(__xludf.DUMMYFUNCTION("""COMPUTED_VALUE"""),"")</f>
        <v/>
      </c>
      <c r="F186" s="21" t="str">
        <f>IFERROR(__xludf.DUMMYFUNCTION("""COMPUTED_VALUE"""),"")</f>
        <v/>
      </c>
      <c r="G186" s="23" t="str">
        <f>IFERROR(__xludf.DUMMYFUNCTION("""COMPUTED_VALUE"""),"")</f>
        <v/>
      </c>
      <c r="H186" s="4"/>
      <c r="I186" s="5" t="s">
        <v>2406</v>
      </c>
      <c r="J186" s="5" t="s">
        <v>2130</v>
      </c>
      <c r="K186" s="5">
        <v>537.0</v>
      </c>
      <c r="L186" s="5">
        <v>1.309768</v>
      </c>
      <c r="M186" s="5">
        <v>-3.064567</v>
      </c>
      <c r="N186" s="5">
        <v>-1.754799</v>
      </c>
      <c r="O186" s="5">
        <v>0.040802</v>
      </c>
    </row>
    <row r="187">
      <c r="A187" s="12" t="str">
        <f>IFERROR(__xludf.DUMMYFUNCTION("""COMPUTED_VALUE"""),"")</f>
        <v/>
      </c>
      <c r="B187" s="13" t="str">
        <f>IFERROR(__xludf.DUMMYFUNCTION("""COMPUTED_VALUE"""),"")</f>
        <v/>
      </c>
      <c r="C187" s="14" t="str">
        <f>IFERROR(__xludf.DUMMYFUNCTION("""COMPUTED_VALUE"""),"")</f>
        <v/>
      </c>
      <c r="D187" s="15" t="str">
        <f>IFERROR(__xludf.DUMMYFUNCTION("""COMPUTED_VALUE"""),"")</f>
        <v/>
      </c>
      <c r="E187" s="15" t="str">
        <f>IFERROR(__xludf.DUMMYFUNCTION("""COMPUTED_VALUE"""),"")</f>
        <v/>
      </c>
      <c r="F187" s="15" t="str">
        <f>IFERROR(__xludf.DUMMYFUNCTION("""COMPUTED_VALUE"""),"")</f>
        <v/>
      </c>
      <c r="G187" s="17" t="str">
        <f>IFERROR(__xludf.DUMMYFUNCTION("""COMPUTED_VALUE"""),"")</f>
        <v/>
      </c>
      <c r="H187" s="4"/>
      <c r="I187" s="5" t="s">
        <v>2410</v>
      </c>
      <c r="J187" s="5" t="s">
        <v>2140</v>
      </c>
      <c r="K187" s="5">
        <v>391.0</v>
      </c>
      <c r="L187" s="5">
        <v>0.547282</v>
      </c>
      <c r="M187" s="5">
        <v>-2.328317</v>
      </c>
      <c r="N187" s="5">
        <v>-1.781035</v>
      </c>
      <c r="O187" s="5">
        <v>0.025861</v>
      </c>
    </row>
    <row r="188">
      <c r="A188" s="18" t="str">
        <f>IFERROR(__xludf.DUMMYFUNCTION("""COMPUTED_VALUE"""),"")</f>
        <v/>
      </c>
      <c r="B188" s="19" t="str">
        <f>IFERROR(__xludf.DUMMYFUNCTION("""COMPUTED_VALUE"""),"")</f>
        <v/>
      </c>
      <c r="C188" s="20" t="str">
        <f>IFERROR(__xludf.DUMMYFUNCTION("""COMPUTED_VALUE"""),"")</f>
        <v/>
      </c>
      <c r="D188" s="21" t="str">
        <f>IFERROR(__xludf.DUMMYFUNCTION("""COMPUTED_VALUE"""),"")</f>
        <v/>
      </c>
      <c r="E188" s="21" t="str">
        <f>IFERROR(__xludf.DUMMYFUNCTION("""COMPUTED_VALUE"""),"")</f>
        <v/>
      </c>
      <c r="F188" s="21" t="str">
        <f>IFERROR(__xludf.DUMMYFUNCTION("""COMPUTED_VALUE"""),"")</f>
        <v/>
      </c>
      <c r="G188" s="23" t="str">
        <f>IFERROR(__xludf.DUMMYFUNCTION("""COMPUTED_VALUE"""),"")</f>
        <v/>
      </c>
      <c r="H188" s="4"/>
      <c r="I188" s="5" t="s">
        <v>621</v>
      </c>
      <c r="J188" s="5" t="s">
        <v>2140</v>
      </c>
      <c r="K188" s="5">
        <v>199.0</v>
      </c>
      <c r="L188" s="5">
        <v>-0.950924</v>
      </c>
      <c r="M188" s="5">
        <v>-0.876571</v>
      </c>
      <c r="N188" s="5">
        <v>-1.827494</v>
      </c>
      <c r="O188" s="5">
        <v>0.010369</v>
      </c>
    </row>
    <row r="189">
      <c r="A189" s="12" t="str">
        <f>IFERROR(__xludf.DUMMYFUNCTION("""COMPUTED_VALUE"""),"")</f>
        <v/>
      </c>
      <c r="B189" s="13" t="str">
        <f>IFERROR(__xludf.DUMMYFUNCTION("""COMPUTED_VALUE"""),"")</f>
        <v/>
      </c>
      <c r="C189" s="14" t="str">
        <f>IFERROR(__xludf.DUMMYFUNCTION("""COMPUTED_VALUE"""),"")</f>
        <v/>
      </c>
      <c r="D189" s="15" t="str">
        <f>IFERROR(__xludf.DUMMYFUNCTION("""COMPUTED_VALUE"""),"")</f>
        <v/>
      </c>
      <c r="E189" s="15" t="str">
        <f>IFERROR(__xludf.DUMMYFUNCTION("""COMPUTED_VALUE"""),"")</f>
        <v/>
      </c>
      <c r="F189" s="15" t="str">
        <f>IFERROR(__xludf.DUMMYFUNCTION("""COMPUTED_VALUE"""),"")</f>
        <v/>
      </c>
      <c r="G189" s="17" t="str">
        <f>IFERROR(__xludf.DUMMYFUNCTION("""COMPUTED_VALUE"""),"")</f>
        <v/>
      </c>
      <c r="H189" s="4"/>
      <c r="I189" s="5" t="s">
        <v>2413</v>
      </c>
      <c r="J189" s="5" t="s">
        <v>2169</v>
      </c>
      <c r="K189" s="5">
        <v>200.0</v>
      </c>
      <c r="L189" s="5">
        <v>0.609869</v>
      </c>
      <c r="M189" s="5">
        <v>-2.530353</v>
      </c>
      <c r="N189" s="5">
        <v>-1.920484</v>
      </c>
      <c r="O189" s="5">
        <v>0.004921</v>
      </c>
    </row>
    <row r="190">
      <c r="A190" s="18" t="str">
        <f>IFERROR(__xludf.DUMMYFUNCTION("""COMPUTED_VALUE"""),"")</f>
        <v/>
      </c>
      <c r="B190" s="19" t="str">
        <f>IFERROR(__xludf.DUMMYFUNCTION("""COMPUTED_VALUE"""),"")</f>
        <v/>
      </c>
      <c r="C190" s="20" t="str">
        <f>IFERROR(__xludf.DUMMYFUNCTION("""COMPUTED_VALUE"""),"")</f>
        <v/>
      </c>
      <c r="D190" s="21" t="str">
        <f>IFERROR(__xludf.DUMMYFUNCTION("""COMPUTED_VALUE"""),"")</f>
        <v/>
      </c>
      <c r="E190" s="21" t="str">
        <f>IFERROR(__xludf.DUMMYFUNCTION("""COMPUTED_VALUE"""),"")</f>
        <v/>
      </c>
      <c r="F190" s="21" t="str">
        <f>IFERROR(__xludf.DUMMYFUNCTION("""COMPUTED_VALUE"""),"")</f>
        <v/>
      </c>
      <c r="G190" s="23" t="str">
        <f>IFERROR(__xludf.DUMMYFUNCTION("""COMPUTED_VALUE"""),"")</f>
        <v/>
      </c>
      <c r="H190" s="4"/>
      <c r="I190" s="5" t="s">
        <v>2414</v>
      </c>
      <c r="J190" s="5" t="s">
        <v>2126</v>
      </c>
      <c r="K190" s="5">
        <v>39.0</v>
      </c>
      <c r="L190" s="5">
        <v>-1.296203</v>
      </c>
      <c r="M190" s="5">
        <v>-0.637749</v>
      </c>
      <c r="N190" s="5">
        <v>-1.933952</v>
      </c>
      <c r="O190" s="5">
        <v>8.02E-4</v>
      </c>
    </row>
    <row r="191">
      <c r="A191" s="12" t="str">
        <f>IFERROR(__xludf.DUMMYFUNCTION("""COMPUTED_VALUE"""),"")</f>
        <v/>
      </c>
      <c r="B191" s="13" t="str">
        <f>IFERROR(__xludf.DUMMYFUNCTION("""COMPUTED_VALUE"""),"")</f>
        <v/>
      </c>
      <c r="C191" s="14" t="str">
        <f>IFERROR(__xludf.DUMMYFUNCTION("""COMPUTED_VALUE"""),"")</f>
        <v/>
      </c>
      <c r="D191" s="15" t="str">
        <f>IFERROR(__xludf.DUMMYFUNCTION("""COMPUTED_VALUE"""),"")</f>
        <v/>
      </c>
      <c r="E191" s="15" t="str">
        <f>IFERROR(__xludf.DUMMYFUNCTION("""COMPUTED_VALUE"""),"")</f>
        <v/>
      </c>
      <c r="F191" s="15" t="str">
        <f>IFERROR(__xludf.DUMMYFUNCTION("""COMPUTED_VALUE"""),"")</f>
        <v/>
      </c>
      <c r="G191" s="17" t="str">
        <f>IFERROR(__xludf.DUMMYFUNCTION("""COMPUTED_VALUE"""),"")</f>
        <v/>
      </c>
      <c r="H191" s="4"/>
      <c r="I191" s="5" t="s">
        <v>2417</v>
      </c>
      <c r="J191" s="5" t="s">
        <v>2149</v>
      </c>
      <c r="K191" s="5">
        <v>790.0</v>
      </c>
      <c r="L191" s="5">
        <v>-2.183798</v>
      </c>
      <c r="M191" s="5">
        <v>0.202778</v>
      </c>
      <c r="N191" s="5">
        <v>-1.981021</v>
      </c>
      <c r="O191" s="5">
        <v>0.00467</v>
      </c>
    </row>
    <row r="192">
      <c r="A192" s="18" t="str">
        <f>IFERROR(__xludf.DUMMYFUNCTION("""COMPUTED_VALUE"""),"")</f>
        <v/>
      </c>
      <c r="B192" s="19" t="str">
        <f>IFERROR(__xludf.DUMMYFUNCTION("""COMPUTED_VALUE"""),"")</f>
        <v/>
      </c>
      <c r="C192" s="20" t="str">
        <f>IFERROR(__xludf.DUMMYFUNCTION("""COMPUTED_VALUE"""),"")</f>
        <v/>
      </c>
      <c r="D192" s="21" t="str">
        <f>IFERROR(__xludf.DUMMYFUNCTION("""COMPUTED_VALUE"""),"")</f>
        <v/>
      </c>
      <c r="E192" s="21" t="str">
        <f>IFERROR(__xludf.DUMMYFUNCTION("""COMPUTED_VALUE"""),"")</f>
        <v/>
      </c>
      <c r="F192" s="21" t="str">
        <f>IFERROR(__xludf.DUMMYFUNCTION("""COMPUTED_VALUE"""),"")</f>
        <v/>
      </c>
      <c r="G192" s="23" t="str">
        <f>IFERROR(__xludf.DUMMYFUNCTION("""COMPUTED_VALUE"""),"")</f>
        <v/>
      </c>
      <c r="H192" s="4"/>
      <c r="I192" s="5" t="s">
        <v>2419</v>
      </c>
      <c r="J192" s="5" t="s">
        <v>2167</v>
      </c>
      <c r="K192" s="5">
        <v>44.0</v>
      </c>
      <c r="L192" s="5">
        <v>-1.557413</v>
      </c>
      <c r="M192" s="5">
        <v>-0.424144</v>
      </c>
      <c r="N192" s="5">
        <v>-1.981557</v>
      </c>
      <c r="O192" s="5">
        <v>2.46E-4</v>
      </c>
    </row>
    <row r="193">
      <c r="A193" s="12" t="str">
        <f>IFERROR(__xludf.DUMMYFUNCTION("""COMPUTED_VALUE"""),"")</f>
        <v/>
      </c>
      <c r="B193" s="13" t="str">
        <f>IFERROR(__xludf.DUMMYFUNCTION("""COMPUTED_VALUE"""),"")</f>
        <v/>
      </c>
      <c r="C193" s="14" t="str">
        <f>IFERROR(__xludf.DUMMYFUNCTION("""COMPUTED_VALUE"""),"")</f>
        <v/>
      </c>
      <c r="D193" s="15" t="str">
        <f>IFERROR(__xludf.DUMMYFUNCTION("""COMPUTED_VALUE"""),"")</f>
        <v/>
      </c>
      <c r="E193" s="15" t="str">
        <f>IFERROR(__xludf.DUMMYFUNCTION("""COMPUTED_VALUE"""),"")</f>
        <v/>
      </c>
      <c r="F193" s="15" t="str">
        <f>IFERROR(__xludf.DUMMYFUNCTION("""COMPUTED_VALUE"""),"")</f>
        <v/>
      </c>
      <c r="G193" s="17" t="str">
        <f>IFERROR(__xludf.DUMMYFUNCTION("""COMPUTED_VALUE"""),"")</f>
        <v/>
      </c>
      <c r="H193" s="4"/>
      <c r="I193" s="5" t="s">
        <v>2420</v>
      </c>
      <c r="J193" s="5" t="s">
        <v>2121</v>
      </c>
      <c r="K193" s="5">
        <v>71.0</v>
      </c>
      <c r="L193" s="5">
        <v>-0.884508</v>
      </c>
      <c r="M193" s="5">
        <v>-1.119595</v>
      </c>
      <c r="N193" s="5">
        <v>-2.004104</v>
      </c>
      <c r="O193" s="5">
        <v>-9.0E-5</v>
      </c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3" t="str">
        <f>IFERROR(__xludf.DUMMYFUNCTION("""COMPUTED_VALUE"""),"")</f>
        <v/>
      </c>
      <c r="H194" s="4"/>
      <c r="I194" s="5" t="s">
        <v>2422</v>
      </c>
      <c r="J194" s="5" t="s">
        <v>54</v>
      </c>
      <c r="K194" s="5">
        <v>40.0</v>
      </c>
      <c r="L194" s="5">
        <v>-1.480916</v>
      </c>
      <c r="M194" s="5">
        <v>-0.545071</v>
      </c>
      <c r="N194" s="5">
        <v>-2.025987</v>
      </c>
      <c r="O194" s="5">
        <v>-3.15E-4</v>
      </c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7" t="str">
        <f>IFERROR(__xludf.DUMMYFUNCTION("""COMPUTED_VALUE"""),"")</f>
        <v/>
      </c>
      <c r="H195" s="4"/>
      <c r="I195" s="5" t="s">
        <v>2424</v>
      </c>
      <c r="J195" s="5" t="s">
        <v>2149</v>
      </c>
      <c r="K195" s="5">
        <v>313.0</v>
      </c>
      <c r="L195" s="5">
        <v>-3.432958</v>
      </c>
      <c r="M195" s="5">
        <v>1.398153</v>
      </c>
      <c r="N195" s="5">
        <v>-2.034804</v>
      </c>
      <c r="O195" s="5">
        <v>-0.003393</v>
      </c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3" t="str">
        <f>IFERROR(__xludf.DUMMYFUNCTION("""COMPUTED_VALUE"""),"")</f>
        <v/>
      </c>
      <c r="H196" s="4"/>
      <c r="I196" s="5" t="s">
        <v>2083</v>
      </c>
      <c r="J196" s="5" t="s">
        <v>2149</v>
      </c>
      <c r="K196" s="5">
        <v>551.0</v>
      </c>
      <c r="L196" s="5">
        <v>-2.708599</v>
      </c>
      <c r="M196" s="5">
        <v>0.665459</v>
      </c>
      <c r="N196" s="5">
        <v>-2.04314</v>
      </c>
      <c r="O196" s="5">
        <v>-0.007404</v>
      </c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 t="s">
        <v>2427</v>
      </c>
      <c r="J197" s="5" t="s">
        <v>2135</v>
      </c>
      <c r="K197" s="5">
        <v>267.0</v>
      </c>
      <c r="L197" s="5">
        <v>-2.018812</v>
      </c>
      <c r="M197" s="5">
        <v>-0.08174</v>
      </c>
      <c r="N197" s="5">
        <v>-2.100552</v>
      </c>
      <c r="O197" s="5">
        <v>-0.008144</v>
      </c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 t="s">
        <v>1415</v>
      </c>
      <c r="J198" s="5" t="s">
        <v>2130</v>
      </c>
      <c r="K198" s="24">
        <v>367.0</v>
      </c>
      <c r="L198" s="5">
        <v>-1.634114</v>
      </c>
      <c r="M198" s="5">
        <v>-0.479376</v>
      </c>
      <c r="N198" s="5">
        <v>-2.113489</v>
      </c>
      <c r="O198" s="5">
        <v>-0.012906</v>
      </c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 t="s">
        <v>2432</v>
      </c>
      <c r="J199" s="5" t="s">
        <v>2169</v>
      </c>
      <c r="K199" s="5">
        <v>507.0</v>
      </c>
      <c r="L199" s="5">
        <v>-1.335894</v>
      </c>
      <c r="M199" s="5">
        <v>-0.793373</v>
      </c>
      <c r="N199" s="5">
        <v>-2.129267</v>
      </c>
      <c r="O199" s="5">
        <v>-0.020279</v>
      </c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 t="s">
        <v>2434</v>
      </c>
      <c r="J200" s="5" t="s">
        <v>2135</v>
      </c>
      <c r="K200" s="5">
        <v>163.0</v>
      </c>
      <c r="L200" s="5">
        <v>-1.604355</v>
      </c>
      <c r="M200" s="5">
        <v>-0.585336</v>
      </c>
      <c r="N200" s="5">
        <v>-2.189691</v>
      </c>
      <c r="O200" s="5">
        <v>-0.00938</v>
      </c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 t="s">
        <v>2437</v>
      </c>
      <c r="J201" s="5" t="s">
        <v>2119</v>
      </c>
      <c r="K201" s="5">
        <v>192.0</v>
      </c>
      <c r="L201" s="5">
        <v>-2.016777</v>
      </c>
      <c r="M201" s="5">
        <v>-0.200782</v>
      </c>
      <c r="N201" s="5">
        <v>-2.217559</v>
      </c>
      <c r="O201" s="5">
        <v>-0.013492</v>
      </c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 t="s">
        <v>2438</v>
      </c>
      <c r="J202" s="5" t="s">
        <v>2169</v>
      </c>
      <c r="K202" s="5">
        <v>454.0</v>
      </c>
      <c r="L202" s="5">
        <v>-1.165729</v>
      </c>
      <c r="M202" s="5">
        <v>-1.054405</v>
      </c>
      <c r="N202" s="5">
        <v>-2.220134</v>
      </c>
      <c r="O202" s="5">
        <v>-0.030923</v>
      </c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 t="s">
        <v>2441</v>
      </c>
      <c r="J203" s="5" t="s">
        <v>2167</v>
      </c>
      <c r="K203" s="5">
        <v>83.0</v>
      </c>
      <c r="L203" s="5">
        <v>-1.450041</v>
      </c>
      <c r="M203" s="5">
        <v>-0.808543</v>
      </c>
      <c r="N203" s="5">
        <v>-2.258584</v>
      </c>
      <c r="O203" s="5">
        <v>-0.006516</v>
      </c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 t="s">
        <v>2442</v>
      </c>
      <c r="J204" s="5" t="s">
        <v>2119</v>
      </c>
      <c r="K204" s="5">
        <v>266.0</v>
      </c>
      <c r="L204" s="5">
        <v>-1.32595</v>
      </c>
      <c r="M204" s="5">
        <v>-0.987593</v>
      </c>
      <c r="N204" s="5">
        <v>-2.313543</v>
      </c>
      <c r="O204" s="5">
        <v>-0.026938</v>
      </c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 t="s">
        <v>2445</v>
      </c>
      <c r="J205" s="5" t="s">
        <v>2167</v>
      </c>
      <c r="K205" s="5">
        <v>742.0</v>
      </c>
      <c r="L205" s="5">
        <v>-1.193354</v>
      </c>
      <c r="M205" s="5">
        <v>-1.124901</v>
      </c>
      <c r="N205" s="5">
        <v>-2.318256</v>
      </c>
      <c r="O205" s="5">
        <v>-0.071697</v>
      </c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 t="s">
        <v>2447</v>
      </c>
      <c r="J206" s="5" t="s">
        <v>2133</v>
      </c>
      <c r="K206" s="5">
        <v>153.0</v>
      </c>
      <c r="L206" s="5">
        <v>-2.290935</v>
      </c>
      <c r="M206" s="5">
        <v>-0.03212</v>
      </c>
      <c r="N206" s="5">
        <v>-2.323055</v>
      </c>
      <c r="O206" s="5">
        <v>-0.015526</v>
      </c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 t="s">
        <v>2450</v>
      </c>
      <c r="J207" s="5" t="s">
        <v>2140</v>
      </c>
      <c r="K207" s="5">
        <v>492.0</v>
      </c>
      <c r="L207" s="5">
        <v>-1.27188</v>
      </c>
      <c r="M207" s="5">
        <v>-1.155354</v>
      </c>
      <c r="N207" s="5">
        <v>-2.427233</v>
      </c>
      <c r="O207" s="5">
        <v>-0.063492</v>
      </c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 t="s">
        <v>2451</v>
      </c>
      <c r="J208" s="5" t="s">
        <v>2135</v>
      </c>
      <c r="K208" s="5">
        <v>53.0</v>
      </c>
      <c r="L208" s="5">
        <v>-2.207834</v>
      </c>
      <c r="M208" s="5">
        <v>-0.240994</v>
      </c>
      <c r="N208" s="5">
        <v>-2.448828</v>
      </c>
      <c r="O208" s="5">
        <v>-0.007216</v>
      </c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 t="s">
        <v>2454</v>
      </c>
      <c r="J209" s="5" t="s">
        <v>2169</v>
      </c>
      <c r="K209" s="5">
        <v>41.0</v>
      </c>
      <c r="L209" s="5">
        <v>-2.097303</v>
      </c>
      <c r="M209" s="5">
        <v>-0.353342</v>
      </c>
      <c r="N209" s="5">
        <v>-2.450646</v>
      </c>
      <c r="O209" s="5">
        <v>-0.005717</v>
      </c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 t="s">
        <v>487</v>
      </c>
      <c r="J210" s="5" t="s">
        <v>118</v>
      </c>
      <c r="K210" s="5">
        <v>69.0</v>
      </c>
      <c r="L210" s="5">
        <v>-1.376284</v>
      </c>
      <c r="M210" s="5">
        <v>-1.121658</v>
      </c>
      <c r="N210" s="5">
        <v>-2.497942</v>
      </c>
      <c r="O210" s="5">
        <v>-0.010404</v>
      </c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 t="s">
        <v>2458</v>
      </c>
      <c r="J211" s="5" t="s">
        <v>2140</v>
      </c>
      <c r="K211" s="5">
        <v>251.0</v>
      </c>
      <c r="L211" s="5">
        <v>-2.410173</v>
      </c>
      <c r="M211" s="5">
        <v>-0.240835</v>
      </c>
      <c r="N211" s="5">
        <v>-2.651008</v>
      </c>
      <c r="O211" s="5">
        <v>-0.049357</v>
      </c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 t="s">
        <v>2460</v>
      </c>
      <c r="J212" s="5" t="s">
        <v>54</v>
      </c>
      <c r="K212" s="5">
        <v>61.0</v>
      </c>
      <c r="L212" s="5">
        <v>-2.078341</v>
      </c>
      <c r="M212" s="5">
        <v>-0.592478</v>
      </c>
      <c r="N212" s="5">
        <v>-2.670819</v>
      </c>
      <c r="O212" s="5">
        <v>-0.012382</v>
      </c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 t="s">
        <v>2462</v>
      </c>
      <c r="J213" s="5" t="s">
        <v>2140</v>
      </c>
      <c r="K213" s="5">
        <v>525.0</v>
      </c>
      <c r="L213" s="5">
        <v>-0.983677</v>
      </c>
      <c r="M213" s="5">
        <v>-1.822011</v>
      </c>
      <c r="N213" s="5">
        <v>-2.805688</v>
      </c>
      <c r="O213" s="5">
        <v>-0.127767</v>
      </c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 t="s">
        <v>2464</v>
      </c>
      <c r="J214" s="5" t="s">
        <v>54</v>
      </c>
      <c r="K214" s="5">
        <v>696.0</v>
      </c>
      <c r="L214" s="5">
        <v>-0.499772</v>
      </c>
      <c r="M214" s="5">
        <v>-2.323887</v>
      </c>
      <c r="N214" s="5">
        <v>-2.823659</v>
      </c>
      <c r="O214" s="5">
        <v>-0.173462</v>
      </c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 t="s">
        <v>2466</v>
      </c>
      <c r="J215" s="5" t="s">
        <v>2135</v>
      </c>
      <c r="K215" s="5">
        <v>451.0</v>
      </c>
      <c r="L215" s="5">
        <v>-2.712574</v>
      </c>
      <c r="M215" s="5">
        <v>-0.143024</v>
      </c>
      <c r="N215" s="5">
        <v>-2.855597</v>
      </c>
      <c r="O215" s="5">
        <v>-0.117059</v>
      </c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 t="s">
        <v>2469</v>
      </c>
      <c r="J216" s="5" t="s">
        <v>2231</v>
      </c>
      <c r="K216" s="5">
        <v>120.0</v>
      </c>
      <c r="L216" s="5">
        <v>-2.732187</v>
      </c>
      <c r="M216" s="5">
        <v>-0.237152</v>
      </c>
      <c r="N216" s="5">
        <v>-2.969339</v>
      </c>
      <c r="O216" s="5">
        <v>-0.035171</v>
      </c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 t="s">
        <v>2472</v>
      </c>
      <c r="J217" s="5" t="s">
        <v>2119</v>
      </c>
      <c r="K217" s="5">
        <v>314.0</v>
      </c>
      <c r="L217" s="5">
        <v>-2.073983</v>
      </c>
      <c r="M217" s="5">
        <v>-1.050533</v>
      </c>
      <c r="N217" s="5">
        <v>-3.124515</v>
      </c>
      <c r="O217" s="5">
        <v>-0.114045</v>
      </c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 t="s">
        <v>2474</v>
      </c>
      <c r="J218" s="5" t="s">
        <v>2130</v>
      </c>
      <c r="K218" s="5">
        <v>478.0</v>
      </c>
      <c r="L218" s="5">
        <v>0.198483</v>
      </c>
      <c r="M218" s="5">
        <v>-3.376269</v>
      </c>
      <c r="N218" s="5">
        <v>-3.177786</v>
      </c>
      <c r="O218" s="5">
        <v>-0.174455</v>
      </c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 t="s">
        <v>1491</v>
      </c>
      <c r="J219" s="5" t="s">
        <v>2169</v>
      </c>
      <c r="K219" s="5">
        <v>69.0</v>
      </c>
      <c r="L219" s="5">
        <v>-3.118858</v>
      </c>
      <c r="M219" s="5">
        <v>-0.128829</v>
      </c>
      <c r="N219" s="5">
        <v>-3.247687</v>
      </c>
      <c r="O219" s="5">
        <v>-0.026638</v>
      </c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 t="s">
        <v>2478</v>
      </c>
      <c r="J220" s="5" t="s">
        <v>2126</v>
      </c>
      <c r="K220" s="5">
        <v>450.0</v>
      </c>
      <c r="L220" s="5">
        <v>-1.21354</v>
      </c>
      <c r="M220" s="5">
        <v>-2.095265</v>
      </c>
      <c r="N220" s="5">
        <v>-3.308805</v>
      </c>
      <c r="O220" s="5">
        <v>-0.183304</v>
      </c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 t="s">
        <v>246</v>
      </c>
      <c r="J221" s="5" t="s">
        <v>54</v>
      </c>
      <c r="K221" s="5">
        <v>280.0</v>
      </c>
      <c r="L221" s="5">
        <v>-1.422191</v>
      </c>
      <c r="M221" s="5">
        <v>-1.923416</v>
      </c>
      <c r="N221" s="5">
        <v>-3.345607</v>
      </c>
      <c r="O221" s="5">
        <v>-0.114005</v>
      </c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 t="s">
        <v>2480</v>
      </c>
      <c r="J222" s="5" t="s">
        <v>2169</v>
      </c>
      <c r="K222" s="5">
        <v>346.0</v>
      </c>
      <c r="L222" s="5">
        <v>-1.985089</v>
      </c>
      <c r="M222" s="5">
        <v>-1.374065</v>
      </c>
      <c r="N222" s="5">
        <v>-3.359154</v>
      </c>
      <c r="O222" s="5">
        <v>-0.145508</v>
      </c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 t="s">
        <v>2481</v>
      </c>
      <c r="J223" s="5" t="s">
        <v>2167</v>
      </c>
      <c r="K223" s="5">
        <v>795.0</v>
      </c>
      <c r="L223" s="5">
        <v>-2.05731</v>
      </c>
      <c r="M223" s="5">
        <v>-1.311467</v>
      </c>
      <c r="N223" s="5">
        <v>-3.368777</v>
      </c>
      <c r="O223" s="5">
        <v>-0.330385</v>
      </c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 t="s">
        <v>2483</v>
      </c>
      <c r="J224" s="5" t="s">
        <v>2137</v>
      </c>
      <c r="K224" s="5">
        <v>661.0</v>
      </c>
      <c r="L224" s="5">
        <v>-2.544789</v>
      </c>
      <c r="M224" s="5">
        <v>-0.828393</v>
      </c>
      <c r="N224" s="5">
        <v>-3.373182</v>
      </c>
      <c r="O224" s="5">
        <v>-0.287919</v>
      </c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 t="s">
        <v>2485</v>
      </c>
      <c r="J225" s="5" t="s">
        <v>2137</v>
      </c>
      <c r="K225" s="5">
        <v>384.0</v>
      </c>
      <c r="L225" s="5">
        <v>-2.41051</v>
      </c>
      <c r="M225" s="5">
        <v>-0.970359</v>
      </c>
      <c r="N225" s="5">
        <v>-3.380869</v>
      </c>
      <c r="O225" s="5">
        <v>-0.1682</v>
      </c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 t="s">
        <v>2487</v>
      </c>
      <c r="J226" s="5" t="s">
        <v>2149</v>
      </c>
      <c r="K226" s="5">
        <v>626.0</v>
      </c>
      <c r="L226" s="5">
        <v>-2.952724</v>
      </c>
      <c r="M226" s="5">
        <v>-0.49535</v>
      </c>
      <c r="N226" s="5">
        <v>-3.448074</v>
      </c>
      <c r="O226" s="5">
        <v>-0.282347</v>
      </c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 t="s">
        <v>2490</v>
      </c>
      <c r="J227" s="5" t="s">
        <v>2231</v>
      </c>
      <c r="K227" s="5">
        <v>768.0</v>
      </c>
      <c r="L227" s="5">
        <v>-1.312078</v>
      </c>
      <c r="M227" s="5">
        <v>-2.191465</v>
      </c>
      <c r="N227" s="5">
        <v>-3.503542</v>
      </c>
      <c r="O227" s="5">
        <v>-0.349139</v>
      </c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 t="s">
        <v>2492</v>
      </c>
      <c r="J228" s="5" t="s">
        <v>2137</v>
      </c>
      <c r="K228" s="5">
        <v>739.0</v>
      </c>
      <c r="L228" s="5">
        <v>-3.185129</v>
      </c>
      <c r="M228" s="5">
        <v>-0.357205</v>
      </c>
      <c r="N228" s="5">
        <v>-3.542334</v>
      </c>
      <c r="O228" s="5">
        <v>-0.361546</v>
      </c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 t="s">
        <v>2494</v>
      </c>
      <c r="J229" s="5" t="s">
        <v>2169</v>
      </c>
      <c r="K229" s="24">
        <v>235.0</v>
      </c>
      <c r="L229" s="5">
        <v>-1.867471</v>
      </c>
      <c r="M229" s="5">
        <v>-1.718217</v>
      </c>
      <c r="N229" s="5">
        <v>-3.585688</v>
      </c>
      <c r="O229" s="5">
        <v>-0.1153</v>
      </c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 t="s">
        <v>2496</v>
      </c>
      <c r="J230" s="5" t="s">
        <v>2135</v>
      </c>
      <c r="K230" s="5">
        <v>324.0</v>
      </c>
      <c r="L230" s="5">
        <v>-0.969269</v>
      </c>
      <c r="M230" s="5">
        <v>-2.68099</v>
      </c>
      <c r="N230" s="5">
        <v>-3.650259</v>
      </c>
      <c r="O230" s="5">
        <v>-0.162202</v>
      </c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 t="s">
        <v>252</v>
      </c>
      <c r="J231" s="5" t="s">
        <v>2137</v>
      </c>
      <c r="K231" s="5">
        <v>287.0</v>
      </c>
      <c r="L231" s="5">
        <v>-3.377555</v>
      </c>
      <c r="M231" s="5">
        <v>-0.382354</v>
      </c>
      <c r="N231" s="5">
        <v>-3.759909</v>
      </c>
      <c r="O231" s="5">
        <v>-0.15994</v>
      </c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 t="s">
        <v>2498</v>
      </c>
      <c r="J232" s="5" t="s">
        <v>2119</v>
      </c>
      <c r="K232" s="5">
        <v>576.0</v>
      </c>
      <c r="L232" s="5">
        <v>-2.650509</v>
      </c>
      <c r="M232" s="5">
        <v>-1.114806</v>
      </c>
      <c r="N232" s="5">
        <v>-3.765315</v>
      </c>
      <c r="O232" s="5">
        <v>-0.328418</v>
      </c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 t="s">
        <v>2500</v>
      </c>
      <c r="J233" s="5" t="s">
        <v>2169</v>
      </c>
      <c r="K233" s="24">
        <v>768.0</v>
      </c>
      <c r="L233" s="5">
        <v>-1.113322</v>
      </c>
      <c r="M233" s="5">
        <v>-2.673665</v>
      </c>
      <c r="N233" s="5">
        <v>-3.786987</v>
      </c>
      <c r="O233" s="5">
        <v>-0.424645</v>
      </c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 t="s">
        <v>2502</v>
      </c>
      <c r="J234" s="5" t="s">
        <v>2231</v>
      </c>
      <c r="K234" s="5">
        <v>195.0</v>
      </c>
      <c r="L234" s="5">
        <v>-2.28593</v>
      </c>
      <c r="M234" s="5">
        <v>-1.720875</v>
      </c>
      <c r="N234" s="5">
        <v>-4.006805</v>
      </c>
      <c r="O234" s="5">
        <v>-0.118321</v>
      </c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 t="s">
        <v>2505</v>
      </c>
      <c r="J235" s="5" t="s">
        <v>2140</v>
      </c>
      <c r="K235" s="5">
        <v>263.0</v>
      </c>
      <c r="L235" s="5">
        <v>-3.063188</v>
      </c>
      <c r="M235" s="5">
        <v>-0.944576</v>
      </c>
      <c r="N235" s="5">
        <v>-4.007764</v>
      </c>
      <c r="O235" s="5">
        <v>-0.1595</v>
      </c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 t="s">
        <v>2506</v>
      </c>
      <c r="J236" s="5" t="s">
        <v>2167</v>
      </c>
      <c r="K236" s="5">
        <v>161.0</v>
      </c>
      <c r="L236" s="5">
        <v>-3.117901</v>
      </c>
      <c r="M236" s="5">
        <v>-1.01453</v>
      </c>
      <c r="N236" s="5">
        <v>-4.13243</v>
      </c>
      <c r="O236" s="5">
        <v>-0.104237</v>
      </c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 t="s">
        <v>2508</v>
      </c>
      <c r="J237" s="5" t="s">
        <v>2169</v>
      </c>
      <c r="K237" s="5">
        <v>529.0</v>
      </c>
      <c r="L237" s="5">
        <v>-3.480134</v>
      </c>
      <c r="M237" s="5">
        <v>-0.679542</v>
      </c>
      <c r="N237" s="5">
        <v>-4.159676</v>
      </c>
      <c r="O237" s="5">
        <v>-0.353498</v>
      </c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 t="s">
        <v>2510</v>
      </c>
      <c r="J238" s="5" t="s">
        <v>2167</v>
      </c>
      <c r="K238" s="5">
        <v>529.0</v>
      </c>
      <c r="L238" s="5">
        <v>-4.336346</v>
      </c>
      <c r="M238" s="5">
        <v>-0.237478</v>
      </c>
      <c r="N238" s="5">
        <v>-4.573824</v>
      </c>
      <c r="O238" s="5">
        <v>-0.413385</v>
      </c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 t="s">
        <v>2512</v>
      </c>
      <c r="J239" s="5" t="s">
        <v>2167</v>
      </c>
      <c r="K239" s="5">
        <v>261.0</v>
      </c>
      <c r="L239" s="5">
        <v>-3.884838</v>
      </c>
      <c r="M239" s="5">
        <v>-0.708893</v>
      </c>
      <c r="N239" s="5">
        <v>-4.593731</v>
      </c>
      <c r="O239" s="5">
        <v>-0.205535</v>
      </c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 t="s">
        <v>2515</v>
      </c>
      <c r="J240" s="5" t="s">
        <v>2140</v>
      </c>
      <c r="K240" s="5">
        <v>143.0</v>
      </c>
      <c r="L240" s="5">
        <v>-4.161226</v>
      </c>
      <c r="M240" s="5">
        <v>-0.469847</v>
      </c>
      <c r="N240" s="5">
        <v>-4.631072</v>
      </c>
      <c r="O240" s="5">
        <v>-0.113648</v>
      </c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 t="s">
        <v>1872</v>
      </c>
      <c r="J241" s="5" t="s">
        <v>2149</v>
      </c>
      <c r="K241" s="24">
        <v>163.0</v>
      </c>
      <c r="L241" s="5">
        <v>-2.353409</v>
      </c>
      <c r="M241" s="5">
        <v>-2.336928</v>
      </c>
      <c r="N241" s="5">
        <v>-4.690337</v>
      </c>
      <c r="O241" s="5">
        <v>-0.136588</v>
      </c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 t="s">
        <v>2516</v>
      </c>
      <c r="J242" s="5" t="s">
        <v>2169</v>
      </c>
      <c r="K242" s="5">
        <v>371.0</v>
      </c>
      <c r="L242" s="5">
        <v>-0.932205</v>
      </c>
      <c r="M242" s="5">
        <v>-3.884722</v>
      </c>
      <c r="N242" s="5">
        <v>-4.816927</v>
      </c>
      <c r="O242" s="5">
        <v>-0.323365</v>
      </c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 t="s">
        <v>2519</v>
      </c>
      <c r="J243" s="5" t="s">
        <v>2169</v>
      </c>
      <c r="K243" s="5">
        <v>755.0</v>
      </c>
      <c r="L243" s="5">
        <v>-3.049622</v>
      </c>
      <c r="M243" s="5">
        <v>-1.775942</v>
      </c>
      <c r="N243" s="5">
        <v>-4.825564</v>
      </c>
      <c r="O243" s="5">
        <v>-0.660078</v>
      </c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 t="s">
        <v>1603</v>
      </c>
      <c r="J244" s="5" t="s">
        <v>2169</v>
      </c>
      <c r="K244" s="5">
        <v>217.0</v>
      </c>
      <c r="L244" s="5">
        <v>-1.961111</v>
      </c>
      <c r="M244" s="5">
        <v>-2.919691</v>
      </c>
      <c r="N244" s="5">
        <v>-4.880802</v>
      </c>
      <c r="O244" s="5">
        <v>-0.193427</v>
      </c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 t="s">
        <v>2521</v>
      </c>
      <c r="J245" s="5" t="s">
        <v>2169</v>
      </c>
      <c r="K245" s="5">
        <v>291.0</v>
      </c>
      <c r="L245" s="5">
        <v>-4.748255</v>
      </c>
      <c r="M245" s="5">
        <v>-0.173914</v>
      </c>
      <c r="N245" s="5">
        <v>-4.922169</v>
      </c>
      <c r="O245" s="5">
        <v>-0.263112</v>
      </c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 t="s">
        <v>2524</v>
      </c>
      <c r="J246" s="5" t="s">
        <v>2231</v>
      </c>
      <c r="K246" s="5">
        <v>547.0</v>
      </c>
      <c r="L246" s="5">
        <v>-3.522192</v>
      </c>
      <c r="M246" s="5">
        <v>-2.19879</v>
      </c>
      <c r="N246" s="5">
        <v>-5.720982</v>
      </c>
      <c r="O246" s="5">
        <v>-0.615413</v>
      </c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 t="s">
        <v>2525</v>
      </c>
      <c r="J247" s="5" t="s">
        <v>2149</v>
      </c>
      <c r="K247" s="5">
        <v>138.0</v>
      </c>
      <c r="L247" s="5">
        <v>-4.643754</v>
      </c>
      <c r="M247" s="5">
        <v>-1.101334</v>
      </c>
      <c r="N247" s="5">
        <v>-5.745088</v>
      </c>
      <c r="O247" s="5">
        <v>-0.160975</v>
      </c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 t="s">
        <v>2528</v>
      </c>
      <c r="J248" s="5" t="s">
        <v>2169</v>
      </c>
      <c r="K248" s="5">
        <v>200.0</v>
      </c>
      <c r="L248" s="5">
        <v>-5.63613</v>
      </c>
      <c r="M248" s="5">
        <v>-1.012179</v>
      </c>
      <c r="N248" s="5">
        <v>-6.648308</v>
      </c>
      <c r="O248" s="5">
        <v>-0.287652</v>
      </c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 t="s">
        <v>2529</v>
      </c>
      <c r="J249" s="5" t="s">
        <v>2231</v>
      </c>
      <c r="K249" s="5">
        <v>671.0</v>
      </c>
      <c r="L249" s="5">
        <v>-3.563476</v>
      </c>
      <c r="M249" s="5">
        <v>-3.343737</v>
      </c>
      <c r="N249" s="5">
        <v>-6.907212</v>
      </c>
      <c r="O249" s="5">
        <v>-0.995587</v>
      </c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 t="s">
        <v>2530</v>
      </c>
      <c r="J250" s="5" t="s">
        <v>2169</v>
      </c>
      <c r="K250" s="5">
        <v>372.0</v>
      </c>
      <c r="L250" s="5">
        <v>-4.168942</v>
      </c>
      <c r="M250" s="5">
        <v>-4.403679</v>
      </c>
      <c r="N250" s="5">
        <v>-8.572621</v>
      </c>
      <c r="O250" s="5">
        <v>-0.756527</v>
      </c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5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5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5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2179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IFERROR(__xludf.DUMMYFUNCTION("IMPORTRANGE(""https://docs.google.com/spreadsheets/d/1kwTs8FoyZH44yBzMvpzNRPyEd3wriJ-ZAq_FVOP9KjA/edit#gid=1120027332"",""Leaders!A3:G502"")"),"Jamaal Franklin")</f>
        <v>Jamaal Franklin</v>
      </c>
      <c r="B3" s="13" t="str">
        <f>IFERROR(__xludf.DUMMYFUNCTION("""COMPUTED_VALUE"""),"SICH")</f>
        <v>SICH</v>
      </c>
      <c r="C3" s="14">
        <f>IFERROR(__xludf.DUMMYFUNCTION("""COMPUTED_VALUE"""),799.3)</f>
        <v>799.3</v>
      </c>
      <c r="D3" s="15">
        <f>IFERROR(__xludf.DUMMYFUNCTION("""COMPUTED_VALUE"""),11.577583844993844)</f>
        <v>11.57758384</v>
      </c>
      <c r="E3" s="15">
        <f>IFERROR(__xludf.DUMMYFUNCTION("""COMPUTED_VALUE"""),2.786117688663092)</f>
        <v>2.786117689</v>
      </c>
      <c r="F3" s="15">
        <f>IFERROR(__xludf.DUMMYFUNCTION("""COMPUTED_VALUE"""),14.363701533656936)</f>
        <v>14.36370153</v>
      </c>
      <c r="G3" s="17">
        <f>IFERROR(__xludf.DUMMYFUNCTION("""COMPUTED_VALUE"""),4.491041652602581)</f>
        <v>4.491041653</v>
      </c>
      <c r="H3" s="4"/>
      <c r="I3" s="5" t="s">
        <v>2185</v>
      </c>
      <c r="J3" s="5" t="s">
        <v>2186</v>
      </c>
      <c r="K3" s="24">
        <v>799.0</v>
      </c>
      <c r="L3" s="5">
        <v>11.577624</v>
      </c>
      <c r="M3" s="5">
        <v>2.786078</v>
      </c>
      <c r="N3" s="5">
        <v>14.363702</v>
      </c>
      <c r="O3" s="5">
        <v>4.491042</v>
      </c>
    </row>
    <row r="4">
      <c r="A4" s="18" t="str">
        <f>IFERROR(__xludf.DUMMYFUNCTION("""COMPUTED_VALUE"""),"MarShon Brooks")</f>
        <v>MarShon Brooks</v>
      </c>
      <c r="B4" s="19" t="str">
        <f>IFERROR(__xludf.DUMMYFUNCTION("""COMPUTED_VALUE"""),"JIA")</f>
        <v>JIA</v>
      </c>
      <c r="C4" s="20">
        <f>IFERROR(__xludf.DUMMYFUNCTION("""COMPUTED_VALUE"""),1352.1)</f>
        <v>1352.1</v>
      </c>
      <c r="D4" s="21">
        <f>IFERROR(__xludf.DUMMYFUNCTION("""COMPUTED_VALUE"""),10.570919984351395)</f>
        <v>10.57091998</v>
      </c>
      <c r="E4" s="21">
        <f>IFERROR(__xludf.DUMMYFUNCTION("""COMPUTED_VALUE"""),1.243537530429224)</f>
        <v>1.24353753</v>
      </c>
      <c r="F4" s="21">
        <f>IFERROR(__xludf.DUMMYFUNCTION("""COMPUTED_VALUE"""),11.814457514780619)</f>
        <v>11.81445751</v>
      </c>
      <c r="G4" s="23">
        <f>IFERROR(__xludf.DUMMYFUNCTION("""COMPUTED_VALUE"""),6.187373743690194)</f>
        <v>6.187373744</v>
      </c>
      <c r="H4" s="4"/>
      <c r="I4" s="5" t="s">
        <v>2189</v>
      </c>
      <c r="J4" s="5" t="s">
        <v>2190</v>
      </c>
      <c r="K4" s="24">
        <v>1352.0</v>
      </c>
      <c r="L4" s="5">
        <v>10.57096</v>
      </c>
      <c r="M4" s="5">
        <v>1.243497</v>
      </c>
      <c r="N4" s="5">
        <v>11.814458</v>
      </c>
      <c r="O4" s="5">
        <v>6.187374</v>
      </c>
    </row>
    <row r="5">
      <c r="A5" s="12" t="str">
        <f>IFERROR(__xludf.DUMMYFUNCTION("""COMPUTED_VALUE"""),"Courtney Fortson")</f>
        <v>Courtney Fortson</v>
      </c>
      <c r="B5" s="13" t="str">
        <f>IFERROR(__xludf.DUMMYFUNCTION("""COMPUTED_VALUE"""),"ZGL")</f>
        <v>ZGL</v>
      </c>
      <c r="C5" s="14">
        <f>IFERROR(__xludf.DUMMYFUNCTION("""COMPUTED_VALUE"""),2066.6)</f>
        <v>2066.6</v>
      </c>
      <c r="D5" s="15">
        <f>IFERROR(__xludf.DUMMYFUNCTION("""COMPUTED_VALUE"""),8.018604027127363)</f>
        <v>8.018604027</v>
      </c>
      <c r="E5" s="15">
        <f>IFERROR(__xludf.DUMMYFUNCTION("""COMPUTED_VALUE"""),3.5151615809174146)</f>
        <v>3.515161581</v>
      </c>
      <c r="F5" s="15">
        <f>IFERROR(__xludf.DUMMYFUNCTION("""COMPUTED_VALUE"""),11.533765608044778)</f>
        <v>11.53376561</v>
      </c>
      <c r="G5" s="17">
        <f>IFERROR(__xludf.DUMMYFUNCTION("""COMPUTED_VALUE"""),9.269281828467017)</f>
        <v>9.269281828</v>
      </c>
      <c r="H5" s="4"/>
      <c r="I5" s="5" t="s">
        <v>2193</v>
      </c>
      <c r="J5" s="5" t="s">
        <v>2194</v>
      </c>
      <c r="K5" s="24">
        <v>2067.0</v>
      </c>
      <c r="L5" s="5">
        <v>8.018644</v>
      </c>
      <c r="M5" s="5">
        <v>3.515121</v>
      </c>
      <c r="N5" s="5">
        <v>11.533766</v>
      </c>
      <c r="O5" s="5">
        <v>9.269282</v>
      </c>
    </row>
    <row r="6">
      <c r="A6" s="18" t="str">
        <f>IFERROR(__xludf.DUMMYFUNCTION("""COMPUTED_VALUE"""),"Russ Smith")</f>
        <v>Russ Smith</v>
      </c>
      <c r="B6" s="19" t="str">
        <f>IFERROR(__xludf.DUMMYFUNCTION("""COMPUTED_VALUE"""),"FUJ")</f>
        <v>FUJ</v>
      </c>
      <c r="C6" s="20">
        <f>IFERROR(__xludf.DUMMYFUNCTION("""COMPUTED_VALUE"""),1099.7)</f>
        <v>1099.7</v>
      </c>
      <c r="D6" s="21">
        <f>IFERROR(__xludf.DUMMYFUNCTION("""COMPUTED_VALUE"""),9.500190856112548)</f>
        <v>9.500190856</v>
      </c>
      <c r="E6" s="21">
        <f>IFERROR(__xludf.DUMMYFUNCTION("""COMPUTED_VALUE"""),0.10651766594250134)</f>
        <v>0.1065176659</v>
      </c>
      <c r="F6" s="21">
        <f>IFERROR(__xludf.DUMMYFUNCTION("""COMPUTED_VALUE"""),9.60670852205505)</f>
        <v>9.606708522</v>
      </c>
      <c r="G6" s="23">
        <f>IFERROR(__xludf.DUMMYFUNCTION("""COMPUTED_VALUE"""),3.8745022322818286)</f>
        <v>3.874502232</v>
      </c>
      <c r="H6" s="4"/>
      <c r="I6" s="5" t="s">
        <v>2197</v>
      </c>
      <c r="J6" s="5" t="s">
        <v>2198</v>
      </c>
      <c r="K6" s="24">
        <v>1100.0</v>
      </c>
      <c r="L6" s="5">
        <v>9.500231</v>
      </c>
      <c r="M6" s="5">
        <v>0.106477</v>
      </c>
      <c r="N6" s="5">
        <v>9.606709</v>
      </c>
      <c r="O6" s="5">
        <v>3.874502</v>
      </c>
    </row>
    <row r="7">
      <c r="A7" s="12" t="str">
        <f>IFERROR(__xludf.DUMMYFUNCTION("""COMPUTED_VALUE"""),"Ty Lawson")</f>
        <v>Ty Lawson</v>
      </c>
      <c r="B7" s="13" t="str">
        <f>IFERROR(__xludf.DUMMYFUNCTION("""COMPUTED_VALUE"""),"SHA")</f>
        <v>SHA</v>
      </c>
      <c r="C7" s="14">
        <f>IFERROR(__xludf.DUMMYFUNCTION("""COMPUTED_VALUE"""),1658.8)</f>
        <v>1658.8</v>
      </c>
      <c r="D7" s="15">
        <f>IFERROR(__xludf.DUMMYFUNCTION("""COMPUTED_VALUE"""),8.472724788956102)</f>
        <v>8.472724789</v>
      </c>
      <c r="E7" s="15">
        <f>IFERROR(__xludf.DUMMYFUNCTION("""COMPUTED_VALUE"""),0.5706964659777878)</f>
        <v>0.570696466</v>
      </c>
      <c r="F7" s="15">
        <f>IFERROR(__xludf.DUMMYFUNCTION("""COMPUTED_VALUE"""),9.04342125493389)</f>
        <v>9.043421255</v>
      </c>
      <c r="G7" s="17">
        <f>IFERROR(__xludf.DUMMYFUNCTION("""COMPUTED_VALUE"""),5.586645751013287)</f>
        <v>5.586645751</v>
      </c>
      <c r="H7" s="4"/>
      <c r="I7" s="5" t="s">
        <v>2200</v>
      </c>
      <c r="J7" s="5" t="s">
        <v>2201</v>
      </c>
      <c r="K7" s="24">
        <v>1659.0</v>
      </c>
      <c r="L7" s="5">
        <v>8.472765</v>
      </c>
      <c r="M7" s="5">
        <v>0.570656</v>
      </c>
      <c r="N7" s="5">
        <v>9.043421</v>
      </c>
      <c r="O7" s="5">
        <v>5.586646</v>
      </c>
    </row>
    <row r="8">
      <c r="A8" s="18" t="str">
        <f>IFERROR(__xludf.DUMMYFUNCTION("""COMPUTED_VALUE"""),"Lester Hudson")</f>
        <v>Lester Hudson</v>
      </c>
      <c r="B8" s="19" t="str">
        <f>IFERROR(__xludf.DUMMYFUNCTION("""COMPUTED_VALUE"""),"LIA")</f>
        <v>LIA</v>
      </c>
      <c r="C8" s="20">
        <f>IFERROR(__xludf.DUMMYFUNCTION("""COMPUTED_VALUE"""),1883.2)</f>
        <v>1883.2</v>
      </c>
      <c r="D8" s="21">
        <f>IFERROR(__xludf.DUMMYFUNCTION("""COMPUTED_VALUE"""),7.207903358414467)</f>
        <v>7.207903358</v>
      </c>
      <c r="E8" s="21">
        <f>IFERROR(__xludf.DUMMYFUNCTION("""COMPUTED_VALUE"""),1.7203647471208496)</f>
        <v>1.720364747</v>
      </c>
      <c r="F8" s="21">
        <f>IFERROR(__xludf.DUMMYFUNCTION("""COMPUTED_VALUE"""),8.928268105535317)</f>
        <v>8.928268106</v>
      </c>
      <c r="G8" s="23">
        <f>IFERROR(__xludf.DUMMYFUNCTION("""COMPUTED_VALUE"""),6.290913432498308)</f>
        <v>6.290913432</v>
      </c>
      <c r="H8" s="4"/>
      <c r="I8" s="5" t="s">
        <v>2204</v>
      </c>
      <c r="J8" s="5" t="s">
        <v>2205</v>
      </c>
      <c r="K8" s="24">
        <v>1883.0</v>
      </c>
      <c r="L8" s="5">
        <v>7.207944</v>
      </c>
      <c r="M8" s="5">
        <v>1.720325</v>
      </c>
      <c r="N8" s="5">
        <v>8.928268</v>
      </c>
      <c r="O8" s="5">
        <v>6.290913</v>
      </c>
    </row>
    <row r="9">
      <c r="A9" s="12" t="str">
        <f>IFERROR(__xludf.DUMMYFUNCTION("""COMPUTED_VALUE"""),"Darius Adams")</f>
        <v>Darius Adams</v>
      </c>
      <c r="B9" s="13" t="str">
        <f>IFERROR(__xludf.DUMMYFUNCTION("""COMPUTED_VALUE"""),"XIN")</f>
        <v>XIN</v>
      </c>
      <c r="C9" s="14">
        <f>IFERROR(__xludf.DUMMYFUNCTION("""COMPUTED_VALUE"""),1767.4)</f>
        <v>1767.4</v>
      </c>
      <c r="D9" s="15">
        <f>IFERROR(__xludf.DUMMYFUNCTION("""COMPUTED_VALUE"""),8.622596720319233)</f>
        <v>8.62259672</v>
      </c>
      <c r="E9" s="15">
        <f>IFERROR(__xludf.DUMMYFUNCTION("""COMPUTED_VALUE"""),0.2831616998585371)</f>
        <v>0.2831616999</v>
      </c>
      <c r="F9" s="15">
        <f>IFERROR(__xludf.DUMMYFUNCTION("""COMPUTED_VALUE"""),8.90575842017777)</f>
        <v>8.90575842</v>
      </c>
      <c r="G9" s="17">
        <f>IFERROR(__xludf.DUMMYFUNCTION("""COMPUTED_VALUE"""),5.821923404475127)</f>
        <v>5.821923404</v>
      </c>
      <c r="H9" s="4"/>
      <c r="I9" s="5" t="s">
        <v>2207</v>
      </c>
      <c r="J9" s="5" t="s">
        <v>2208</v>
      </c>
      <c r="K9" s="24">
        <v>1767.0</v>
      </c>
      <c r="L9" s="5">
        <v>8.622637</v>
      </c>
      <c r="M9" s="5">
        <v>0.283122</v>
      </c>
      <c r="N9" s="5">
        <v>8.905758</v>
      </c>
      <c r="O9" s="5">
        <v>5.821923</v>
      </c>
    </row>
    <row r="10">
      <c r="A10" s="18" t="str">
        <f>IFERROR(__xludf.DUMMYFUNCTION("""COMPUTED_VALUE"""),"Aaron Jackson")</f>
        <v>Aaron Jackson</v>
      </c>
      <c r="B10" s="19" t="str">
        <f>IFERROR(__xludf.DUMMYFUNCTION("""COMPUTED_VALUE"""),"BSD")</f>
        <v>BSD</v>
      </c>
      <c r="C10" s="20">
        <f>IFERROR(__xludf.DUMMYFUNCTION("""COMPUTED_VALUE"""),1195.9)</f>
        <v>1195.9</v>
      </c>
      <c r="D10" s="21">
        <f>IFERROR(__xludf.DUMMYFUNCTION("""COMPUTED_VALUE"""),7.3922511347952895)</f>
        <v>7.392251135</v>
      </c>
      <c r="E10" s="21">
        <f>IFERROR(__xludf.DUMMYFUNCTION("""COMPUTED_VALUE"""),1.001201361493365)</f>
        <v>1.001201361</v>
      </c>
      <c r="F10" s="21">
        <f>IFERROR(__xludf.DUMMYFUNCTION("""COMPUTED_VALUE"""),8.393452496288655)</f>
        <v>8.393452496</v>
      </c>
      <c r="G10" s="23">
        <f>IFERROR(__xludf.DUMMYFUNCTION("""COMPUTED_VALUE"""),3.7656417406158162)</f>
        <v>3.765641741</v>
      </c>
      <c r="H10" s="4"/>
      <c r="I10" s="5" t="s">
        <v>2210</v>
      </c>
      <c r="J10" s="5" t="s">
        <v>2211</v>
      </c>
      <c r="K10" s="24">
        <v>1196.0</v>
      </c>
      <c r="L10" s="5">
        <v>7.392291</v>
      </c>
      <c r="M10" s="5">
        <v>1.001161</v>
      </c>
      <c r="N10" s="5">
        <v>8.393452</v>
      </c>
      <c r="O10" s="5">
        <v>3.765642</v>
      </c>
    </row>
    <row r="11">
      <c r="A11" s="12" t="str">
        <f>IFERROR(__xludf.DUMMYFUNCTION("""COMPUTED_VALUE"""),"Jimmer Fredette")</f>
        <v>Jimmer Fredette</v>
      </c>
      <c r="B11" s="13" t="str">
        <f>IFERROR(__xludf.DUMMYFUNCTION("""COMPUTED_VALUE"""),"SDS")</f>
        <v>SDS</v>
      </c>
      <c r="C11" s="14">
        <f>IFERROR(__xludf.DUMMYFUNCTION("""COMPUTED_VALUE"""),1719.0)</f>
        <v>1719</v>
      </c>
      <c r="D11" s="15">
        <f>IFERROR(__xludf.DUMMYFUNCTION("""COMPUTED_VALUE"""),8.200593213347066)</f>
        <v>8.200593213</v>
      </c>
      <c r="E11" s="15">
        <f>IFERROR(__xludf.DUMMYFUNCTION("""COMPUTED_VALUE"""),0.04432782422749071)</f>
        <v>0.04432782423</v>
      </c>
      <c r="F11" s="15">
        <f>IFERROR(__xludf.DUMMYFUNCTION("""COMPUTED_VALUE"""),8.244921037574557)</f>
        <v>8.244921038</v>
      </c>
      <c r="G11" s="17">
        <f>IFERROR(__xludf.DUMMYFUNCTION("""COMPUTED_VALUE"""),5.324498270965992)</f>
        <v>5.324498271</v>
      </c>
      <c r="H11" s="4"/>
      <c r="I11" s="5" t="s">
        <v>2213</v>
      </c>
      <c r="J11" s="5" t="s">
        <v>2214</v>
      </c>
      <c r="K11" s="24">
        <v>1719.0</v>
      </c>
      <c r="L11" s="5">
        <v>8.200633</v>
      </c>
      <c r="M11" s="5">
        <v>0.044288</v>
      </c>
      <c r="N11" s="5">
        <v>8.244921</v>
      </c>
      <c r="O11" s="5">
        <v>5.324498</v>
      </c>
    </row>
    <row r="12">
      <c r="A12" s="18" t="str">
        <f>IFERROR(__xludf.DUMMYFUNCTION("""COMPUTED_VALUE"""),"Jared Sullinger")</f>
        <v>Jared Sullinger</v>
      </c>
      <c r="B12" s="19" t="str">
        <f>IFERROR(__xludf.DUMMYFUNCTION("""COMPUTED_VALUE"""),"DON")</f>
        <v>DON</v>
      </c>
      <c r="C12" s="20">
        <f>IFERROR(__xludf.DUMMYFUNCTION("""COMPUTED_VALUE"""),1779.9)</f>
        <v>1779.9</v>
      </c>
      <c r="D12" s="21">
        <f>IFERROR(__xludf.DUMMYFUNCTION("""COMPUTED_VALUE"""),4.345065627290171)</f>
        <v>4.345065627</v>
      </c>
      <c r="E12" s="21">
        <f>IFERROR(__xludf.DUMMYFUNCTION("""COMPUTED_VALUE"""),3.6994293718173443)</f>
        <v>3.699429372</v>
      </c>
      <c r="F12" s="21">
        <f>IFERROR(__xludf.DUMMYFUNCTION("""COMPUTED_VALUE"""),8.044494999107515)</f>
        <v>8.044494999</v>
      </c>
      <c r="G12" s="23">
        <f>IFERROR(__xludf.DUMMYFUNCTION("""COMPUTED_VALUE"""),5.428002772530178)</f>
        <v>5.428002773</v>
      </c>
      <c r="H12" s="4"/>
      <c r="I12" s="5" t="s">
        <v>2216</v>
      </c>
      <c r="J12" s="5" t="s">
        <v>2217</v>
      </c>
      <c r="K12" s="24">
        <v>1780.0</v>
      </c>
      <c r="L12" s="5">
        <v>4.345106</v>
      </c>
      <c r="M12" s="5">
        <v>3.699389</v>
      </c>
      <c r="N12" s="5">
        <v>8.044495</v>
      </c>
      <c r="O12" s="5">
        <v>5.428003</v>
      </c>
    </row>
    <row r="13">
      <c r="A13" s="12" t="str">
        <f>IFERROR(__xludf.DUMMYFUNCTION("""COMPUTED_VALUE"""),"Kyle Fogg")</f>
        <v>Kyle Fogg</v>
      </c>
      <c r="B13" s="13" t="str">
        <f>IFERROR(__xludf.DUMMYFUNCTION("""COMPUTED_VALUE"""),"GFD")</f>
        <v>GFD</v>
      </c>
      <c r="C13" s="14">
        <f>IFERROR(__xludf.DUMMYFUNCTION("""COMPUTED_VALUE"""),956.2)</f>
        <v>956.2</v>
      </c>
      <c r="D13" s="15">
        <f>IFERROR(__xludf.DUMMYFUNCTION("""COMPUTED_VALUE"""),8.482698113459277)</f>
        <v>8.482698113</v>
      </c>
      <c r="E13" s="15">
        <f>IFERROR(__xludf.DUMMYFUNCTION("""COMPUTED_VALUE"""),-2.0806031689988584)</f>
        <v>-2.080603169</v>
      </c>
      <c r="F13" s="15">
        <f>IFERROR(__xludf.DUMMYFUNCTION("""COMPUTED_VALUE"""),6.402094944460418)</f>
        <v>6.402094944</v>
      </c>
      <c r="G13" s="17">
        <f>IFERROR(__xludf.DUMMYFUNCTION("""COMPUTED_VALUE"""),2.4247388362570415)</f>
        <v>2.424738836</v>
      </c>
      <c r="H13" s="4"/>
      <c r="I13" s="5" t="s">
        <v>2218</v>
      </c>
      <c r="J13" s="5" t="s">
        <v>2219</v>
      </c>
      <c r="K13" s="24">
        <v>956.0</v>
      </c>
      <c r="L13" s="5">
        <v>8.482738</v>
      </c>
      <c r="M13" s="5">
        <v>-2.080643</v>
      </c>
      <c r="N13" s="5">
        <v>6.402095</v>
      </c>
      <c r="O13" s="5">
        <v>2.424739</v>
      </c>
    </row>
    <row r="14">
      <c r="A14" s="18" t="str">
        <f>IFERROR(__xludf.DUMMYFUNCTION("""COMPUTED_VALUE"""),"Von Wafer")</f>
        <v>Von Wafer</v>
      </c>
      <c r="B14" s="19" t="str">
        <f>IFERROR(__xludf.DUMMYFUNCTION("""COMPUTED_VALUE"""),"JIL")</f>
        <v>JIL</v>
      </c>
      <c r="C14" s="20">
        <f>IFERROR(__xludf.DUMMYFUNCTION("""COMPUTED_VALUE"""),1151.2)</f>
        <v>1151.2</v>
      </c>
      <c r="D14" s="21">
        <f>IFERROR(__xludf.DUMMYFUNCTION("""COMPUTED_VALUE"""),8.148126014528918)</f>
        <v>8.148126015</v>
      </c>
      <c r="E14" s="21">
        <f>IFERROR(__xludf.DUMMYFUNCTION("""COMPUTED_VALUE"""),-1.8099653751657439)</f>
        <v>-1.809965375</v>
      </c>
      <c r="F14" s="21">
        <f>IFERROR(__xludf.DUMMYFUNCTION("""COMPUTED_VALUE"""),6.338160639363174)</f>
        <v>6.338160639</v>
      </c>
      <c r="G14" s="23">
        <f>IFERROR(__xludf.DUMMYFUNCTION("""COMPUTED_VALUE"""),2.9520648810600525)</f>
        <v>2.952064881</v>
      </c>
      <c r="H14" s="4"/>
      <c r="I14" s="5" t="s">
        <v>2220</v>
      </c>
      <c r="J14" s="5" t="s">
        <v>2221</v>
      </c>
      <c r="K14" s="24">
        <v>1151.0</v>
      </c>
      <c r="L14" s="5">
        <v>8.148166</v>
      </c>
      <c r="M14" s="5">
        <v>-1.810006</v>
      </c>
      <c r="N14" s="5">
        <v>6.338161</v>
      </c>
      <c r="O14" s="5">
        <v>2.952065</v>
      </c>
    </row>
    <row r="15">
      <c r="A15" s="12" t="str">
        <f>IFERROR(__xludf.DUMMYFUNCTION("""COMPUTED_VALUE"""),"Sonny Weems")</f>
        <v>Sonny Weems</v>
      </c>
      <c r="B15" s="13" t="str">
        <f>IFERROR(__xludf.DUMMYFUNCTION("""COMPUTED_VALUE"""),"ZCB")</f>
        <v>ZCB</v>
      </c>
      <c r="C15" s="14">
        <f>IFERROR(__xludf.DUMMYFUNCTION("""COMPUTED_VALUE"""),1476.7)</f>
        <v>1476.7</v>
      </c>
      <c r="D15" s="15">
        <f>IFERROR(__xludf.DUMMYFUNCTION("""COMPUTED_VALUE"""),4.596108158934882)</f>
        <v>4.596108159</v>
      </c>
      <c r="E15" s="15">
        <f>IFERROR(__xludf.DUMMYFUNCTION("""COMPUTED_VALUE"""),1.2155987788531961)</f>
        <v>1.215598779</v>
      </c>
      <c r="F15" s="15">
        <f>IFERROR(__xludf.DUMMYFUNCTION("""COMPUTED_VALUE"""),5.811706937788078)</f>
        <v>5.811706938</v>
      </c>
      <c r="G15" s="17">
        <f>IFERROR(__xludf.DUMMYFUNCTION("""COMPUTED_VALUE"""),3.5234843396053495)</f>
        <v>3.52348434</v>
      </c>
      <c r="H15" s="4"/>
      <c r="I15" s="5" t="s">
        <v>453</v>
      </c>
      <c r="J15" s="5" t="s">
        <v>2223</v>
      </c>
      <c r="K15" s="24">
        <v>1477.0</v>
      </c>
      <c r="L15" s="5">
        <v>4.595345</v>
      </c>
      <c r="M15" s="5">
        <v>1.216362</v>
      </c>
      <c r="N15" s="5">
        <v>5.811707</v>
      </c>
      <c r="O15" s="5">
        <v>3.523484</v>
      </c>
    </row>
    <row r="16">
      <c r="A16" s="18" t="str">
        <f>IFERROR(__xludf.DUMMYFUNCTION("""COMPUTED_VALUE"""),"Jonathan Gibson")</f>
        <v>Jonathan Gibson</v>
      </c>
      <c r="B16" s="19" t="str">
        <f>IFERROR(__xludf.DUMMYFUNCTION("""COMPUTED_VALUE"""),"QIN")</f>
        <v>QIN</v>
      </c>
      <c r="C16" s="20">
        <f>IFERROR(__xludf.DUMMYFUNCTION("""COMPUTED_VALUE"""),1468.7)</f>
        <v>1468.7</v>
      </c>
      <c r="D16" s="21">
        <f>IFERROR(__xludf.DUMMYFUNCTION("""COMPUTED_VALUE"""),7.633061537611576)</f>
        <v>7.633061538</v>
      </c>
      <c r="E16" s="21">
        <f>IFERROR(__xludf.DUMMYFUNCTION("""COMPUTED_VALUE"""),-1.956977274622199)</f>
        <v>-1.956977275</v>
      </c>
      <c r="F16" s="21">
        <f>IFERROR(__xludf.DUMMYFUNCTION("""COMPUTED_VALUE"""),5.676084262989377)</f>
        <v>5.676084263</v>
      </c>
      <c r="G16" s="23">
        <f>IFERROR(__xludf.DUMMYFUNCTION("""COMPUTED_VALUE"""),3.469663185822833)</f>
        <v>3.469663186</v>
      </c>
      <c r="H16" s="4"/>
      <c r="I16" s="5" t="s">
        <v>2225</v>
      </c>
      <c r="J16" s="5" t="s">
        <v>2226</v>
      </c>
      <c r="K16" s="24">
        <v>1469.0</v>
      </c>
      <c r="L16" s="5">
        <v>7.633102</v>
      </c>
      <c r="M16" s="5">
        <v>-1.957017</v>
      </c>
      <c r="N16" s="5">
        <v>5.676084</v>
      </c>
      <c r="O16" s="5">
        <v>3.469663</v>
      </c>
    </row>
    <row r="17">
      <c r="A17" s="12" t="str">
        <f>IFERROR(__xludf.DUMMYFUNCTION("""COMPUTED_VALUE"""),"Pooh Jeter")</f>
        <v>Pooh Jeter</v>
      </c>
      <c r="B17" s="13" t="str">
        <f>IFERROR(__xludf.DUMMYFUNCTION("""COMPUTED_VALUE"""),"TIA")</f>
        <v>TIA</v>
      </c>
      <c r="C17" s="14">
        <f>IFERROR(__xludf.DUMMYFUNCTION("""COMPUTED_VALUE"""),1424.6)</f>
        <v>1424.6</v>
      </c>
      <c r="D17" s="15">
        <f>IFERROR(__xludf.DUMMYFUNCTION("""COMPUTED_VALUE"""),8.272354357366591)</f>
        <v>8.272354357</v>
      </c>
      <c r="E17" s="15">
        <f>IFERROR(__xludf.DUMMYFUNCTION("""COMPUTED_VALUE"""),-2.8415287043113047)</f>
        <v>-2.841528704</v>
      </c>
      <c r="F17" s="15">
        <f>IFERROR(__xludf.DUMMYFUNCTION("""COMPUTED_VALUE"""),5.430825653055287)</f>
        <v>5.430825653</v>
      </c>
      <c r="G17" s="17">
        <f>IFERROR(__xludf.DUMMYFUNCTION("""COMPUTED_VALUE"""),3.0730382968742536)</f>
        <v>3.073038297</v>
      </c>
      <c r="H17" s="4"/>
      <c r="I17" s="5" t="s">
        <v>2228</v>
      </c>
      <c r="J17" s="5" t="s">
        <v>2229</v>
      </c>
      <c r="K17" s="24">
        <v>1425.0</v>
      </c>
      <c r="L17" s="5">
        <v>8.272395</v>
      </c>
      <c r="M17" s="5">
        <v>-2.841569</v>
      </c>
      <c r="N17" s="5">
        <v>5.430826</v>
      </c>
      <c r="O17" s="5">
        <v>3.073038</v>
      </c>
    </row>
    <row r="18">
      <c r="A18" s="18" t="str">
        <f>IFERROR(__xludf.DUMMYFUNCTION("""COMPUTED_VALUE"""),"Jarnell Stokes")</f>
        <v>Jarnell Stokes</v>
      </c>
      <c r="B18" s="19" t="str">
        <f>IFERROR(__xludf.DUMMYFUNCTION("""COMPUTED_VALUE"""),"ZCB")</f>
        <v>ZCB</v>
      </c>
      <c r="C18" s="20">
        <f>IFERROR(__xludf.DUMMYFUNCTION("""COMPUTED_VALUE"""),937.8)</f>
        <v>937.8</v>
      </c>
      <c r="D18" s="21">
        <f>IFERROR(__xludf.DUMMYFUNCTION("""COMPUTED_VALUE"""),3.446040238532556)</f>
        <v>3.446040239</v>
      </c>
      <c r="E18" s="21">
        <f>IFERROR(__xludf.DUMMYFUNCTION("""COMPUTED_VALUE"""),1.7739963714777223)</f>
        <v>1.773996371</v>
      </c>
      <c r="F18" s="21">
        <f>IFERROR(__xludf.DUMMYFUNCTION("""COMPUTED_VALUE"""),5.220036610010278)</f>
        <v>5.22003661</v>
      </c>
      <c r="G18" s="23">
        <f>IFERROR(__xludf.DUMMYFUNCTION("""COMPUTED_VALUE"""),2.068158202533337)</f>
        <v>2.068158203</v>
      </c>
      <c r="H18" s="4"/>
      <c r="I18" s="5" t="s">
        <v>2232</v>
      </c>
      <c r="J18" s="5" t="s">
        <v>2223</v>
      </c>
      <c r="K18" s="24">
        <v>938.0</v>
      </c>
      <c r="L18" s="5">
        <v>3.445277</v>
      </c>
      <c r="M18" s="5">
        <v>1.77476</v>
      </c>
      <c r="N18" s="5">
        <v>5.220037</v>
      </c>
      <c r="O18" s="5">
        <v>2.068158</v>
      </c>
    </row>
    <row r="19">
      <c r="A19" s="12" t="str">
        <f>IFERROR(__xludf.DUMMYFUNCTION("""COMPUTED_VALUE"""),"Donatas Motiejunas")</f>
        <v>Donatas Motiejunas</v>
      </c>
      <c r="B19" s="13" t="str">
        <f>IFERROR(__xludf.DUMMYFUNCTION("""COMPUTED_VALUE"""),"SHA")</f>
        <v>SHA</v>
      </c>
      <c r="C19" s="14">
        <f>IFERROR(__xludf.DUMMYFUNCTION("""COMPUTED_VALUE"""),1641.5)</f>
        <v>1641.5</v>
      </c>
      <c r="D19" s="15">
        <f>IFERROR(__xludf.DUMMYFUNCTION("""COMPUTED_VALUE"""),2.534878543510252)</f>
        <v>2.534878544</v>
      </c>
      <c r="E19" s="15">
        <f>IFERROR(__xludf.DUMMYFUNCTION("""COMPUTED_VALUE"""),2.0514319791010047)</f>
        <v>2.051431979</v>
      </c>
      <c r="F19" s="15">
        <f>IFERROR(__xludf.DUMMYFUNCTION("""COMPUTED_VALUE"""),4.586310522611257)</f>
        <v>4.586310523</v>
      </c>
      <c r="G19" s="17">
        <f>IFERROR(__xludf.DUMMYFUNCTION("""COMPUTED_VALUE"""),3.2971336948121976)</f>
        <v>3.297133695</v>
      </c>
      <c r="H19" s="4"/>
      <c r="I19" s="5" t="s">
        <v>2234</v>
      </c>
      <c r="J19" s="5" t="s">
        <v>2201</v>
      </c>
      <c r="K19" s="24">
        <v>1642.0</v>
      </c>
      <c r="L19" s="5">
        <v>2.534919</v>
      </c>
      <c r="M19" s="5">
        <v>2.051392</v>
      </c>
      <c r="N19" s="5">
        <v>4.586311</v>
      </c>
      <c r="O19" s="5">
        <v>3.297134</v>
      </c>
    </row>
    <row r="20">
      <c r="A20" s="18" t="str">
        <f>IFERROR(__xludf.DUMMYFUNCTION("""COMPUTED_VALUE"""),"Dominique Jones")</f>
        <v>Dominique Jones</v>
      </c>
      <c r="B20" s="19" t="str">
        <f>IFERROR(__xludf.DUMMYFUNCTION("""COMPUTED_VALUE"""),"TONG")</f>
        <v>TONG</v>
      </c>
      <c r="C20" s="20">
        <f>IFERROR(__xludf.DUMMYFUNCTION("""COMPUTED_VALUE"""),488.8)</f>
        <v>488.8</v>
      </c>
      <c r="D20" s="21">
        <f>IFERROR(__xludf.DUMMYFUNCTION("""COMPUTED_VALUE"""),5.401113402209259)</f>
        <v>5.401113402</v>
      </c>
      <c r="E20" s="21">
        <f>IFERROR(__xludf.DUMMYFUNCTION("""COMPUTED_VALUE"""),-0.8519404588802812)</f>
        <v>-0.8519404589</v>
      </c>
      <c r="F20" s="21">
        <f>IFERROR(__xludf.DUMMYFUNCTION("""COMPUTED_VALUE"""),4.549172943328978)</f>
        <v>4.549172943</v>
      </c>
      <c r="G20" s="23">
        <f>IFERROR(__xludf.DUMMYFUNCTION("""COMPUTED_VALUE"""),0.9789232743043781)</f>
        <v>0.9789232743</v>
      </c>
      <c r="H20" s="4"/>
      <c r="I20" s="5" t="s">
        <v>2235</v>
      </c>
      <c r="J20" s="5" t="s">
        <v>2236</v>
      </c>
      <c r="K20" s="5">
        <v>489.0</v>
      </c>
      <c r="L20" s="5">
        <v>5.401154</v>
      </c>
      <c r="M20" s="5">
        <v>-0.851981</v>
      </c>
      <c r="N20" s="5">
        <v>4.549173</v>
      </c>
      <c r="O20" s="5">
        <v>0.978923</v>
      </c>
    </row>
    <row r="21">
      <c r="A21" s="12" t="str">
        <f>IFERROR(__xludf.DUMMYFUNCTION("""COMPUTED_VALUE"""),"Justin Hamilton")</f>
        <v>Justin Hamilton</v>
      </c>
      <c r="B21" s="13" t="str">
        <f>IFERROR(__xludf.DUMMYFUNCTION("""COMPUTED_VALUE"""),"BSD")</f>
        <v>BSD</v>
      </c>
      <c r="C21" s="14">
        <f>IFERROR(__xludf.DUMMYFUNCTION("""COMPUTED_VALUE"""),1693.7)</f>
        <v>1693.7</v>
      </c>
      <c r="D21" s="15">
        <f>IFERROR(__xludf.DUMMYFUNCTION("""COMPUTED_VALUE"""),2.6240958079197227)</f>
        <v>2.624095808</v>
      </c>
      <c r="E21" s="15">
        <f>IFERROR(__xludf.DUMMYFUNCTION("""COMPUTED_VALUE"""),1.9065041459284586)</f>
        <v>1.906504146</v>
      </c>
      <c r="F21" s="15">
        <f>IFERROR(__xludf.DUMMYFUNCTION("""COMPUTED_VALUE"""),4.530599953848181)</f>
        <v>4.530599954</v>
      </c>
      <c r="G21" s="17">
        <f>IFERROR(__xludf.DUMMYFUNCTION("""COMPUTED_VALUE"""),3.35099566823714)</f>
        <v>3.350995668</v>
      </c>
      <c r="H21" s="4"/>
      <c r="I21" s="5" t="s">
        <v>2239</v>
      </c>
      <c r="J21" s="5" t="s">
        <v>2211</v>
      </c>
      <c r="K21" s="24">
        <v>1694.0</v>
      </c>
      <c r="L21" s="5">
        <v>2.624136</v>
      </c>
      <c r="M21" s="5">
        <v>1.906464</v>
      </c>
      <c r="N21" s="5">
        <v>4.5306</v>
      </c>
      <c r="O21" s="5">
        <v>3.350996</v>
      </c>
    </row>
    <row r="22">
      <c r="A22" s="18" t="str">
        <f>IFERROR(__xludf.DUMMYFUNCTION("""COMPUTED_VALUE"""),"James Mays")</f>
        <v>James Mays</v>
      </c>
      <c r="B22" s="19" t="str">
        <f>IFERROR(__xludf.DUMMYFUNCTION("""COMPUTED_VALUE"""),"QIN")</f>
        <v>QIN</v>
      </c>
      <c r="C22" s="20">
        <f>IFERROR(__xludf.DUMMYFUNCTION("""COMPUTED_VALUE"""),436.9)</f>
        <v>436.9</v>
      </c>
      <c r="D22" s="21">
        <f>IFERROR(__xludf.DUMMYFUNCTION("""COMPUTED_VALUE"""),4.318048829900602)</f>
        <v>4.31804883</v>
      </c>
      <c r="E22" s="21">
        <f>IFERROR(__xludf.DUMMYFUNCTION("""COMPUTED_VALUE"""),0.2001321124110218)</f>
        <v>0.2001321124</v>
      </c>
      <c r="F22" s="21">
        <f>IFERROR(__xludf.DUMMYFUNCTION("""COMPUTED_VALUE"""),4.5181809423116235)</f>
        <v>4.518180942</v>
      </c>
      <c r="G22" s="23">
        <f>IFERROR(__xludf.DUMMYFUNCTION("""COMPUTED_VALUE"""),0.8764415265593857)</f>
        <v>0.8764415266</v>
      </c>
      <c r="H22" s="4"/>
      <c r="I22" s="5" t="s">
        <v>2241</v>
      </c>
      <c r="J22" s="5" t="s">
        <v>2226</v>
      </c>
      <c r="K22" s="5">
        <v>437.0</v>
      </c>
      <c r="L22" s="5">
        <v>4.318089</v>
      </c>
      <c r="M22" s="5">
        <v>0.200092</v>
      </c>
      <c r="N22" s="5">
        <v>4.518181</v>
      </c>
      <c r="O22" s="5">
        <v>0.876442</v>
      </c>
    </row>
    <row r="23">
      <c r="A23" s="12" t="str">
        <f>IFERROR(__xludf.DUMMYFUNCTION("""COMPUTED_VALUE"""),"Brandon Jennings")</f>
        <v>Brandon Jennings</v>
      </c>
      <c r="B23" s="13" t="str">
        <f>IFERROR(__xludf.DUMMYFUNCTION("""COMPUTED_VALUE"""),"SZD")</f>
        <v>SZD</v>
      </c>
      <c r="C23" s="14">
        <f>IFERROR(__xludf.DUMMYFUNCTION("""COMPUTED_VALUE"""),455.4)</f>
        <v>455.4</v>
      </c>
      <c r="D23" s="15">
        <f>IFERROR(__xludf.DUMMYFUNCTION("""COMPUTED_VALUE"""),4.598654641014503)</f>
        <v>4.598654641</v>
      </c>
      <c r="E23" s="15">
        <f>IFERROR(__xludf.DUMMYFUNCTION("""COMPUTED_VALUE"""),-0.12226486545106141)</f>
        <v>-0.1222648655</v>
      </c>
      <c r="F23" s="15">
        <f>IFERROR(__xludf.DUMMYFUNCTION("""COMPUTED_VALUE"""),4.476389775563441)</f>
        <v>4.476389776</v>
      </c>
      <c r="G23" s="17">
        <f>IFERROR(__xludf.DUMMYFUNCTION("""COMPUTED_VALUE"""),0.9040556465287997)</f>
        <v>0.9040556465</v>
      </c>
      <c r="H23" s="4"/>
      <c r="I23" s="5" t="s">
        <v>2243</v>
      </c>
      <c r="J23" s="5" t="s">
        <v>2244</v>
      </c>
      <c r="K23" s="24">
        <v>455.0</v>
      </c>
      <c r="L23" s="5">
        <v>4.598695</v>
      </c>
      <c r="M23" s="5">
        <v>-0.122305</v>
      </c>
      <c r="N23" s="5">
        <v>4.47639</v>
      </c>
      <c r="O23" s="5">
        <v>0.904056</v>
      </c>
    </row>
    <row r="24">
      <c r="A24" s="18" t="str">
        <f>IFERROR(__xludf.DUMMYFUNCTION("""COMPUTED_VALUE"""),"Mike Harris")</f>
        <v>Mike Harris</v>
      </c>
      <c r="B24" s="19" t="str">
        <f>IFERROR(__xludf.DUMMYFUNCTION("""COMPUTED_VALUE"""),"FUJ")</f>
        <v>FUJ</v>
      </c>
      <c r="C24" s="20">
        <f>IFERROR(__xludf.DUMMYFUNCTION("""COMPUTED_VALUE"""),1361.0)</f>
        <v>1361</v>
      </c>
      <c r="D24" s="21">
        <f>IFERROR(__xludf.DUMMYFUNCTION("""COMPUTED_VALUE"""),4.19617444567514)</f>
        <v>4.196174446</v>
      </c>
      <c r="E24" s="21">
        <f>IFERROR(__xludf.DUMMYFUNCTION("""COMPUTED_VALUE"""),0.1858788333909569)</f>
        <v>0.1858788334</v>
      </c>
      <c r="F24" s="21">
        <f>IFERROR(__xludf.DUMMYFUNCTION("""COMPUTED_VALUE"""),4.382053279066097)</f>
        <v>4.382053279</v>
      </c>
      <c r="G24" s="23">
        <f>IFERROR(__xludf.DUMMYFUNCTION("""COMPUTED_VALUE"""),2.6366419821264304)</f>
        <v>2.636641982</v>
      </c>
      <c r="H24" s="4"/>
      <c r="I24" s="5" t="s">
        <v>2247</v>
      </c>
      <c r="J24" s="5" t="s">
        <v>2198</v>
      </c>
      <c r="K24" s="24">
        <v>1361.0</v>
      </c>
      <c r="L24" s="5">
        <v>4.196215</v>
      </c>
      <c r="M24" s="5">
        <v>0.185839</v>
      </c>
      <c r="N24" s="5">
        <v>4.382053</v>
      </c>
      <c r="O24" s="5">
        <v>2.636642</v>
      </c>
    </row>
    <row r="25">
      <c r="A25" s="12" t="str">
        <f>IFERROR(__xludf.DUMMYFUNCTION("""COMPUTED_VALUE"""),"Hamed Haddadi")</f>
        <v>Hamed Haddadi</v>
      </c>
      <c r="B25" s="13" t="str">
        <f>IFERROR(__xludf.DUMMYFUNCTION("""COMPUTED_VALUE"""),"SICH")</f>
        <v>SICH</v>
      </c>
      <c r="C25" s="14">
        <f>IFERROR(__xludf.DUMMYFUNCTION("""COMPUTED_VALUE"""),1302.0)</f>
        <v>1302</v>
      </c>
      <c r="D25" s="15">
        <f>IFERROR(__xludf.DUMMYFUNCTION("""COMPUTED_VALUE"""),1.7599511304039206)</f>
        <v>1.75995113</v>
      </c>
      <c r="E25" s="15">
        <f>IFERROR(__xludf.DUMMYFUNCTION("""COMPUTED_VALUE"""),2.5793985771112373)</f>
        <v>2.579398577</v>
      </c>
      <c r="F25" s="15">
        <f>IFERROR(__xludf.DUMMYFUNCTION("""COMPUTED_VALUE"""),4.339349707515158)</f>
        <v>4.339349708</v>
      </c>
      <c r="G25" s="17">
        <f>IFERROR(__xludf.DUMMYFUNCTION("""COMPUTED_VALUE"""),2.834075493986174)</f>
        <v>2.834075494</v>
      </c>
      <c r="H25" s="4"/>
      <c r="I25" s="5" t="s">
        <v>2248</v>
      </c>
      <c r="J25" s="5" t="s">
        <v>2186</v>
      </c>
      <c r="K25" s="24">
        <v>1302.0</v>
      </c>
      <c r="L25" s="5">
        <v>1.759991</v>
      </c>
      <c r="M25" s="5">
        <v>2.579358</v>
      </c>
      <c r="N25" s="5">
        <v>4.33935</v>
      </c>
      <c r="O25" s="5">
        <v>2.834075</v>
      </c>
    </row>
    <row r="26">
      <c r="A26" s="18" t="str">
        <f>IFERROR(__xludf.DUMMYFUNCTION("""COMPUTED_VALUE"""),"Willie Warren")</f>
        <v>Willie Warren</v>
      </c>
      <c r="B26" s="19" t="str">
        <f>IFERROR(__xludf.DUMMYFUNCTION("""COMPUTED_VALUE"""),"SZD")</f>
        <v>SZD</v>
      </c>
      <c r="C26" s="20">
        <f>IFERROR(__xludf.DUMMYFUNCTION("""COMPUTED_VALUE"""),754.4)</f>
        <v>754.4</v>
      </c>
      <c r="D26" s="21">
        <f>IFERROR(__xludf.DUMMYFUNCTION("""COMPUTED_VALUE"""),4.666432266596602)</f>
        <v>4.666432267</v>
      </c>
      <c r="E26" s="21">
        <f>IFERROR(__xludf.DUMMYFUNCTION("""COMPUTED_VALUE"""),-0.40377875167952126)</f>
        <v>-0.4037787517</v>
      </c>
      <c r="F26" s="21">
        <f>IFERROR(__xludf.DUMMYFUNCTION("""COMPUTED_VALUE"""),4.262653514917081)</f>
        <v>4.262653515</v>
      </c>
      <c r="G26" s="23">
        <f>IFERROR(__xludf.DUMMYFUNCTION("""COMPUTED_VALUE"""),1.4482022662766565)</f>
        <v>1.448202266</v>
      </c>
      <c r="H26" s="4"/>
      <c r="I26" s="5" t="s">
        <v>2250</v>
      </c>
      <c r="J26" s="5" t="s">
        <v>2244</v>
      </c>
      <c r="K26" s="24">
        <v>754.0</v>
      </c>
      <c r="L26" s="5">
        <v>4.666472</v>
      </c>
      <c r="M26" s="5">
        <v>-0.403819</v>
      </c>
      <c r="N26" s="5">
        <v>4.262654</v>
      </c>
      <c r="O26" s="5">
        <v>1.448202</v>
      </c>
    </row>
    <row r="27">
      <c r="A27" s="12" t="str">
        <f>IFERROR(__xludf.DUMMYFUNCTION("""COMPUTED_VALUE"""),"Andrew Nicholson")</f>
        <v>Andrew Nicholson</v>
      </c>
      <c r="B27" s="13" t="str">
        <f>IFERROR(__xludf.DUMMYFUNCTION("""COMPUTED_VALUE"""),"GST")</f>
        <v>GST</v>
      </c>
      <c r="C27" s="14">
        <f>IFERROR(__xludf.DUMMYFUNCTION("""COMPUTED_VALUE"""),1586.9)</f>
        <v>1586.9</v>
      </c>
      <c r="D27" s="15">
        <f>IFERROR(__xludf.DUMMYFUNCTION("""COMPUTED_VALUE"""),3.1858414888079793)</f>
        <v>3.185841489</v>
      </c>
      <c r="E27" s="15">
        <f>IFERROR(__xludf.DUMMYFUNCTION("""COMPUTED_VALUE"""),0.8185823985814538)</f>
        <v>0.8185823986</v>
      </c>
      <c r="F27" s="15">
        <f>IFERROR(__xludf.DUMMYFUNCTION("""COMPUTED_VALUE"""),4.004423887389433)</f>
        <v>4.004423887</v>
      </c>
      <c r="G27" s="17">
        <f>IFERROR(__xludf.DUMMYFUNCTION("""COMPUTED_VALUE"""),2.9294957353870004)</f>
        <v>2.929495735</v>
      </c>
      <c r="H27" s="4"/>
      <c r="I27" s="5" t="s">
        <v>2252</v>
      </c>
      <c r="J27" s="5" t="s">
        <v>2253</v>
      </c>
      <c r="K27" s="24">
        <v>1587.0</v>
      </c>
      <c r="L27" s="5">
        <v>3.185882</v>
      </c>
      <c r="M27" s="5">
        <v>0.818542</v>
      </c>
      <c r="N27" s="5">
        <v>4.004424</v>
      </c>
      <c r="O27" s="5">
        <v>2.929496</v>
      </c>
    </row>
    <row r="28">
      <c r="A28" s="18" t="str">
        <f>IFERROR(__xludf.DUMMYFUNCTION("""COMPUTED_VALUE"""),"Zaid Abbas")</f>
        <v>Zaid Abbas</v>
      </c>
      <c r="B28" s="19" t="str">
        <f>IFERROR(__xludf.DUMMYFUNCTION("""COMPUTED_VALUE"""),"BEIK")</f>
        <v>BEIK</v>
      </c>
      <c r="C28" s="20">
        <f>IFERROR(__xludf.DUMMYFUNCTION("""COMPUTED_VALUE"""),1088.3)</f>
        <v>1088.3</v>
      </c>
      <c r="D28" s="21">
        <f>IFERROR(__xludf.DUMMYFUNCTION("""COMPUTED_VALUE"""),0.4974312511080161)</f>
        <v>0.4974312511</v>
      </c>
      <c r="E28" s="21">
        <f>IFERROR(__xludf.DUMMYFUNCTION("""COMPUTED_VALUE"""),3.474118120825713)</f>
        <v>3.474118121</v>
      </c>
      <c r="F28" s="21">
        <f>IFERROR(__xludf.DUMMYFUNCTION("""COMPUTED_VALUE"""),3.9715493719337287)</f>
        <v>3.971549372</v>
      </c>
      <c r="G28" s="23">
        <f>IFERROR(__xludf.DUMMYFUNCTION("""COMPUTED_VALUE"""),1.9831635137428762)</f>
        <v>1.983163514</v>
      </c>
      <c r="H28" s="4"/>
      <c r="I28" s="5" t="s">
        <v>2255</v>
      </c>
      <c r="J28" s="5" t="s">
        <v>2256</v>
      </c>
      <c r="K28" s="24">
        <v>1088.0</v>
      </c>
      <c r="L28" s="5">
        <v>0.497471</v>
      </c>
      <c r="M28" s="5">
        <v>3.474078</v>
      </c>
      <c r="N28" s="5">
        <v>3.971549</v>
      </c>
      <c r="O28" s="5">
        <v>1.983164</v>
      </c>
    </row>
    <row r="29">
      <c r="A29" s="12" t="str">
        <f>IFERROR(__xludf.DUMMYFUNCTION("""COMPUTED_VALUE"""),"Luis Scola")</f>
        <v>Luis Scola</v>
      </c>
      <c r="B29" s="13" t="str">
        <f>IFERROR(__xludf.DUMMYFUNCTION("""COMPUTED_VALUE"""),"SZD")</f>
        <v>SZD</v>
      </c>
      <c r="C29" s="14">
        <f>IFERROR(__xludf.DUMMYFUNCTION("""COMPUTED_VALUE"""),1390.7)</f>
        <v>1390.7</v>
      </c>
      <c r="D29" s="15">
        <f>IFERROR(__xludf.DUMMYFUNCTION("""COMPUTED_VALUE"""),2.7147147830060545)</f>
        <v>2.714714783</v>
      </c>
      <c r="E29" s="15">
        <f>IFERROR(__xludf.DUMMYFUNCTION("""COMPUTED_VALUE"""),1.0741375196347835)</f>
        <v>1.07413752</v>
      </c>
      <c r="F29" s="15">
        <f>IFERROR(__xludf.DUMMYFUNCTION("""COMPUTED_VALUE"""),3.788852302640838)</f>
        <v>3.788852303</v>
      </c>
      <c r="G29" s="17">
        <f>IFERROR(__xludf.DUMMYFUNCTION("""COMPUTED_VALUE"""),2.4677154605372777)</f>
        <v>2.467715461</v>
      </c>
      <c r="H29" s="4"/>
      <c r="I29" s="5" t="s">
        <v>2259</v>
      </c>
      <c r="J29" s="5" t="s">
        <v>2244</v>
      </c>
      <c r="K29" s="24">
        <v>1391.0</v>
      </c>
      <c r="L29" s="5">
        <v>2.714755</v>
      </c>
      <c r="M29" s="5">
        <v>1.074097</v>
      </c>
      <c r="N29" s="5">
        <v>3.788852</v>
      </c>
      <c r="O29" s="5">
        <v>2.467715</v>
      </c>
    </row>
    <row r="30">
      <c r="A30" s="18" t="str">
        <f>IFERROR(__xludf.DUMMYFUNCTION("""COMPUTED_VALUE"""),"Rui Zhao")</f>
        <v>Rui Zhao</v>
      </c>
      <c r="B30" s="19" t="str">
        <f>IFERROR(__xludf.DUMMYFUNCTION("""COMPUTED_VALUE"""),"GST")</f>
        <v>GST</v>
      </c>
      <c r="C30" s="20">
        <f>IFERROR(__xludf.DUMMYFUNCTION("""COMPUTED_VALUE"""),936.2)</f>
        <v>936.2</v>
      </c>
      <c r="D30" s="21">
        <f>IFERROR(__xludf.DUMMYFUNCTION("""COMPUTED_VALUE"""),1.8443454324545798)</f>
        <v>1.844345432</v>
      </c>
      <c r="E30" s="21">
        <f>IFERROR(__xludf.DUMMYFUNCTION("""COMPUTED_VALUE"""),1.9222873036118795)</f>
        <v>1.922287304</v>
      </c>
      <c r="F30" s="21">
        <f>IFERROR(__xludf.DUMMYFUNCTION("""COMPUTED_VALUE"""),3.7666327360664593)</f>
        <v>3.766632736</v>
      </c>
      <c r="G30" s="23">
        <f>IFERROR(__xludf.DUMMYFUNCTION("""COMPUTED_VALUE"""),1.6598272710002167)</f>
        <v>1.659827271</v>
      </c>
      <c r="H30" s="4"/>
      <c r="I30" s="5" t="s">
        <v>2261</v>
      </c>
      <c r="J30" s="5" t="s">
        <v>2253</v>
      </c>
      <c r="K30" s="5">
        <v>936.0</v>
      </c>
      <c r="L30" s="5">
        <v>1.844386</v>
      </c>
      <c r="M30" s="5">
        <v>1.922247</v>
      </c>
      <c r="N30" s="5">
        <v>3.766633</v>
      </c>
      <c r="O30" s="5">
        <v>1.659827</v>
      </c>
    </row>
    <row r="31">
      <c r="A31" s="12" t="str">
        <f>IFERROR(__xludf.DUMMYFUNCTION("""COMPUTED_VALUE"""),"J.J. Hickson")</f>
        <v>J.J. Hickson</v>
      </c>
      <c r="B31" s="13" t="str">
        <f>IFERROR(__xludf.DUMMYFUNCTION("""COMPUTED_VALUE"""),"TONG")</f>
        <v>TONG</v>
      </c>
      <c r="C31" s="14">
        <f>IFERROR(__xludf.DUMMYFUNCTION("""COMPUTED_VALUE"""),1401.5)</f>
        <v>1401.5</v>
      </c>
      <c r="D31" s="15">
        <f>IFERROR(__xludf.DUMMYFUNCTION("""COMPUTED_VALUE"""),2.407539980582575)</f>
        <v>2.407539981</v>
      </c>
      <c r="E31" s="15">
        <f>IFERROR(__xludf.DUMMYFUNCTION("""COMPUTED_VALUE"""),1.3353732672455965)</f>
        <v>1.335373267</v>
      </c>
      <c r="F31" s="15">
        <f>IFERROR(__xludf.DUMMYFUNCTION("""COMPUTED_VALUE"""),3.7429132478281715)</f>
        <v>3.742913248</v>
      </c>
      <c r="G31" s="17">
        <f>IFERROR(__xludf.DUMMYFUNCTION("""COMPUTED_VALUE"""),2.4612535523739463)</f>
        <v>2.461253552</v>
      </c>
      <c r="H31" s="4"/>
      <c r="I31" s="5" t="s">
        <v>2263</v>
      </c>
      <c r="J31" s="5" t="s">
        <v>2236</v>
      </c>
      <c r="K31" s="24">
        <v>1402.0</v>
      </c>
      <c r="L31" s="5">
        <v>2.40758</v>
      </c>
      <c r="M31" s="5">
        <v>1.335333</v>
      </c>
      <c r="N31" s="5">
        <v>3.742913</v>
      </c>
      <c r="O31" s="5">
        <v>2.461254</v>
      </c>
    </row>
    <row r="32">
      <c r="A32" s="18" t="str">
        <f>IFERROR(__xludf.DUMMYFUNCTION("""COMPUTED_VALUE"""),"Miroslav Raduljica")</f>
        <v>Miroslav Raduljica</v>
      </c>
      <c r="B32" s="19" t="str">
        <f>IFERROR(__xludf.DUMMYFUNCTION("""COMPUTED_VALUE"""),"JIA")</f>
        <v>JIA</v>
      </c>
      <c r="C32" s="20">
        <f>IFERROR(__xludf.DUMMYFUNCTION("""COMPUTED_VALUE"""),1290.9)</f>
        <v>1290.9</v>
      </c>
      <c r="D32" s="21">
        <f>IFERROR(__xludf.DUMMYFUNCTION("""COMPUTED_VALUE"""),2.025411211993489)</f>
        <v>2.025411212</v>
      </c>
      <c r="E32" s="21">
        <f>IFERROR(__xludf.DUMMYFUNCTION("""COMPUTED_VALUE"""),1.625189894883094)</f>
        <v>1.625189895</v>
      </c>
      <c r="F32" s="21">
        <f>IFERROR(__xludf.DUMMYFUNCTION("""COMPUTED_VALUE"""),3.650601106876583)</f>
        <v>3.650601107</v>
      </c>
      <c r="G32" s="23">
        <f>IFERROR(__xludf.DUMMYFUNCTION("""COMPUTED_VALUE"""),2.4163005522656253)</f>
        <v>2.416300552</v>
      </c>
      <c r="H32" s="4"/>
      <c r="I32" s="5" t="s">
        <v>2265</v>
      </c>
      <c r="J32" s="5" t="s">
        <v>2190</v>
      </c>
      <c r="K32" s="24">
        <v>1291.0</v>
      </c>
      <c r="L32" s="5">
        <v>2.025451</v>
      </c>
      <c r="M32" s="5">
        <v>1.62515</v>
      </c>
      <c r="N32" s="5">
        <v>3.650601</v>
      </c>
      <c r="O32" s="5">
        <v>2.416301</v>
      </c>
    </row>
    <row r="33">
      <c r="A33" s="12" t="str">
        <f>IFERROR(__xludf.DUMMYFUNCTION("""COMPUTED_VALUE"""),"Shavlik Randolph")</f>
        <v>Shavlik Randolph</v>
      </c>
      <c r="B33" s="13" t="str">
        <f>IFERROR(__xludf.DUMMYFUNCTION("""COMPUTED_VALUE"""),"BEIK")</f>
        <v>BEIK</v>
      </c>
      <c r="C33" s="14">
        <f>IFERROR(__xludf.DUMMYFUNCTION("""COMPUTED_VALUE"""),1313.5)</f>
        <v>1313.5</v>
      </c>
      <c r="D33" s="15">
        <f>IFERROR(__xludf.DUMMYFUNCTION("""COMPUTED_VALUE"""),3.475297073700415)</f>
        <v>3.475297074</v>
      </c>
      <c r="E33" s="15">
        <f>IFERROR(__xludf.DUMMYFUNCTION("""COMPUTED_VALUE"""),0.09409626663948067)</f>
        <v>0.09409626664</v>
      </c>
      <c r="F33" s="15">
        <f>IFERROR(__xludf.DUMMYFUNCTION("""COMPUTED_VALUE"""),3.5693933403398956)</f>
        <v>3.56939334</v>
      </c>
      <c r="G33" s="17">
        <f>IFERROR(__xludf.DUMMYFUNCTION("""COMPUTED_VALUE"""),2.2323425405956345)</f>
        <v>2.232342541</v>
      </c>
      <c r="H33" s="4"/>
      <c r="I33" s="5" t="s">
        <v>2267</v>
      </c>
      <c r="J33" s="5" t="s">
        <v>2256</v>
      </c>
      <c r="K33" s="24">
        <v>1314.0</v>
      </c>
      <c r="L33" s="5">
        <v>3.475337</v>
      </c>
      <c r="M33" s="5">
        <v>0.094056</v>
      </c>
      <c r="N33" s="5">
        <v>3.569393</v>
      </c>
      <c r="O33" s="5">
        <v>2.232343</v>
      </c>
    </row>
    <row r="34">
      <c r="A34" s="18" t="str">
        <f>IFERROR(__xludf.DUMMYFUNCTION("""COMPUTED_VALUE"""),"Donald Sloan")</f>
        <v>Donald Sloan</v>
      </c>
      <c r="B34" s="19" t="str">
        <f>IFERROR(__xludf.DUMMYFUNCTION("""COMPUTED_VALUE"""),"GST")</f>
        <v>GST</v>
      </c>
      <c r="C34" s="20">
        <f>IFERROR(__xludf.DUMMYFUNCTION("""COMPUTED_VALUE"""),343.8)</f>
        <v>343.8</v>
      </c>
      <c r="D34" s="21">
        <f>IFERROR(__xludf.DUMMYFUNCTION("""COMPUTED_VALUE"""),2.453802786352025)</f>
        <v>2.453802786</v>
      </c>
      <c r="E34" s="21">
        <f>IFERROR(__xludf.DUMMYFUNCTION("""COMPUTED_VALUE"""),1.0880830014051415)</f>
        <v>1.088083001</v>
      </c>
      <c r="F34" s="21">
        <f>IFERROR(__xludf.DUMMYFUNCTION("""COMPUTED_VALUE"""),3.5418857877571663)</f>
        <v>3.541885788</v>
      </c>
      <c r="G34" s="23">
        <f>IFERROR(__xludf.DUMMYFUNCTION("""COMPUTED_VALUE"""),0.585781173189794)</f>
        <v>0.5857811732</v>
      </c>
      <c r="H34" s="4"/>
      <c r="I34" s="5" t="s">
        <v>2269</v>
      </c>
      <c r="J34" s="5" t="s">
        <v>2253</v>
      </c>
      <c r="K34" s="24">
        <v>344.0</v>
      </c>
      <c r="L34" s="5">
        <v>2.453843</v>
      </c>
      <c r="M34" s="5">
        <v>1.088043</v>
      </c>
      <c r="N34" s="5">
        <v>3.541886</v>
      </c>
      <c r="O34" s="5">
        <v>0.585781</v>
      </c>
    </row>
    <row r="35">
      <c r="A35" s="12" t="str">
        <f>IFERROR(__xludf.DUMMYFUNCTION("""COMPUTED_VALUE"""),"Jianlian Yi")</f>
        <v>Jianlian Yi</v>
      </c>
      <c r="B35" s="13" t="str">
        <f>IFERROR(__xludf.DUMMYFUNCTION("""COMPUTED_VALUE"""),"GST")</f>
        <v>GST</v>
      </c>
      <c r="C35" s="14">
        <f>IFERROR(__xludf.DUMMYFUNCTION("""COMPUTED_VALUE"""),1707.8)</f>
        <v>1707.8</v>
      </c>
      <c r="D35" s="15">
        <f>IFERROR(__xludf.DUMMYFUNCTION("""COMPUTED_VALUE"""),1.3194807306595866)</f>
        <v>1.319480731</v>
      </c>
      <c r="E35" s="15">
        <f>IFERROR(__xludf.DUMMYFUNCTION("""COMPUTED_VALUE"""),2.121644341185022)</f>
        <v>2.121644341</v>
      </c>
      <c r="F35" s="15">
        <f>IFERROR(__xludf.DUMMYFUNCTION("""COMPUTED_VALUE"""),3.4411250718446085)</f>
        <v>3.441125072</v>
      </c>
      <c r="G35" s="17">
        <f>IFERROR(__xludf.DUMMYFUNCTION("""COMPUTED_VALUE"""),2.8569173995010306)</f>
        <v>2.8569174</v>
      </c>
      <c r="H35" s="4"/>
      <c r="I35" s="5" t="s">
        <v>2271</v>
      </c>
      <c r="J35" s="5" t="s">
        <v>2253</v>
      </c>
      <c r="K35" s="24">
        <v>1708.0</v>
      </c>
      <c r="L35" s="5">
        <v>1.319521</v>
      </c>
      <c r="M35" s="5">
        <v>2.121604</v>
      </c>
      <c r="N35" s="5">
        <v>3.441125</v>
      </c>
      <c r="O35" s="5">
        <v>2.856917</v>
      </c>
    </row>
    <row r="36">
      <c r="A36" s="18" t="str">
        <f>IFERROR(__xludf.DUMMYFUNCTION("""COMPUTED_VALUE"""),"Zhao Jiwei")</f>
        <v>Zhao Jiwei</v>
      </c>
      <c r="B36" s="19" t="str">
        <f>IFERROR(__xludf.DUMMYFUNCTION("""COMPUTED_VALUE"""),"LIA")</f>
        <v>LIA</v>
      </c>
      <c r="C36" s="20">
        <f>IFERROR(__xludf.DUMMYFUNCTION("""COMPUTED_VALUE"""),1306.2)</f>
        <v>1306.2</v>
      </c>
      <c r="D36" s="21">
        <f>IFERROR(__xludf.DUMMYFUNCTION("""COMPUTED_VALUE"""),0.9510862535923059)</f>
        <v>0.9510862536</v>
      </c>
      <c r="E36" s="21">
        <f>IFERROR(__xludf.DUMMYFUNCTION("""COMPUTED_VALUE"""),2.347618347991921)</f>
        <v>2.347618348</v>
      </c>
      <c r="F36" s="21">
        <f>IFERROR(__xludf.DUMMYFUNCTION("""COMPUTED_VALUE"""),3.2987046015842267)</f>
        <v>3.298704602</v>
      </c>
      <c r="G36" s="23">
        <f>IFERROR(__xludf.DUMMYFUNCTION("""COMPUTED_VALUE"""),2.115657249461549)</f>
        <v>2.115657249</v>
      </c>
      <c r="H36" s="4"/>
      <c r="I36" s="5" t="s">
        <v>2273</v>
      </c>
      <c r="J36" s="5" t="s">
        <v>2205</v>
      </c>
      <c r="K36" s="24">
        <v>1306.0</v>
      </c>
      <c r="L36" s="5">
        <v>0.951126</v>
      </c>
      <c r="M36" s="5">
        <v>2.347578</v>
      </c>
      <c r="N36" s="5">
        <v>3.298705</v>
      </c>
      <c r="O36" s="5">
        <v>2.115657</v>
      </c>
    </row>
    <row r="37">
      <c r="A37" s="12" t="str">
        <f>IFERROR(__xludf.DUMMYFUNCTION("""COMPUTED_VALUE"""),"Tyler Hansbrough")</f>
        <v>Tyler Hansbrough</v>
      </c>
      <c r="B37" s="13" t="str">
        <f>IFERROR(__xludf.DUMMYFUNCTION("""COMPUTED_VALUE"""),"GFD")</f>
        <v>GFD</v>
      </c>
      <c r="C37" s="14">
        <f>IFERROR(__xludf.DUMMYFUNCTION("""COMPUTED_VALUE"""),1041.3)</f>
        <v>1041.3</v>
      </c>
      <c r="D37" s="15">
        <f>IFERROR(__xludf.DUMMYFUNCTION("""COMPUTED_VALUE"""),5.2714703957095566)</f>
        <v>5.271470396</v>
      </c>
      <c r="E37" s="15">
        <f>IFERROR(__xludf.DUMMYFUNCTION("""COMPUTED_VALUE"""),-2.0127617708427716)</f>
        <v>-2.012761771</v>
      </c>
      <c r="F37" s="15">
        <f>IFERROR(__xludf.DUMMYFUNCTION("""COMPUTED_VALUE"""),3.258708624866785)</f>
        <v>3.258708625</v>
      </c>
      <c r="G37" s="17">
        <f>IFERROR(__xludf.DUMMYFUNCTION("""COMPUTED_VALUE"""),1.6526603993072884)</f>
        <v>1.652660399</v>
      </c>
      <c r="H37" s="4"/>
      <c r="I37" s="5" t="s">
        <v>2275</v>
      </c>
      <c r="J37" s="5" t="s">
        <v>2219</v>
      </c>
      <c r="K37" s="24">
        <v>1041.0</v>
      </c>
      <c r="L37" s="5">
        <v>5.271511</v>
      </c>
      <c r="M37" s="5">
        <v>-2.012802</v>
      </c>
      <c r="N37" s="5">
        <v>3.258709</v>
      </c>
      <c r="O37" s="5">
        <v>1.65266</v>
      </c>
    </row>
    <row r="38">
      <c r="A38" s="18" t="str">
        <f>IFERROR(__xludf.DUMMYFUNCTION("""COMPUTED_VALUE"""),"Eli Holman")</f>
        <v>Eli Holman</v>
      </c>
      <c r="B38" s="19" t="str">
        <f>IFERROR(__xludf.DUMMYFUNCTION("""COMPUTED_VALUE"""),"TIA")</f>
        <v>TIA</v>
      </c>
      <c r="C38" s="20">
        <f>IFERROR(__xludf.DUMMYFUNCTION("""COMPUTED_VALUE"""),593.1)</f>
        <v>593.1</v>
      </c>
      <c r="D38" s="21">
        <f>IFERROR(__xludf.DUMMYFUNCTION("""COMPUTED_VALUE"""),2.583285880011693)</f>
        <v>2.58328588</v>
      </c>
      <c r="E38" s="21">
        <f>IFERROR(__xludf.DUMMYFUNCTION("""COMPUTED_VALUE"""),0.6555125155053512)</f>
        <v>0.6555125155</v>
      </c>
      <c r="F38" s="21">
        <f>IFERROR(__xludf.DUMMYFUNCTION("""COMPUTED_VALUE"""),3.238798395517044)</f>
        <v>3.238798396</v>
      </c>
      <c r="G38" s="23">
        <f>IFERROR(__xludf.DUMMYFUNCTION("""COMPUTED_VALUE"""),0.9019813766693374)</f>
        <v>0.9019813767</v>
      </c>
      <c r="H38" s="4"/>
      <c r="I38" s="5" t="s">
        <v>2278</v>
      </c>
      <c r="J38" s="5" t="s">
        <v>2229</v>
      </c>
      <c r="K38" s="5">
        <v>593.0</v>
      </c>
      <c r="L38" s="5">
        <v>2.583326</v>
      </c>
      <c r="M38" s="5">
        <v>0.655472</v>
      </c>
      <c r="N38" s="5">
        <v>3.238798</v>
      </c>
      <c r="O38" s="5">
        <v>0.901981</v>
      </c>
    </row>
    <row r="39">
      <c r="A39" s="12" t="str">
        <f>IFERROR(__xludf.DUMMYFUNCTION("""COMPUTED_VALUE"""),"Zheng Liu")</f>
        <v>Zheng Liu</v>
      </c>
      <c r="B39" s="13" t="str">
        <f>IFERROR(__xludf.DUMMYFUNCTION("""COMPUTED_VALUE"""),"ZGL")</f>
        <v>ZGL</v>
      </c>
      <c r="C39" s="14">
        <f>IFERROR(__xludf.DUMMYFUNCTION("""COMPUTED_VALUE"""),1386.9)</f>
        <v>1386.9</v>
      </c>
      <c r="D39" s="15">
        <f>IFERROR(__xludf.DUMMYFUNCTION("""COMPUTED_VALUE"""),-0.3507497025292803)</f>
        <v>-0.3507497025</v>
      </c>
      <c r="E39" s="15">
        <f>IFERROR(__xludf.DUMMYFUNCTION("""COMPUTED_VALUE"""),3.4195019906405486)</f>
        <v>3.419501991</v>
      </c>
      <c r="F39" s="15">
        <f>IFERROR(__xludf.DUMMYFUNCTION("""COMPUTED_VALUE"""),3.0687522881112685)</f>
        <v>3.068752288</v>
      </c>
      <c r="G39" s="17">
        <f>IFERROR(__xludf.DUMMYFUNCTION("""COMPUTED_VALUE"""),2.329792414658817)</f>
        <v>2.329792415</v>
      </c>
      <c r="H39" s="4"/>
      <c r="I39" s="5" t="s">
        <v>2280</v>
      </c>
      <c r="J39" s="5" t="s">
        <v>2194</v>
      </c>
      <c r="K39" s="24">
        <v>1387.0</v>
      </c>
      <c r="L39" s="5">
        <v>-0.35071</v>
      </c>
      <c r="M39" s="5">
        <v>3.419462</v>
      </c>
      <c r="N39" s="5">
        <v>3.068752</v>
      </c>
      <c r="O39" s="5">
        <v>2.329792</v>
      </c>
    </row>
    <row r="40">
      <c r="A40" s="18" t="str">
        <f>IFERROR(__xludf.DUMMYFUNCTION("""COMPUTED_VALUE"""),"Junfei Ren")</f>
        <v>Junfei Ren</v>
      </c>
      <c r="B40" s="19" t="str">
        <f>IFERROR(__xludf.DUMMYFUNCTION("""COMPUTED_VALUE"""),"GST")</f>
        <v>GST</v>
      </c>
      <c r="C40" s="20">
        <f>IFERROR(__xludf.DUMMYFUNCTION("""COMPUTED_VALUE"""),1130.9)</f>
        <v>1130.9</v>
      </c>
      <c r="D40" s="21">
        <f>IFERROR(__xludf.DUMMYFUNCTION("""COMPUTED_VALUE"""),1.0215605559094838)</f>
        <v>1.021560556</v>
      </c>
      <c r="E40" s="21">
        <f>IFERROR(__xludf.DUMMYFUNCTION("""COMPUTED_VALUE"""),1.9506239550645987)</f>
        <v>1.950623955</v>
      </c>
      <c r="F40" s="21">
        <f>IFERROR(__xludf.DUMMYFUNCTION("""COMPUTED_VALUE"""),2.9721845109740825)</f>
        <v>2.972184511</v>
      </c>
      <c r="G40" s="23">
        <f>IFERROR(__xludf.DUMMYFUNCTION("""COMPUTED_VALUE"""),1.7287946359093338)</f>
        <v>1.728794636</v>
      </c>
      <c r="H40" s="4"/>
      <c r="I40" s="5" t="s">
        <v>2282</v>
      </c>
      <c r="J40" s="5" t="s">
        <v>2253</v>
      </c>
      <c r="K40" s="24">
        <v>1131.0</v>
      </c>
      <c r="L40" s="5">
        <v>1.021601</v>
      </c>
      <c r="M40" s="5">
        <v>1.950584</v>
      </c>
      <c r="N40" s="5">
        <v>2.972185</v>
      </c>
      <c r="O40" s="5">
        <v>1.728795</v>
      </c>
    </row>
    <row r="41">
      <c r="A41" s="12" t="str">
        <f>IFERROR(__xludf.DUMMYFUNCTION("""COMPUTED_VALUE"""),"Ding Yanyuhang")</f>
        <v>Ding Yanyuhang</v>
      </c>
      <c r="B41" s="13" t="str">
        <f>IFERROR(__xludf.DUMMYFUNCTION("""COMPUTED_VALUE"""),"SHA")</f>
        <v>SHA</v>
      </c>
      <c r="C41" s="14">
        <f>IFERROR(__xludf.DUMMYFUNCTION("""COMPUTED_VALUE"""),1690.1)</f>
        <v>1690.1</v>
      </c>
      <c r="D41" s="15">
        <f>IFERROR(__xludf.DUMMYFUNCTION("""COMPUTED_VALUE"""),3.6504768571751494)</f>
        <v>3.650476857</v>
      </c>
      <c r="E41" s="15">
        <f>IFERROR(__xludf.DUMMYFUNCTION("""COMPUTED_VALUE"""),-0.7415857847051002)</f>
        <v>-0.7415857847</v>
      </c>
      <c r="F41" s="15">
        <f>IFERROR(__xludf.DUMMYFUNCTION("""COMPUTED_VALUE"""),2.908891072470049)</f>
        <v>2.908891072</v>
      </c>
      <c r="G41" s="17">
        <f>IFERROR(__xludf.DUMMYFUNCTION("""COMPUTED_VALUE"""),2.5301674549465005)</f>
        <v>2.530167455</v>
      </c>
      <c r="H41" s="4"/>
      <c r="I41" s="5" t="s">
        <v>2284</v>
      </c>
      <c r="J41" s="5" t="s">
        <v>2201</v>
      </c>
      <c r="K41" s="24">
        <v>1690.0</v>
      </c>
      <c r="L41" s="5">
        <v>3.650517</v>
      </c>
      <c r="M41" s="5">
        <v>-0.741626</v>
      </c>
      <c r="N41" s="5">
        <v>2.908891</v>
      </c>
      <c r="O41" s="5">
        <v>2.530167</v>
      </c>
    </row>
    <row r="42">
      <c r="A42" s="18" t="str">
        <f>IFERROR(__xludf.DUMMYFUNCTION("""COMPUTED_VALUE"""),"Dejun Han")</f>
        <v>Dejun Han</v>
      </c>
      <c r="B42" s="19" t="str">
        <f>IFERROR(__xludf.DUMMYFUNCTION("""COMPUTED_VALUE"""),"LIA")</f>
        <v>LIA</v>
      </c>
      <c r="C42" s="20">
        <f>IFERROR(__xludf.DUMMYFUNCTION("""COMPUTED_VALUE"""),1272.9)</f>
        <v>1272.9</v>
      </c>
      <c r="D42" s="21">
        <f>IFERROR(__xludf.DUMMYFUNCTION("""COMPUTED_VALUE"""),1.2015973605422046)</f>
        <v>1.201597361</v>
      </c>
      <c r="E42" s="21">
        <f>IFERROR(__xludf.DUMMYFUNCTION("""COMPUTED_VALUE"""),1.6763395565000798)</f>
        <v>1.676339557</v>
      </c>
      <c r="F42" s="21">
        <f>IFERROR(__xludf.DUMMYFUNCTION("""COMPUTED_VALUE"""),2.8779369170422844)</f>
        <v>2.877936917</v>
      </c>
      <c r="G42" s="23">
        <f>IFERROR(__xludf.DUMMYFUNCTION("""COMPUTED_VALUE"""),1.8980007883841579)</f>
        <v>1.898000788</v>
      </c>
      <c r="H42" s="4"/>
      <c r="I42" s="5" t="s">
        <v>2286</v>
      </c>
      <c r="J42" s="5" t="s">
        <v>2205</v>
      </c>
      <c r="K42" s="24">
        <v>1273.0</v>
      </c>
      <c r="L42" s="5">
        <v>1.201638</v>
      </c>
      <c r="M42" s="5">
        <v>1.676299</v>
      </c>
      <c r="N42" s="5">
        <v>2.877937</v>
      </c>
      <c r="O42" s="5">
        <v>1.898001</v>
      </c>
    </row>
    <row r="43">
      <c r="A43" s="12" t="str">
        <f>IFERROR(__xludf.DUMMYFUNCTION("""COMPUTED_VALUE"""),"Xiaochuan Di")</f>
        <v>Xiaochuan Di</v>
      </c>
      <c r="B43" s="13" t="str">
        <f>IFERROR(__xludf.DUMMYFUNCTION("""COMPUTED_VALUE"""),"BSD")</f>
        <v>BSD</v>
      </c>
      <c r="C43" s="14">
        <f>IFERROR(__xludf.DUMMYFUNCTION("""COMPUTED_VALUE"""),1174.3)</f>
        <v>1174.3</v>
      </c>
      <c r="D43" s="15">
        <f>IFERROR(__xludf.DUMMYFUNCTION("""COMPUTED_VALUE"""),1.0836862588832485)</f>
        <v>1.083686259</v>
      </c>
      <c r="E43" s="15">
        <f>IFERROR(__xludf.DUMMYFUNCTION("""COMPUTED_VALUE"""),1.6670611274481966)</f>
        <v>1.667061127</v>
      </c>
      <c r="F43" s="15">
        <f>IFERROR(__xludf.DUMMYFUNCTION("""COMPUTED_VALUE"""),2.750747386331445)</f>
        <v>2.750747386</v>
      </c>
      <c r="G43" s="17">
        <f>IFERROR(__xludf.DUMMYFUNCTION("""COMPUTED_VALUE"""),1.6901501837253343)</f>
        <v>1.690150184</v>
      </c>
      <c r="H43" s="4"/>
      <c r="I43" s="5" t="s">
        <v>2288</v>
      </c>
      <c r="J43" s="5" t="s">
        <v>2211</v>
      </c>
      <c r="K43" s="24">
        <v>1174.0</v>
      </c>
      <c r="L43" s="5">
        <v>1.083726</v>
      </c>
      <c r="M43" s="5">
        <v>1.667021</v>
      </c>
      <c r="N43" s="5">
        <v>2.750747</v>
      </c>
      <c r="O43" s="5">
        <v>1.69015</v>
      </c>
    </row>
    <row r="44">
      <c r="A44" s="18" t="str">
        <f>IFERROR(__xludf.DUMMYFUNCTION("""COMPUTED_VALUE"""),"Jinqiu Hu")</f>
        <v>Jinqiu Hu</v>
      </c>
      <c r="B44" s="19" t="str">
        <f>IFERROR(__xludf.DUMMYFUNCTION("""COMPUTED_VALUE"""),"ZGL")</f>
        <v>ZGL</v>
      </c>
      <c r="C44" s="20">
        <f>IFERROR(__xludf.DUMMYFUNCTION("""COMPUTED_VALUE"""),1883.1)</f>
        <v>1883.1</v>
      </c>
      <c r="D44" s="21">
        <f>IFERROR(__xludf.DUMMYFUNCTION("""COMPUTED_VALUE"""),2.124793487929039)</f>
        <v>2.124793488</v>
      </c>
      <c r="E44" s="21">
        <f>IFERROR(__xludf.DUMMYFUNCTION("""COMPUTED_VALUE"""),0.5667953147169875)</f>
        <v>0.5667953147</v>
      </c>
      <c r="F44" s="21">
        <f>IFERROR(__xludf.DUMMYFUNCTION("""COMPUTED_VALUE"""),2.6915888026460264)</f>
        <v>2.691588803</v>
      </c>
      <c r="G44" s="23">
        <f>IFERROR(__xludf.DUMMYFUNCTION("""COMPUTED_VALUE"""),2.927954581515115)</f>
        <v>2.927954582</v>
      </c>
      <c r="H44" s="4"/>
      <c r="I44" s="5" t="s">
        <v>2290</v>
      </c>
      <c r="J44" s="5" t="s">
        <v>2194</v>
      </c>
      <c r="K44" s="24">
        <v>1883.0</v>
      </c>
      <c r="L44" s="5">
        <v>2.124834</v>
      </c>
      <c r="M44" s="5">
        <v>0.566755</v>
      </c>
      <c r="N44" s="5">
        <v>2.691589</v>
      </c>
      <c r="O44" s="5">
        <v>2.927955</v>
      </c>
    </row>
    <row r="45">
      <c r="A45" s="12" t="str">
        <f>IFERROR(__xludf.DUMMYFUNCTION("""COMPUTED_VALUE"""),"Augusto Cesar Lima")</f>
        <v>Augusto Cesar Lima</v>
      </c>
      <c r="B45" s="13" t="str">
        <f>IFERROR(__xludf.DUMMYFUNCTION("""COMPUTED_VALUE"""),"XIN")</f>
        <v>XIN</v>
      </c>
      <c r="C45" s="14">
        <f>IFERROR(__xludf.DUMMYFUNCTION("""COMPUTED_VALUE"""),361.9)</f>
        <v>361.9</v>
      </c>
      <c r="D45" s="15">
        <f>IFERROR(__xludf.DUMMYFUNCTION("""COMPUTED_VALUE"""),2.3168176963611384)</f>
        <v>2.316817696</v>
      </c>
      <c r="E45" s="15">
        <f>IFERROR(__xludf.DUMMYFUNCTION("""COMPUTED_VALUE"""),0.21913079104286615)</f>
        <v>0.219130791</v>
      </c>
      <c r="F45" s="15">
        <f>IFERROR(__xludf.DUMMYFUNCTION("""COMPUTED_VALUE"""),2.5359484874040046)</f>
        <v>2.535948487</v>
      </c>
      <c r="G45" s="17">
        <f>IFERROR(__xludf.DUMMYFUNCTION("""COMPUTED_VALUE"""),0.49582961238304085)</f>
        <v>0.4958296124</v>
      </c>
      <c r="H45" s="4"/>
      <c r="I45" s="5" t="s">
        <v>523</v>
      </c>
      <c r="J45" s="5" t="s">
        <v>2208</v>
      </c>
      <c r="K45" s="24">
        <v>362.0</v>
      </c>
      <c r="L45" s="5">
        <v>2.316858</v>
      </c>
      <c r="M45" s="5">
        <v>0.219091</v>
      </c>
      <c r="N45" s="5">
        <v>2.535948</v>
      </c>
      <c r="O45" s="5">
        <v>0.49583</v>
      </c>
    </row>
    <row r="46">
      <c r="A46" s="18" t="str">
        <f>IFERROR(__xludf.DUMMYFUNCTION("""COMPUTED_VALUE"""),"Brandon Bass")</f>
        <v>Brandon Bass</v>
      </c>
      <c r="B46" s="19" t="str">
        <f>IFERROR(__xludf.DUMMYFUNCTION("""COMPUTED_VALUE"""),"LIA")</f>
        <v>LIA</v>
      </c>
      <c r="C46" s="20">
        <f>IFERROR(__xludf.DUMMYFUNCTION("""COMPUTED_VALUE"""),1646.4)</f>
        <v>1646.4</v>
      </c>
      <c r="D46" s="21">
        <f>IFERROR(__xludf.DUMMYFUNCTION("""COMPUTED_VALUE"""),0.3867331391850237)</f>
        <v>0.3867331392</v>
      </c>
      <c r="E46" s="21">
        <f>IFERROR(__xludf.DUMMYFUNCTION("""COMPUTED_VALUE"""),2.1335204865209496)</f>
        <v>2.133520487</v>
      </c>
      <c r="F46" s="21">
        <f>IFERROR(__xludf.DUMMYFUNCTION("""COMPUTED_VALUE"""),2.520253625705973)</f>
        <v>2.520253626</v>
      </c>
      <c r="G46" s="23">
        <f>IFERROR(__xludf.DUMMYFUNCTION("""COMPUTED_VALUE"""),2.274909283776141)</f>
        <v>2.274909284</v>
      </c>
      <c r="H46" s="4"/>
      <c r="I46" s="5" t="s">
        <v>2295</v>
      </c>
      <c r="J46" s="5" t="s">
        <v>2205</v>
      </c>
      <c r="K46" s="24">
        <v>1646.0</v>
      </c>
      <c r="L46" s="5">
        <v>0.386773</v>
      </c>
      <c r="M46" s="5">
        <v>2.13348</v>
      </c>
      <c r="N46" s="5">
        <v>2.520254</v>
      </c>
      <c r="O46" s="5">
        <v>2.274909</v>
      </c>
    </row>
    <row r="47">
      <c r="A47" s="12" t="str">
        <f>IFERROR(__xludf.DUMMYFUNCTION("""COMPUTED_VALUE"""),"Yu Dehao")</f>
        <v>Yu Dehao</v>
      </c>
      <c r="B47" s="13" t="str">
        <f>IFERROR(__xludf.DUMMYFUNCTION("""COMPUTED_VALUE"""),"DON")</f>
        <v>DON</v>
      </c>
      <c r="C47" s="14">
        <f>IFERROR(__xludf.DUMMYFUNCTION("""COMPUTED_VALUE"""),1035.6)</f>
        <v>1035.6</v>
      </c>
      <c r="D47" s="15">
        <f>IFERROR(__xludf.DUMMYFUNCTION("""COMPUTED_VALUE"""),-0.9380964673052076)</f>
        <v>-0.9380964673</v>
      </c>
      <c r="E47" s="15">
        <f>IFERROR(__xludf.DUMMYFUNCTION("""COMPUTED_VALUE"""),3.288501465956988)</f>
        <v>3.288501466</v>
      </c>
      <c r="F47" s="15">
        <f>IFERROR(__xludf.DUMMYFUNCTION("""COMPUTED_VALUE"""),2.35040499865178)</f>
        <v>2.350404999</v>
      </c>
      <c r="G47" s="17">
        <f>IFERROR(__xludf.DUMMYFUNCTION("""COMPUTED_VALUE"""),1.3678487626344256)</f>
        <v>1.367848763</v>
      </c>
      <c r="H47" s="4"/>
      <c r="I47" s="5" t="s">
        <v>2297</v>
      </c>
      <c r="J47" s="5" t="s">
        <v>2217</v>
      </c>
      <c r="K47" s="24">
        <v>1036.0</v>
      </c>
      <c r="L47" s="5">
        <v>-0.938056</v>
      </c>
      <c r="M47" s="5">
        <v>3.288461</v>
      </c>
      <c r="N47" s="5">
        <v>2.350405</v>
      </c>
      <c r="O47" s="5">
        <v>1.367849</v>
      </c>
    </row>
    <row r="48">
      <c r="A48" s="18" t="str">
        <f>IFERROR(__xludf.DUMMYFUNCTION("""COMPUTED_VALUE"""),"Andray Blatche")</f>
        <v>Andray Blatche</v>
      </c>
      <c r="B48" s="19" t="str">
        <f>IFERROR(__xludf.DUMMYFUNCTION("""COMPUTED_VALUE"""),"XIN")</f>
        <v>XIN</v>
      </c>
      <c r="C48" s="20">
        <f>IFERROR(__xludf.DUMMYFUNCTION("""COMPUTED_VALUE"""),229.9)</f>
        <v>229.9</v>
      </c>
      <c r="D48" s="21">
        <f>IFERROR(__xludf.DUMMYFUNCTION("""COMPUTED_VALUE"""),-0.21235444861468308)</f>
        <v>-0.2123544486</v>
      </c>
      <c r="E48" s="21">
        <f>IFERROR(__xludf.DUMMYFUNCTION("""COMPUTED_VALUE"""),2.4753674609731395)</f>
        <v>2.475367461</v>
      </c>
      <c r="F48" s="21">
        <f>IFERROR(__xludf.DUMMYFUNCTION("""COMPUTED_VALUE"""),2.2630130123584564)</f>
        <v>2.263013012</v>
      </c>
      <c r="G48" s="23">
        <f>IFERROR(__xludf.DUMMYFUNCTION("""COMPUTED_VALUE"""),0.29602704715994343)</f>
        <v>0.2960270472</v>
      </c>
      <c r="H48" s="4"/>
      <c r="I48" s="5" t="s">
        <v>2299</v>
      </c>
      <c r="J48" s="5" t="s">
        <v>2208</v>
      </c>
      <c r="K48" s="24">
        <v>230.0</v>
      </c>
      <c r="L48" s="5">
        <v>-0.212324</v>
      </c>
      <c r="M48" s="5">
        <v>2.475337</v>
      </c>
      <c r="N48" s="5">
        <v>2.263013</v>
      </c>
      <c r="O48" s="5">
        <v>0.296027</v>
      </c>
    </row>
    <row r="49">
      <c r="A49" s="12" t="str">
        <f>IFERROR(__xludf.DUMMYFUNCTION("""COMPUTED_VALUE"""),"Yannis Bourousis")</f>
        <v>Yannis Bourousis</v>
      </c>
      <c r="B49" s="13" t="str">
        <f>IFERROR(__xludf.DUMMYFUNCTION("""COMPUTED_VALUE"""),"ZGL")</f>
        <v>ZGL</v>
      </c>
      <c r="C49" s="14">
        <f>IFERROR(__xludf.DUMMYFUNCTION("""COMPUTED_VALUE"""),1548.2)</f>
        <v>1548.2</v>
      </c>
      <c r="D49" s="15">
        <f>IFERROR(__xludf.DUMMYFUNCTION("""COMPUTED_VALUE"""),-0.18277586268406315)</f>
        <v>-0.1827758627</v>
      </c>
      <c r="E49" s="15">
        <f>IFERROR(__xludf.DUMMYFUNCTION("""COMPUTED_VALUE"""),2.393868094060343)</f>
        <v>2.393868094</v>
      </c>
      <c r="F49" s="15">
        <f>IFERROR(__xludf.DUMMYFUNCTION("""COMPUTED_VALUE"""),2.2110922313762797)</f>
        <v>2.211092231</v>
      </c>
      <c r="G49" s="17">
        <f>IFERROR(__xludf.DUMMYFUNCTION("""COMPUTED_VALUE"""),2.160691819945303)</f>
        <v>2.16069182</v>
      </c>
      <c r="H49" s="4"/>
      <c r="I49" s="5" t="s">
        <v>2301</v>
      </c>
      <c r="J49" s="5" t="s">
        <v>2194</v>
      </c>
      <c r="K49" s="24">
        <v>1548.0</v>
      </c>
      <c r="L49" s="5">
        <v>-0.182736</v>
      </c>
      <c r="M49" s="5">
        <v>2.393828</v>
      </c>
      <c r="N49" s="5">
        <v>2.211092</v>
      </c>
      <c r="O49" s="5">
        <v>2.160692</v>
      </c>
    </row>
    <row r="50">
      <c r="A50" s="18" t="str">
        <f>IFERROR(__xludf.DUMMYFUNCTION("""COMPUTED_VALUE"""),"Tonglin Sun")</f>
        <v>Tonglin Sun</v>
      </c>
      <c r="B50" s="19" t="str">
        <f>IFERROR(__xludf.DUMMYFUNCTION("""COMPUTED_VALUE"""),"XIN")</f>
        <v>XIN</v>
      </c>
      <c r="C50" s="20">
        <f>IFERROR(__xludf.DUMMYFUNCTION("""COMPUTED_VALUE"""),1247.9)</f>
        <v>1247.9</v>
      </c>
      <c r="D50" s="21">
        <f>IFERROR(__xludf.DUMMYFUNCTION("""COMPUTED_VALUE"""),1.2117406607255092)</f>
        <v>1.211740661</v>
      </c>
      <c r="E50" s="21">
        <f>IFERROR(__xludf.DUMMYFUNCTION("""COMPUTED_VALUE"""),0.9876970521596911)</f>
        <v>0.9876970522</v>
      </c>
      <c r="F50" s="21">
        <f>IFERROR(__xludf.DUMMYFUNCTION("""COMPUTED_VALUE"""),2.1994377128852003)</f>
        <v>2.199437713</v>
      </c>
      <c r="G50" s="23">
        <f>IFERROR(__xludf.DUMMYFUNCTION("""COMPUTED_VALUE"""),1.5828752642343202)</f>
        <v>1.582875264</v>
      </c>
      <c r="H50" s="4"/>
      <c r="I50" s="5" t="s">
        <v>2303</v>
      </c>
      <c r="J50" s="5" t="s">
        <v>2208</v>
      </c>
      <c r="K50" s="24">
        <v>1248.0</v>
      </c>
      <c r="L50" s="5">
        <v>1.211781</v>
      </c>
      <c r="M50" s="5">
        <v>0.987657</v>
      </c>
      <c r="N50" s="5">
        <v>2.199438</v>
      </c>
      <c r="O50" s="5">
        <v>1.582875</v>
      </c>
    </row>
    <row r="51">
      <c r="A51" s="12" t="str">
        <f>IFERROR(__xludf.DUMMYFUNCTION("""COMPUTED_VALUE"""),"Darius Morris")</f>
        <v>Darius Morris</v>
      </c>
      <c r="B51" s="13" t="str">
        <f>IFERROR(__xludf.DUMMYFUNCTION("""COMPUTED_VALUE"""),"GST")</f>
        <v>GST</v>
      </c>
      <c r="C51" s="14">
        <f>IFERROR(__xludf.DUMMYFUNCTION("""COMPUTED_VALUE"""),368.1)</f>
        <v>368.1</v>
      </c>
      <c r="D51" s="15">
        <f>IFERROR(__xludf.DUMMYFUNCTION("""COMPUTED_VALUE"""),0.6713115344634747)</f>
        <v>0.6713115345</v>
      </c>
      <c r="E51" s="15">
        <f>IFERROR(__xludf.DUMMYFUNCTION("""COMPUTED_VALUE"""),1.4775932537105216)</f>
        <v>1.477593254</v>
      </c>
      <c r="F51" s="15">
        <f>IFERROR(__xludf.DUMMYFUNCTION("""COMPUTED_VALUE"""),2.148904788173996)</f>
        <v>2.148904788</v>
      </c>
      <c r="G51" s="17">
        <f>IFERROR(__xludf.DUMMYFUNCTION("""COMPUTED_VALUE"""),0.4695385471768505)</f>
        <v>0.4695385472</v>
      </c>
      <c r="H51" s="4"/>
      <c r="I51" s="5" t="s">
        <v>2305</v>
      </c>
      <c r="J51" s="5" t="s">
        <v>2253</v>
      </c>
      <c r="K51" s="5">
        <v>368.0</v>
      </c>
      <c r="L51" s="5">
        <v>0.671352</v>
      </c>
      <c r="M51" s="5">
        <v>1.477553</v>
      </c>
      <c r="N51" s="5">
        <v>2.148905</v>
      </c>
      <c r="O51" s="5">
        <v>0.469539</v>
      </c>
    </row>
    <row r="52">
      <c r="A52" s="18" t="str">
        <f>IFERROR(__xludf.DUMMYFUNCTION("""COMPUTED_VALUE"""),"Zhou Peng")</f>
        <v>Zhou Peng</v>
      </c>
      <c r="B52" s="19" t="str">
        <f>IFERROR(__xludf.DUMMYFUNCTION("""COMPUTED_VALUE"""),"GST")</f>
        <v>GST</v>
      </c>
      <c r="C52" s="20">
        <f>IFERROR(__xludf.DUMMYFUNCTION("""COMPUTED_VALUE"""),1756.5)</f>
        <v>1756.5</v>
      </c>
      <c r="D52" s="21">
        <f>IFERROR(__xludf.DUMMYFUNCTION("""COMPUTED_VALUE"""),0.9573064911589636)</f>
        <v>0.9573064912</v>
      </c>
      <c r="E52" s="21">
        <f>IFERROR(__xludf.DUMMYFUNCTION("""COMPUTED_VALUE"""),1.1814590697377723)</f>
        <v>1.18145907</v>
      </c>
      <c r="F52" s="21">
        <f>IFERROR(__xludf.DUMMYFUNCTION("""COMPUTED_VALUE"""),2.138765560896736)</f>
        <v>2.138765561</v>
      </c>
      <c r="G52" s="23">
        <f>IFERROR(__xludf.DUMMYFUNCTION("""COMPUTED_VALUE"""),2.235069060093944)</f>
        <v>2.23506906</v>
      </c>
      <c r="H52" s="4"/>
      <c r="I52" s="5" t="s">
        <v>2307</v>
      </c>
      <c r="J52" s="5" t="s">
        <v>2253</v>
      </c>
      <c r="K52" s="24">
        <v>1757.0</v>
      </c>
      <c r="L52" s="5">
        <v>0.957347</v>
      </c>
      <c r="M52" s="5">
        <v>1.181419</v>
      </c>
      <c r="N52" s="5">
        <v>2.138766</v>
      </c>
      <c r="O52" s="5">
        <v>2.235069</v>
      </c>
    </row>
    <row r="53">
      <c r="A53" s="12" t="str">
        <f>IFERROR(__xludf.DUMMYFUNCTION("""COMPUTED_VALUE"""),"Carl Landry")</f>
        <v>Carl Landry</v>
      </c>
      <c r="B53" s="13" t="str">
        <f>IFERROR(__xludf.DUMMYFUNCTION("""COMPUTED_VALUE"""),"JIL")</f>
        <v>JIL</v>
      </c>
      <c r="C53" s="14">
        <f>IFERROR(__xludf.DUMMYFUNCTION("""COMPUTED_VALUE"""),1229.9)</f>
        <v>1229.9</v>
      </c>
      <c r="D53" s="15">
        <f>IFERROR(__xludf.DUMMYFUNCTION("""COMPUTED_VALUE"""),4.143823185454552)</f>
        <v>4.143823185</v>
      </c>
      <c r="E53" s="15">
        <f>IFERROR(__xludf.DUMMYFUNCTION("""COMPUTED_VALUE"""),-2.1442245620263303)</f>
        <v>-2.144224562</v>
      </c>
      <c r="F53" s="15">
        <f>IFERROR(__xludf.DUMMYFUNCTION("""COMPUTED_VALUE"""),1.9995986234282221)</f>
        <v>1.999598623</v>
      </c>
      <c r="G53" s="17">
        <f>IFERROR(__xludf.DUMMYFUNCTION("""COMPUTED_VALUE"""),1.5128332853293298)</f>
        <v>1.512833285</v>
      </c>
      <c r="H53" s="4"/>
      <c r="I53" s="5" t="s">
        <v>2310</v>
      </c>
      <c r="J53" s="5" t="s">
        <v>2221</v>
      </c>
      <c r="K53" s="24">
        <v>1230.0</v>
      </c>
      <c r="L53" s="5">
        <v>4.143863</v>
      </c>
      <c r="M53" s="5">
        <v>-2.144265</v>
      </c>
      <c r="N53" s="5">
        <v>1.999599</v>
      </c>
      <c r="O53" s="5">
        <v>1.512833</v>
      </c>
    </row>
    <row r="54">
      <c r="A54" s="18" t="str">
        <f>IFERROR(__xludf.DUMMYFUNCTION("""COMPUTED_VALUE"""),"Qian Wu")</f>
        <v>Qian Wu</v>
      </c>
      <c r="B54" s="19" t="str">
        <f>IFERROR(__xludf.DUMMYFUNCTION("""COMPUTED_VALUE"""),"ZCB")</f>
        <v>ZCB</v>
      </c>
      <c r="C54" s="20">
        <f>IFERROR(__xludf.DUMMYFUNCTION("""COMPUTED_VALUE"""),1586.0)</f>
        <v>1586</v>
      </c>
      <c r="D54" s="21">
        <f>IFERROR(__xludf.DUMMYFUNCTION("""COMPUTED_VALUE"""),1.5828810775583748)</f>
        <v>1.582881078</v>
      </c>
      <c r="E54" s="21">
        <f>IFERROR(__xludf.DUMMYFUNCTION("""COMPUTED_VALUE"""),0.36124183735329973)</f>
        <v>0.3612418374</v>
      </c>
      <c r="F54" s="21">
        <f>IFERROR(__xludf.DUMMYFUNCTION("""COMPUTED_VALUE"""),1.9441229149116745)</f>
        <v>1.944122915</v>
      </c>
      <c r="G54" s="23">
        <f>IFERROR(__xludf.DUMMYFUNCTION("""COMPUTED_VALUE"""),1.910679097470777)</f>
        <v>1.910679097</v>
      </c>
      <c r="H54" s="4"/>
      <c r="I54" s="5" t="s">
        <v>2312</v>
      </c>
      <c r="J54" s="5" t="s">
        <v>2223</v>
      </c>
      <c r="K54" s="24">
        <v>1586.0</v>
      </c>
      <c r="L54" s="5">
        <v>1.582118</v>
      </c>
      <c r="M54" s="5">
        <v>0.362005</v>
      </c>
      <c r="N54" s="5">
        <v>1.944123</v>
      </c>
      <c r="O54" s="5">
        <v>1.910679</v>
      </c>
    </row>
    <row r="55">
      <c r="A55" s="12" t="str">
        <f>IFERROR(__xludf.DUMMYFUNCTION("""COMPUTED_VALUE"""),"YanXi Zhu")</f>
        <v>YanXi Zhu</v>
      </c>
      <c r="B55" s="13" t="str">
        <f>IFERROR(__xludf.DUMMYFUNCTION("""COMPUTED_VALUE"""),"BSD")</f>
        <v>BSD</v>
      </c>
      <c r="C55" s="14">
        <f>IFERROR(__xludf.DUMMYFUNCTION("""COMPUTED_VALUE"""),1103.9)</f>
        <v>1103.9</v>
      </c>
      <c r="D55" s="15">
        <f>IFERROR(__xludf.DUMMYFUNCTION("""COMPUTED_VALUE"""),1.8720058819121441)</f>
        <v>1.872005882</v>
      </c>
      <c r="E55" s="15">
        <f>IFERROR(__xludf.DUMMYFUNCTION("""COMPUTED_VALUE"""),0.02198128038390479)</f>
        <v>0.02198128038</v>
      </c>
      <c r="F55" s="15">
        <f>IFERROR(__xludf.DUMMYFUNCTION("""COMPUTED_VALUE"""),1.893987162296049)</f>
        <v>1.893987162</v>
      </c>
      <c r="G55" s="17">
        <f>IFERROR(__xludf.DUMMYFUNCTION("""COMPUTED_VALUE"""),1.302292521891418)</f>
        <v>1.302292522</v>
      </c>
      <c r="H55" s="4"/>
      <c r="I55" s="5" t="s">
        <v>2315</v>
      </c>
      <c r="J55" s="5" t="s">
        <v>2211</v>
      </c>
      <c r="K55" s="24">
        <v>1104.0</v>
      </c>
      <c r="L55" s="5">
        <v>1.872046</v>
      </c>
      <c r="M55" s="5">
        <v>0.021941</v>
      </c>
      <c r="N55" s="5">
        <v>1.893987</v>
      </c>
      <c r="O55" s="5">
        <v>1.302293</v>
      </c>
    </row>
    <row r="56">
      <c r="A56" s="18" t="str">
        <f>IFERROR(__xludf.DUMMYFUNCTION("""COMPUTED_VALUE"""),"Max Zhang")</f>
        <v>Max Zhang</v>
      </c>
      <c r="B56" s="19" t="str">
        <f>IFERROR(__xludf.DUMMYFUNCTION("""COMPUTED_VALUE"""),"SDS")</f>
        <v>SDS</v>
      </c>
      <c r="C56" s="20">
        <f>IFERROR(__xludf.DUMMYFUNCTION("""COMPUTED_VALUE"""),1090.4)</f>
        <v>1090.4</v>
      </c>
      <c r="D56" s="21">
        <f>IFERROR(__xludf.DUMMYFUNCTION("""COMPUTED_VALUE"""),-2.253723059581619)</f>
        <v>-2.25372306</v>
      </c>
      <c r="E56" s="21">
        <f>IFERROR(__xludf.DUMMYFUNCTION("""COMPUTED_VALUE"""),4.060402793203612)</f>
        <v>4.060402793</v>
      </c>
      <c r="F56" s="21">
        <f>IFERROR(__xludf.DUMMYFUNCTION("""COMPUTED_VALUE"""),1.806679733621993)</f>
        <v>1.806679734</v>
      </c>
      <c r="G56" s="23">
        <f>IFERROR(__xludf.DUMMYFUNCTION("""COMPUTED_VALUE"""),1.2549498789504274)</f>
        <v>1.254949879</v>
      </c>
      <c r="H56" s="4"/>
      <c r="I56" s="5" t="s">
        <v>2317</v>
      </c>
      <c r="J56" s="5" t="s">
        <v>2214</v>
      </c>
      <c r="K56" s="24">
        <v>1090.0</v>
      </c>
      <c r="L56" s="5">
        <v>-2.253683</v>
      </c>
      <c r="M56" s="5">
        <v>4.060363</v>
      </c>
      <c r="N56" s="5">
        <v>1.80668</v>
      </c>
      <c r="O56" s="5">
        <v>1.25495</v>
      </c>
    </row>
    <row r="57">
      <c r="A57" s="12" t="str">
        <f>IFERROR(__xludf.DUMMYFUNCTION("""COMPUTED_VALUE"""),"Maciej Lampe")</f>
        <v>Maciej Lampe</v>
      </c>
      <c r="B57" s="13" t="str">
        <f>IFERROR(__xludf.DUMMYFUNCTION("""COMPUTED_VALUE"""),"QIN")</f>
        <v>QIN</v>
      </c>
      <c r="C57" s="14">
        <f>IFERROR(__xludf.DUMMYFUNCTION("""COMPUTED_VALUE"""),121.0)</f>
        <v>121</v>
      </c>
      <c r="D57" s="15">
        <f>IFERROR(__xludf.DUMMYFUNCTION("""COMPUTED_VALUE"""),1.3623832567558105)</f>
        <v>1.362383257</v>
      </c>
      <c r="E57" s="15">
        <f>IFERROR(__xludf.DUMMYFUNCTION("""COMPUTED_VALUE"""),0.39799839093456124)</f>
        <v>0.3979983909</v>
      </c>
      <c r="F57" s="15">
        <f>IFERROR(__xludf.DUMMYFUNCTION("""COMPUTED_VALUE"""),1.7603816476903718)</f>
        <v>1.760381648</v>
      </c>
      <c r="G57" s="17">
        <f>IFERROR(__xludf.DUMMYFUNCTION("""COMPUTED_VALUE"""),0.14003344867957288)</f>
        <v>0.1400334487</v>
      </c>
      <c r="H57" s="4"/>
      <c r="I57" s="5" t="s">
        <v>2318</v>
      </c>
      <c r="J57" s="5" t="s">
        <v>2226</v>
      </c>
      <c r="K57" s="24">
        <v>121.0</v>
      </c>
      <c r="L57" s="5">
        <v>1.362399</v>
      </c>
      <c r="M57" s="5">
        <v>0.397982</v>
      </c>
      <c r="N57" s="5">
        <v>1.760382</v>
      </c>
      <c r="O57" s="5">
        <v>0.140033</v>
      </c>
    </row>
    <row r="58">
      <c r="A58" s="18" t="str">
        <f>IFERROR(__xludf.DUMMYFUNCTION("""COMPUTED_VALUE"""),"Sui Ran")</f>
        <v>Sui Ran</v>
      </c>
      <c r="B58" s="19" t="str">
        <f>IFERROR(__xludf.DUMMYFUNCTION("""COMPUTED_VALUE"""),"SHA")</f>
        <v>SHA</v>
      </c>
      <c r="C58" s="20">
        <f>IFERROR(__xludf.DUMMYFUNCTION("""COMPUTED_VALUE"""),491.9)</f>
        <v>491.9</v>
      </c>
      <c r="D58" s="21">
        <f>IFERROR(__xludf.DUMMYFUNCTION("""COMPUTED_VALUE"""),-2.003547014993691)</f>
        <v>-2.003547015</v>
      </c>
      <c r="E58" s="21">
        <f>IFERROR(__xludf.DUMMYFUNCTION("""COMPUTED_VALUE"""),3.684309731323623)</f>
        <v>3.684309731</v>
      </c>
      <c r="F58" s="21">
        <f>IFERROR(__xludf.DUMMYFUNCTION("""COMPUTED_VALUE"""),1.6807627163299317)</f>
        <v>1.680762716</v>
      </c>
      <c r="G58" s="23">
        <f>IFERROR(__xludf.DUMMYFUNCTION("""COMPUTED_VALUE"""),0.5521640302552735)</f>
        <v>0.5521640303</v>
      </c>
      <c r="H58" s="4"/>
      <c r="I58" s="5" t="s">
        <v>2321</v>
      </c>
      <c r="J58" s="5" t="s">
        <v>2201</v>
      </c>
      <c r="K58" s="5">
        <v>492.0</v>
      </c>
      <c r="L58" s="5">
        <v>-2.003507</v>
      </c>
      <c r="M58" s="5">
        <v>3.68427</v>
      </c>
      <c r="N58" s="5">
        <v>1.680763</v>
      </c>
      <c r="O58" s="5">
        <v>0.552164</v>
      </c>
    </row>
    <row r="59">
      <c r="A59" s="12" t="str">
        <f>IFERROR(__xludf.DUMMYFUNCTION("""COMPUTED_VALUE"""),"Semaj Christon")</f>
        <v>Semaj Christon</v>
      </c>
      <c r="B59" s="13" t="str">
        <f>IFERROR(__xludf.DUMMYFUNCTION("""COMPUTED_VALUE"""),"GFD")</f>
        <v>GFD</v>
      </c>
      <c r="C59" s="14">
        <f>IFERROR(__xludf.DUMMYFUNCTION("""COMPUTED_VALUE"""),685.7)</f>
        <v>685.7</v>
      </c>
      <c r="D59" s="15">
        <f>IFERROR(__xludf.DUMMYFUNCTION("""COMPUTED_VALUE"""),3.135932511354141)</f>
        <v>3.135932511</v>
      </c>
      <c r="E59" s="15">
        <f>IFERROR(__xludf.DUMMYFUNCTION("""COMPUTED_VALUE"""),-1.5767856682779307)</f>
        <v>-1.576785668</v>
      </c>
      <c r="F59" s="15">
        <f>IFERROR(__xludf.DUMMYFUNCTION("""COMPUTED_VALUE"""),1.5591468430762105)</f>
        <v>1.559146843</v>
      </c>
      <c r="G59" s="17">
        <f>IFERROR(__xludf.DUMMYFUNCTION("""COMPUTED_VALUE"""),0.7365609668968098)</f>
        <v>0.7365609669</v>
      </c>
      <c r="H59" s="4"/>
      <c r="I59" s="5" t="s">
        <v>2323</v>
      </c>
      <c r="J59" s="5" t="s">
        <v>2219</v>
      </c>
      <c r="K59" s="24">
        <v>686.0</v>
      </c>
      <c r="L59" s="5">
        <v>3.135973</v>
      </c>
      <c r="M59" s="5">
        <v>-1.576826</v>
      </c>
      <c r="N59" s="5">
        <v>1.559147</v>
      </c>
      <c r="O59" s="5">
        <v>0.736561</v>
      </c>
    </row>
    <row r="60">
      <c r="A60" s="18" t="str">
        <f>IFERROR(__xludf.DUMMYFUNCTION("""COMPUTED_VALUE"""),"Sani Sakakini")</f>
        <v>Sani Sakakini</v>
      </c>
      <c r="B60" s="19" t="str">
        <f>IFERROR(__xludf.DUMMYFUNCTION("""COMPUTED_VALUE"""),"GFD")</f>
        <v>GFD</v>
      </c>
      <c r="C60" s="20">
        <f>IFERROR(__xludf.DUMMYFUNCTION("""COMPUTED_VALUE"""),1502.8)</f>
        <v>1502.8</v>
      </c>
      <c r="D60" s="21">
        <f>IFERROR(__xludf.DUMMYFUNCTION("""COMPUTED_VALUE"""),1.9465818609558159)</f>
        <v>1.946581861</v>
      </c>
      <c r="E60" s="21">
        <f>IFERROR(__xludf.DUMMYFUNCTION("""COMPUTED_VALUE"""),-0.4140912113814945)</f>
        <v>-0.4140912114</v>
      </c>
      <c r="F60" s="21">
        <f>IFERROR(__xludf.DUMMYFUNCTION("""COMPUTED_VALUE"""),1.5324906495743214)</f>
        <v>1.53249065</v>
      </c>
      <c r="G60" s="23">
        <f>IFERROR(__xludf.DUMMYFUNCTION("""COMPUTED_VALUE"""),1.6021783233530982)</f>
        <v>1.602178323</v>
      </c>
      <c r="H60" s="4"/>
      <c r="I60" s="5" t="s">
        <v>2325</v>
      </c>
      <c r="J60" s="5" t="s">
        <v>2219</v>
      </c>
      <c r="K60" s="24">
        <v>1503.0</v>
      </c>
      <c r="L60" s="5">
        <v>1.946622</v>
      </c>
      <c r="M60" s="5">
        <v>-0.414131</v>
      </c>
      <c r="N60" s="5">
        <v>1.532491</v>
      </c>
      <c r="O60" s="5">
        <v>1.602178</v>
      </c>
    </row>
    <row r="61">
      <c r="A61" s="12" t="str">
        <f>IFERROR(__xludf.DUMMYFUNCTION("""COMPUTED_VALUE"""),"Chunjun Zhang")</f>
        <v>Chunjun Zhang</v>
      </c>
      <c r="B61" s="13" t="str">
        <f>IFERROR(__xludf.DUMMYFUNCTION("""COMPUTED_VALUE"""),"SHA")</f>
        <v>SHA</v>
      </c>
      <c r="C61" s="14">
        <f>IFERROR(__xludf.DUMMYFUNCTION("""COMPUTED_VALUE"""),1065.7)</f>
        <v>1065.7</v>
      </c>
      <c r="D61" s="15">
        <f>IFERROR(__xludf.DUMMYFUNCTION("""COMPUTED_VALUE"""),-0.23768002533778315)</f>
        <v>-0.2376800253</v>
      </c>
      <c r="E61" s="15">
        <f>IFERROR(__xludf.DUMMYFUNCTION("""COMPUTED_VALUE"""),1.6913818043410098)</f>
        <v>1.691381804</v>
      </c>
      <c r="F61" s="15">
        <f>IFERROR(__xludf.DUMMYFUNCTION("""COMPUTED_VALUE"""),1.4537017790032267)</f>
        <v>1.453701779</v>
      </c>
      <c r="G61" s="17">
        <f>IFERROR(__xludf.DUMMYFUNCTION("""COMPUTED_VALUE"""),1.1224661895289367)</f>
        <v>1.12246619</v>
      </c>
      <c r="H61" s="4"/>
      <c r="I61" s="5" t="s">
        <v>2327</v>
      </c>
      <c r="J61" s="5" t="s">
        <v>2201</v>
      </c>
      <c r="K61" s="24">
        <v>1066.0</v>
      </c>
      <c r="L61" s="5">
        <v>-0.23764</v>
      </c>
      <c r="M61" s="5">
        <v>1.691342</v>
      </c>
      <c r="N61" s="5">
        <v>1.453702</v>
      </c>
      <c r="O61" s="5">
        <v>1.122466</v>
      </c>
    </row>
    <row r="62">
      <c r="A62" s="18" t="str">
        <f>IFERROR(__xludf.DUMMYFUNCTION("""COMPUTED_VALUE"""),"Muhao Li")</f>
        <v>Muhao Li</v>
      </c>
      <c r="B62" s="19" t="str">
        <f>IFERROR(__xludf.DUMMYFUNCTION("""COMPUTED_VALUE"""),"DON")</f>
        <v>DON</v>
      </c>
      <c r="C62" s="20">
        <f>IFERROR(__xludf.DUMMYFUNCTION("""COMPUTED_VALUE"""),1168.0)</f>
        <v>1168</v>
      </c>
      <c r="D62" s="21">
        <f>IFERROR(__xludf.DUMMYFUNCTION("""COMPUTED_VALUE"""),-0.4061188044309929)</f>
        <v>-0.4061188044</v>
      </c>
      <c r="E62" s="21">
        <f>IFERROR(__xludf.DUMMYFUNCTION("""COMPUTED_VALUE"""),1.8410554207923484)</f>
        <v>1.841055421</v>
      </c>
      <c r="F62" s="21">
        <f>IFERROR(__xludf.DUMMYFUNCTION("""COMPUTED_VALUE"""),1.4349366163613555)</f>
        <v>1.434936616</v>
      </c>
      <c r="G62" s="23">
        <f>IFERROR(__xludf.DUMMYFUNCTION("""COMPUTED_VALUE"""),1.2180859146411374)</f>
        <v>1.218085915</v>
      </c>
      <c r="H62" s="4"/>
      <c r="I62" s="5" t="s">
        <v>2330</v>
      </c>
      <c r="J62" s="5" t="s">
        <v>2217</v>
      </c>
      <c r="K62" s="24">
        <v>1168.0</v>
      </c>
      <c r="L62" s="5">
        <v>-0.406079</v>
      </c>
      <c r="M62" s="5">
        <v>1.841015</v>
      </c>
      <c r="N62" s="5">
        <v>1.434937</v>
      </c>
      <c r="O62" s="5">
        <v>1.218086</v>
      </c>
    </row>
    <row r="63">
      <c r="A63" s="12" t="str">
        <f>IFERROR(__xludf.DUMMYFUNCTION("""COMPUTED_VALUE"""),"Hongfei Shi")</f>
        <v>Hongfei Shi</v>
      </c>
      <c r="B63" s="13" t="str">
        <f>IFERROR(__xludf.DUMMYFUNCTION("""COMPUTED_VALUE"""),"JIA")</f>
        <v>JIA</v>
      </c>
      <c r="C63" s="14">
        <f>IFERROR(__xludf.DUMMYFUNCTION("""COMPUTED_VALUE"""),1124.9)</f>
        <v>1124.9</v>
      </c>
      <c r="D63" s="15">
        <f>IFERROR(__xludf.DUMMYFUNCTION("""COMPUTED_VALUE"""),1.4145941499846337)</f>
        <v>1.41459415</v>
      </c>
      <c r="E63" s="15">
        <f>IFERROR(__xludf.DUMMYFUNCTION("""COMPUTED_VALUE"""),-0.09847950421854157)</f>
        <v>-0.09847950422</v>
      </c>
      <c r="F63" s="15">
        <f>IFERROR(__xludf.DUMMYFUNCTION("""COMPUTED_VALUE"""),1.3161146457660922)</f>
        <v>1.316114646</v>
      </c>
      <c r="G63" s="17">
        <f>IFERROR(__xludf.DUMMYFUNCTION("""COMPUTED_VALUE"""),1.235683238283502)</f>
        <v>1.235683238</v>
      </c>
      <c r="H63" s="4"/>
      <c r="I63" s="5" t="s">
        <v>2332</v>
      </c>
      <c r="J63" s="5" t="s">
        <v>2190</v>
      </c>
      <c r="K63" s="24">
        <v>1125.0</v>
      </c>
      <c r="L63" s="5">
        <v>1.414634</v>
      </c>
      <c r="M63" s="5">
        <v>-0.09852</v>
      </c>
      <c r="N63" s="5">
        <v>1.316115</v>
      </c>
      <c r="O63" s="5">
        <v>1.235683</v>
      </c>
    </row>
    <row r="64">
      <c r="A64" s="18" t="str">
        <f>IFERROR(__xludf.DUMMYFUNCTION("""COMPUTED_VALUE"""),"Xiaohui Wang")</f>
        <v>Xiaohui Wang</v>
      </c>
      <c r="B64" s="19" t="str">
        <f>IFERROR(__xludf.DUMMYFUNCTION("""COMPUTED_VALUE"""),"BSD")</f>
        <v>BSD</v>
      </c>
      <c r="C64" s="20">
        <f>IFERROR(__xludf.DUMMYFUNCTION("""COMPUTED_VALUE"""),1169.9)</f>
        <v>1169.9</v>
      </c>
      <c r="D64" s="21">
        <f>IFERROR(__xludf.DUMMYFUNCTION("""COMPUTED_VALUE"""),0.695381549457669)</f>
        <v>0.6953815495</v>
      </c>
      <c r="E64" s="21">
        <f>IFERROR(__xludf.DUMMYFUNCTION("""COMPUTED_VALUE"""),0.45946060572394676)</f>
        <v>0.4594606057</v>
      </c>
      <c r="F64" s="21">
        <f>IFERROR(__xludf.DUMMYFUNCTION("""COMPUTED_VALUE"""),1.1548421551816157)</f>
        <v>1.154842155</v>
      </c>
      <c r="G64" s="23">
        <f>IFERROR(__xludf.DUMMYFUNCTION("""COMPUTED_VALUE"""),1.1181773071402374)</f>
        <v>1.118177307</v>
      </c>
      <c r="H64" s="4"/>
      <c r="I64" s="5" t="s">
        <v>2334</v>
      </c>
      <c r="J64" s="5" t="s">
        <v>2211</v>
      </c>
      <c r="K64" s="24">
        <v>1170.0</v>
      </c>
      <c r="L64" s="5">
        <v>0.695422</v>
      </c>
      <c r="M64" s="5">
        <v>0.45942</v>
      </c>
      <c r="N64" s="5">
        <v>1.154842</v>
      </c>
      <c r="O64" s="5">
        <v>1.118177</v>
      </c>
    </row>
    <row r="65">
      <c r="A65" s="12" t="str">
        <f>IFERROR(__xludf.DUMMYFUNCTION("""COMPUTED_VALUE"""),"Zhi Xuan Liu")</f>
        <v>Zhi Xuan Liu</v>
      </c>
      <c r="B65" s="13" t="str">
        <f>IFERROR(__xludf.DUMMYFUNCTION("""COMPUTED_VALUE"""),"LIA")</f>
        <v>LIA</v>
      </c>
      <c r="C65" s="14">
        <f>IFERROR(__xludf.DUMMYFUNCTION("""COMPUTED_VALUE"""),1514.4)</f>
        <v>1514.4</v>
      </c>
      <c r="D65" s="15">
        <f>IFERROR(__xludf.DUMMYFUNCTION("""COMPUTED_VALUE"""),-0.29473469466295843)</f>
        <v>-0.2947346947</v>
      </c>
      <c r="E65" s="15">
        <f>IFERROR(__xludf.DUMMYFUNCTION("""COMPUTED_VALUE"""),1.413424278949528)</f>
        <v>1.413424279</v>
      </c>
      <c r="F65" s="15">
        <f>IFERROR(__xludf.DUMMYFUNCTION("""COMPUTED_VALUE"""),1.1186895842865696)</f>
        <v>1.118689584</v>
      </c>
      <c r="G65" s="17">
        <f>IFERROR(__xludf.DUMMYFUNCTION("""COMPUTED_VALUE"""),1.4437057068314474)</f>
        <v>1.443705707</v>
      </c>
      <c r="H65" s="4"/>
      <c r="I65" s="5" t="s">
        <v>2336</v>
      </c>
      <c r="J65" s="5" t="s">
        <v>2205</v>
      </c>
      <c r="K65" s="24">
        <v>1514.0</v>
      </c>
      <c r="L65" s="5">
        <v>-0.294695</v>
      </c>
      <c r="M65" s="5">
        <v>1.413384</v>
      </c>
      <c r="N65" s="5">
        <v>1.11869</v>
      </c>
      <c r="O65" s="5">
        <v>1.443706</v>
      </c>
    </row>
    <row r="66">
      <c r="A66" s="18" t="str">
        <f>IFERROR(__xludf.DUMMYFUNCTION("""COMPUTED_VALUE"""),"Ailun Guo")</f>
        <v>Ailun Guo</v>
      </c>
      <c r="B66" s="19" t="str">
        <f>IFERROR(__xludf.DUMMYFUNCTION("""COMPUTED_VALUE"""),"LIA")</f>
        <v>LIA</v>
      </c>
      <c r="C66" s="20">
        <f>IFERROR(__xludf.DUMMYFUNCTION("""COMPUTED_VALUE"""),1541.2)</f>
        <v>1541.2</v>
      </c>
      <c r="D66" s="21">
        <f>IFERROR(__xludf.DUMMYFUNCTION("""COMPUTED_VALUE"""),0.6618206741480381)</f>
        <v>0.6618206741</v>
      </c>
      <c r="E66" s="21">
        <f>IFERROR(__xludf.DUMMYFUNCTION("""COMPUTED_VALUE"""),0.44060551511617185)</f>
        <v>0.4406055151</v>
      </c>
      <c r="F66" s="21">
        <f>IFERROR(__xludf.DUMMYFUNCTION("""COMPUTED_VALUE"""),1.10242618926421)</f>
        <v>1.102426189</v>
      </c>
      <c r="G66" s="23">
        <f>IFERROR(__xludf.DUMMYFUNCTION("""COMPUTED_VALUE"""),1.4615927517511378)</f>
        <v>1.461592752</v>
      </c>
      <c r="H66" s="4"/>
      <c r="I66" s="5" t="s">
        <v>2337</v>
      </c>
      <c r="J66" s="5" t="s">
        <v>2205</v>
      </c>
      <c r="K66" s="24">
        <v>1541.0</v>
      </c>
      <c r="L66" s="5">
        <v>0.661861</v>
      </c>
      <c r="M66" s="5">
        <v>0.440565</v>
      </c>
      <c r="N66" s="5">
        <v>1.102426</v>
      </c>
      <c r="O66" s="5">
        <v>1.461593</v>
      </c>
    </row>
    <row r="67">
      <c r="A67" s="12" t="str">
        <f>IFERROR(__xludf.DUMMYFUNCTION("""COMPUTED_VALUE"""),"TaiLong Zhao")</f>
        <v>TaiLong Zhao</v>
      </c>
      <c r="B67" s="13" t="str">
        <f>IFERROR(__xludf.DUMMYFUNCTION("""COMPUTED_VALUE"""),"FUJ")</f>
        <v>FUJ</v>
      </c>
      <c r="C67" s="14">
        <f>IFERROR(__xludf.DUMMYFUNCTION("""COMPUTED_VALUE"""),1427.8)</f>
        <v>1427.8</v>
      </c>
      <c r="D67" s="15">
        <f>IFERROR(__xludf.DUMMYFUNCTION("""COMPUTED_VALUE"""),3.7997756866491983)</f>
        <v>3.799775687</v>
      </c>
      <c r="E67" s="15">
        <f>IFERROR(__xludf.DUMMYFUNCTION("""COMPUTED_VALUE"""),-2.71483951247043)</f>
        <v>-2.714839512</v>
      </c>
      <c r="F67" s="15">
        <f>IFERROR(__xludf.DUMMYFUNCTION("""COMPUTED_VALUE"""),1.0849361741787682)</f>
        <v>1.084936174</v>
      </c>
      <c r="G67" s="17">
        <f>IFERROR(__xludf.DUMMYFUNCTION("""COMPUTED_VALUE"""),1.3370454577628486)</f>
        <v>1.337045458</v>
      </c>
      <c r="H67" s="4"/>
      <c r="I67" s="5" t="s">
        <v>2340</v>
      </c>
      <c r="J67" s="5" t="s">
        <v>2198</v>
      </c>
      <c r="K67" s="24">
        <v>1428.0</v>
      </c>
      <c r="L67" s="5">
        <v>3.799816</v>
      </c>
      <c r="M67" s="5">
        <v>-2.71488</v>
      </c>
      <c r="N67" s="5">
        <v>1.084936</v>
      </c>
      <c r="O67" s="5">
        <v>1.337045</v>
      </c>
    </row>
    <row r="68">
      <c r="A68" s="18" t="str">
        <f>IFERROR(__xludf.DUMMYFUNCTION("""COMPUTED_VALUE"""),"Jeremy Pargo")</f>
        <v>Jeremy Pargo</v>
      </c>
      <c r="B68" s="19" t="str">
        <f>IFERROR(__xludf.DUMMYFUNCTION("""COMPUTED_VALUE"""),"TONG")</f>
        <v>TONG</v>
      </c>
      <c r="C68" s="20">
        <f>IFERROR(__xludf.DUMMYFUNCTION("""COMPUTED_VALUE"""),642.4)</f>
        <v>642.4</v>
      </c>
      <c r="D68" s="21">
        <f>IFERROR(__xludf.DUMMYFUNCTION("""COMPUTED_VALUE"""),3.034164342389208)</f>
        <v>3.034164342</v>
      </c>
      <c r="E68" s="21">
        <f>IFERROR(__xludf.DUMMYFUNCTION("""COMPUTED_VALUE"""),-1.957309028930526)</f>
        <v>-1.957309029</v>
      </c>
      <c r="F68" s="21">
        <f>IFERROR(__xludf.DUMMYFUNCTION("""COMPUTED_VALUE"""),1.0768553134586822)</f>
        <v>1.076855313</v>
      </c>
      <c r="G68" s="23">
        <f>IFERROR(__xludf.DUMMYFUNCTION("""COMPUTED_VALUE"""),0.6044266498782499)</f>
        <v>0.6044266499</v>
      </c>
      <c r="H68" s="4"/>
      <c r="I68" s="5" t="s">
        <v>1688</v>
      </c>
      <c r="J68" s="5" t="s">
        <v>2236</v>
      </c>
      <c r="K68" s="5">
        <v>642.0</v>
      </c>
      <c r="L68" s="5">
        <v>3.034205</v>
      </c>
      <c r="M68" s="5">
        <v>-1.957349</v>
      </c>
      <c r="N68" s="5">
        <v>1.076855</v>
      </c>
      <c r="O68" s="5">
        <v>0.604427</v>
      </c>
    </row>
    <row r="69">
      <c r="A69" s="12" t="str">
        <f>IFERROR(__xludf.DUMMYFUNCTION("""COMPUTED_VALUE"""),"Lingxu Zeng")</f>
        <v>Lingxu Zeng</v>
      </c>
      <c r="B69" s="13" t="str">
        <f>IFERROR(__xludf.DUMMYFUNCTION("""COMPUTED_VALUE"""),"SZD")</f>
        <v>SZD</v>
      </c>
      <c r="C69" s="14">
        <f>IFERROR(__xludf.DUMMYFUNCTION("""COMPUTED_VALUE"""),1202.5)</f>
        <v>1202.5</v>
      </c>
      <c r="D69" s="15">
        <f>IFERROR(__xludf.DUMMYFUNCTION("""COMPUTED_VALUE"""),1.5243968720076564)</f>
        <v>1.524396872</v>
      </c>
      <c r="E69" s="15">
        <f>IFERROR(__xludf.DUMMYFUNCTION("""COMPUTED_VALUE"""),-0.5234724397106207)</f>
        <v>-0.5234724397</v>
      </c>
      <c r="F69" s="15">
        <f>IFERROR(__xludf.DUMMYFUNCTION("""COMPUTED_VALUE"""),1.0009244322970356)</f>
        <v>1.000924432</v>
      </c>
      <c r="G69" s="17">
        <f>IFERROR(__xludf.DUMMYFUNCTION("""COMPUTED_VALUE"""),1.106137975750429)</f>
        <v>1.106137976</v>
      </c>
      <c r="H69" s="4"/>
      <c r="I69" s="5" t="s">
        <v>2344</v>
      </c>
      <c r="J69" s="5" t="s">
        <v>2244</v>
      </c>
      <c r="K69" s="24">
        <v>1203.0</v>
      </c>
      <c r="L69" s="5">
        <v>1.524437</v>
      </c>
      <c r="M69" s="5">
        <v>-0.523513</v>
      </c>
      <c r="N69" s="5">
        <v>1.000924</v>
      </c>
      <c r="O69" s="5">
        <v>1.106138</v>
      </c>
    </row>
    <row r="70">
      <c r="A70" s="18" t="str">
        <f>IFERROR(__xludf.DUMMYFUNCTION("""COMPUTED_VALUE"""),"Sun Minghui")</f>
        <v>Sun Minghui</v>
      </c>
      <c r="B70" s="19" t="str">
        <f>IFERROR(__xludf.DUMMYFUNCTION("""COMPUTED_VALUE"""),"ZGL")</f>
        <v>ZGL</v>
      </c>
      <c r="C70" s="20">
        <f>IFERROR(__xludf.DUMMYFUNCTION("""COMPUTED_VALUE"""),1070.9)</f>
        <v>1070.9</v>
      </c>
      <c r="D70" s="21">
        <f>IFERROR(__xludf.DUMMYFUNCTION("""COMPUTED_VALUE"""),-1.5766830230721658)</f>
        <v>-1.576683023</v>
      </c>
      <c r="E70" s="21">
        <f>IFERROR(__xludf.DUMMYFUNCTION("""COMPUTED_VALUE"""),2.521230715827709)</f>
        <v>2.521230716</v>
      </c>
      <c r="F70" s="21">
        <f>IFERROR(__xludf.DUMMYFUNCTION("""COMPUTED_VALUE"""),0.9445476927555434)</f>
        <v>0.9445476928</v>
      </c>
      <c r="G70" s="23">
        <f>IFERROR(__xludf.DUMMYFUNCTION("""COMPUTED_VALUE"""),1.0450534967207044)</f>
        <v>1.045053497</v>
      </c>
      <c r="H70" s="4"/>
      <c r="I70" s="5" t="s">
        <v>2346</v>
      </c>
      <c r="J70" s="5" t="s">
        <v>2194</v>
      </c>
      <c r="K70" s="24">
        <v>1071.0</v>
      </c>
      <c r="L70" s="5">
        <v>-1.576603</v>
      </c>
      <c r="M70" s="5">
        <v>2.52115</v>
      </c>
      <c r="N70" s="5">
        <v>0.944548</v>
      </c>
      <c r="O70" s="5">
        <v>1.045053</v>
      </c>
    </row>
    <row r="71">
      <c r="A71" s="12" t="str">
        <f>IFERROR(__xludf.DUMMYFUNCTION("""COMPUTED_VALUE"""),"Stephon Marbury")</f>
        <v>Stephon Marbury</v>
      </c>
      <c r="B71" s="13" t="str">
        <f>IFERROR(__xludf.DUMMYFUNCTION("""COMPUTED_VALUE"""),"BEIK")</f>
        <v>BEIK</v>
      </c>
      <c r="C71" s="14">
        <f>IFERROR(__xludf.DUMMYFUNCTION("""COMPUTED_VALUE"""),1251.1)</f>
        <v>1251.1</v>
      </c>
      <c r="D71" s="15">
        <f>IFERROR(__xludf.DUMMYFUNCTION("""COMPUTED_VALUE"""),0.46721601880016683)</f>
        <v>0.4672160188</v>
      </c>
      <c r="E71" s="15">
        <f>IFERROR(__xludf.DUMMYFUNCTION("""COMPUTED_VALUE"""),0.42976211215105986)</f>
        <v>0.4297621122</v>
      </c>
      <c r="F71" s="15">
        <f>IFERROR(__xludf.DUMMYFUNCTION("""COMPUTED_VALUE"""),0.8969781309512267)</f>
        <v>0.896978131</v>
      </c>
      <c r="G71" s="17">
        <f>IFERROR(__xludf.DUMMYFUNCTION("""COMPUTED_VALUE"""),1.1060126851181307)</f>
        <v>1.106012685</v>
      </c>
      <c r="H71" s="4"/>
      <c r="I71" s="5" t="s">
        <v>2349</v>
      </c>
      <c r="J71" s="5" t="s">
        <v>2256</v>
      </c>
      <c r="K71" s="24">
        <v>1251.0</v>
      </c>
      <c r="L71" s="5">
        <v>0.467256</v>
      </c>
      <c r="M71" s="5">
        <v>0.429722</v>
      </c>
      <c r="N71" s="5">
        <v>0.896978</v>
      </c>
      <c r="O71" s="5">
        <v>1.106013</v>
      </c>
    </row>
    <row r="72">
      <c r="A72" s="18" t="str">
        <f>IFERROR(__xludf.DUMMYFUNCTION("""COMPUTED_VALUE"""),"Edwin Jackson")</f>
        <v>Edwin Jackson</v>
      </c>
      <c r="B72" s="19" t="str">
        <f>IFERROR(__xludf.DUMMYFUNCTION("""COMPUTED_VALUE"""),"GST")</f>
        <v>GST</v>
      </c>
      <c r="C72" s="20">
        <f>IFERROR(__xludf.DUMMYFUNCTION("""COMPUTED_VALUE"""),781.5)</f>
        <v>781.5</v>
      </c>
      <c r="D72" s="21">
        <f>IFERROR(__xludf.DUMMYFUNCTION("""COMPUTED_VALUE"""),0.22706418105755521)</f>
        <v>0.2270641811</v>
      </c>
      <c r="E72" s="21">
        <f>IFERROR(__xludf.DUMMYFUNCTION("""COMPUTED_VALUE"""),0.5939616715422906)</f>
        <v>0.5939616715</v>
      </c>
      <c r="F72" s="21">
        <f>IFERROR(__xludf.DUMMYFUNCTION("""COMPUTED_VALUE"""),0.8210258525998458)</f>
        <v>0.8210258526</v>
      </c>
      <c r="G72" s="23">
        <f>IFERROR(__xludf.DUMMYFUNCTION("""COMPUTED_VALUE"""),0.6778100664637567)</f>
        <v>0.6778100665</v>
      </c>
      <c r="H72" s="4"/>
      <c r="I72" s="5" t="s">
        <v>231</v>
      </c>
      <c r="J72" s="5" t="s">
        <v>2253</v>
      </c>
      <c r="K72" s="24">
        <v>782.0</v>
      </c>
      <c r="L72" s="5">
        <v>0.227104</v>
      </c>
      <c r="M72" s="5">
        <v>0.593921</v>
      </c>
      <c r="N72" s="5">
        <v>0.821026</v>
      </c>
      <c r="O72" s="5">
        <v>0.67781</v>
      </c>
    </row>
    <row r="73">
      <c r="A73" s="12" t="str">
        <f>IFERROR(__xludf.DUMMYFUNCTION("""COMPUTED_VALUE"""),"Kai Guo")</f>
        <v>Kai Guo</v>
      </c>
      <c r="B73" s="13" t="str">
        <f>IFERROR(__xludf.DUMMYFUNCTION("""COMPUTED_VALUE"""),"GFD")</f>
        <v>GFD</v>
      </c>
      <c r="C73" s="14">
        <f>IFERROR(__xludf.DUMMYFUNCTION("""COMPUTED_VALUE"""),55.5)</f>
        <v>55.5</v>
      </c>
      <c r="D73" s="15">
        <f>IFERROR(__xludf.DUMMYFUNCTION("""COMPUTED_VALUE"""),0.9126704485474416)</f>
        <v>0.9126704485</v>
      </c>
      <c r="E73" s="15">
        <f>IFERROR(__xludf.DUMMYFUNCTION("""COMPUTED_VALUE"""),-0.13656053878150887)</f>
        <v>-0.1365605388</v>
      </c>
      <c r="F73" s="15">
        <f>IFERROR(__xludf.DUMMYFUNCTION("""COMPUTED_VALUE"""),0.7761099097659327)</f>
        <v>0.7761099098</v>
      </c>
      <c r="G73" s="17">
        <f>IFERROR(__xludf.DUMMYFUNCTION("""COMPUTED_VALUE"""),0.04650057078920426)</f>
        <v>0.04650057079</v>
      </c>
      <c r="H73" s="4"/>
      <c r="I73" s="5" t="s">
        <v>2354</v>
      </c>
      <c r="J73" s="5" t="s">
        <v>2219</v>
      </c>
      <c r="K73" s="5">
        <v>56.0</v>
      </c>
      <c r="L73" s="5">
        <v>0.912678</v>
      </c>
      <c r="M73" s="5">
        <v>-0.136568</v>
      </c>
      <c r="N73" s="5">
        <v>0.77611</v>
      </c>
      <c r="O73" s="5">
        <v>0.046501</v>
      </c>
    </row>
    <row r="74">
      <c r="A74" s="18" t="str">
        <f>IFERROR(__xludf.DUMMYFUNCTION("""COMPUTED_VALUE"""),"Zhelin Wang")</f>
        <v>Zhelin Wang</v>
      </c>
      <c r="B74" s="19" t="str">
        <f>IFERROR(__xludf.DUMMYFUNCTION("""COMPUTED_VALUE"""),"FUJ")</f>
        <v>FUJ</v>
      </c>
      <c r="C74" s="20">
        <f>IFERROR(__xludf.DUMMYFUNCTION("""COMPUTED_VALUE"""),1022.5)</f>
        <v>1022.5</v>
      </c>
      <c r="D74" s="21">
        <f>IFERROR(__xludf.DUMMYFUNCTION("""COMPUTED_VALUE"""),1.0451299186948053)</f>
        <v>1.045129919</v>
      </c>
      <c r="E74" s="21">
        <f>IFERROR(__xludf.DUMMYFUNCTION("""COMPUTED_VALUE"""),-0.34441005064242025)</f>
        <v>-0.3444100506</v>
      </c>
      <c r="F74" s="21">
        <f>IFERROR(__xludf.DUMMYFUNCTION("""COMPUTED_VALUE"""),0.7007198680523851)</f>
        <v>0.7007198681</v>
      </c>
      <c r="G74" s="23">
        <f>IFERROR(__xludf.DUMMYFUNCTION("""COMPUTED_VALUE"""),0.8382536791374747)</f>
        <v>0.8382536791</v>
      </c>
      <c r="H74" s="4"/>
      <c r="I74" s="5" t="s">
        <v>2357</v>
      </c>
      <c r="J74" s="5" t="s">
        <v>2198</v>
      </c>
      <c r="K74" s="24">
        <v>1023.0</v>
      </c>
      <c r="L74" s="5">
        <v>1.04517</v>
      </c>
      <c r="M74" s="5">
        <v>-0.34445</v>
      </c>
      <c r="N74" s="5">
        <v>0.70072</v>
      </c>
      <c r="O74" s="5">
        <v>0.838254</v>
      </c>
    </row>
    <row r="75">
      <c r="A75" s="12" t="str">
        <f>IFERROR(__xludf.DUMMYFUNCTION("""COMPUTED_VALUE"""),"Ying-Chun Chen")</f>
        <v>Ying-Chun Chen</v>
      </c>
      <c r="B75" s="13" t="str">
        <f>IFERROR(__xludf.DUMMYFUNCTION("""COMPUTED_VALUE"""),"GFD")</f>
        <v>GFD</v>
      </c>
      <c r="C75" s="14">
        <f>IFERROR(__xludf.DUMMYFUNCTION("""COMPUTED_VALUE"""),698.6)</f>
        <v>698.6</v>
      </c>
      <c r="D75" s="15">
        <f>IFERROR(__xludf.DUMMYFUNCTION("""COMPUTED_VALUE"""),1.6637730664380845)</f>
        <v>1.663773066</v>
      </c>
      <c r="E75" s="15">
        <f>IFERROR(__xludf.DUMMYFUNCTION("""COMPUTED_VALUE"""),-0.9862006499217255)</f>
        <v>-0.9862006499</v>
      </c>
      <c r="F75" s="15">
        <f>IFERROR(__xludf.DUMMYFUNCTION("""COMPUTED_VALUE"""),0.677572416516359)</f>
        <v>0.6775724165</v>
      </c>
      <c r="G75" s="17">
        <f>IFERROR(__xludf.DUMMYFUNCTION("""COMPUTED_VALUE"""),0.5645448513977526)</f>
        <v>0.5645448514</v>
      </c>
      <c r="H75" s="4"/>
      <c r="I75" s="5" t="s">
        <v>2358</v>
      </c>
      <c r="J75" s="5" t="s">
        <v>2219</v>
      </c>
      <c r="K75" s="5">
        <v>699.0</v>
      </c>
      <c r="L75" s="5">
        <v>1.663813</v>
      </c>
      <c r="M75" s="5">
        <v>-0.986241</v>
      </c>
      <c r="N75" s="5">
        <v>0.677572</v>
      </c>
      <c r="O75" s="5">
        <v>0.564545</v>
      </c>
    </row>
    <row r="76">
      <c r="A76" s="18" t="str">
        <f>IFERROR(__xludf.DUMMYFUNCTION("""COMPUTED_VALUE"""),"Chin-Min Yang")</f>
        <v>Chin-Min Yang</v>
      </c>
      <c r="B76" s="19" t="str">
        <f>IFERROR(__xludf.DUMMYFUNCTION("""COMPUTED_VALUE"""),"BEIK")</f>
        <v>BEIK</v>
      </c>
      <c r="C76" s="20">
        <f>IFERROR(__xludf.DUMMYFUNCTION("""COMPUTED_VALUE"""),1368.8)</f>
        <v>1368.8</v>
      </c>
      <c r="D76" s="21">
        <f>IFERROR(__xludf.DUMMYFUNCTION("""COMPUTED_VALUE"""),0.001955921510742087)</f>
        <v>0.001955921511</v>
      </c>
      <c r="E76" s="21">
        <f>IFERROR(__xludf.DUMMYFUNCTION("""COMPUTED_VALUE"""),0.556868515033018)</f>
        <v>0.556868515</v>
      </c>
      <c r="F76" s="21">
        <f>IFERROR(__xludf.DUMMYFUNCTION("""COMPUTED_VALUE"""),0.5588244365437601)</f>
        <v>0.5588244365</v>
      </c>
      <c r="G76" s="23">
        <f>IFERROR(__xludf.DUMMYFUNCTION("""COMPUTED_VALUE"""),1.068817001008414)</f>
        <v>1.068817001</v>
      </c>
      <c r="H76" s="4"/>
      <c r="I76" s="5" t="s">
        <v>2361</v>
      </c>
      <c r="J76" s="5" t="s">
        <v>2256</v>
      </c>
      <c r="K76" s="24">
        <v>1369.0</v>
      </c>
      <c r="L76" s="5">
        <v>0.001996</v>
      </c>
      <c r="M76" s="5">
        <v>0.556828</v>
      </c>
      <c r="N76" s="5">
        <v>0.558824</v>
      </c>
      <c r="O76" s="5">
        <v>1.068817</v>
      </c>
    </row>
    <row r="77">
      <c r="A77" s="12" t="str">
        <f>IFERROR(__xludf.DUMMYFUNCTION("""COMPUTED_VALUE"""),"Lin Chih-Chieh")</f>
        <v>Lin Chih-Chieh</v>
      </c>
      <c r="B77" s="13" t="str">
        <f>IFERROR(__xludf.DUMMYFUNCTION("""COMPUTED_VALUE"""),"ZGL")</f>
        <v>ZGL</v>
      </c>
      <c r="C77" s="14">
        <f>IFERROR(__xludf.DUMMYFUNCTION("""COMPUTED_VALUE"""),1141.7)</f>
        <v>1141.7</v>
      </c>
      <c r="D77" s="15">
        <f>IFERROR(__xludf.DUMMYFUNCTION("""COMPUTED_VALUE"""),0.7045646456868468)</f>
        <v>0.7045646457</v>
      </c>
      <c r="E77" s="15">
        <f>IFERROR(__xludf.DUMMYFUNCTION("""COMPUTED_VALUE"""),-0.20137187213303764)</f>
        <v>-0.2013718721</v>
      </c>
      <c r="F77" s="15">
        <f>IFERROR(__xludf.DUMMYFUNCTION("""COMPUTED_VALUE"""),0.5031927735538092)</f>
        <v>0.5031927736</v>
      </c>
      <c r="G77" s="17">
        <f>IFERROR(__xludf.DUMMYFUNCTION("""COMPUTED_VALUE"""),0.9471468268668911)</f>
        <v>0.9471468269</v>
      </c>
      <c r="H77" s="4"/>
      <c r="I77" s="5" t="s">
        <v>2362</v>
      </c>
      <c r="J77" s="5" t="s">
        <v>2194</v>
      </c>
      <c r="K77" s="24">
        <v>1142.0</v>
      </c>
      <c r="L77" s="5">
        <v>0.704605</v>
      </c>
      <c r="M77" s="5">
        <v>-0.201412</v>
      </c>
      <c r="N77" s="5">
        <v>0.503193</v>
      </c>
      <c r="O77" s="5">
        <v>0.947147</v>
      </c>
    </row>
    <row r="78">
      <c r="A78" s="18" t="str">
        <f>IFERROR(__xludf.DUMMYFUNCTION("""COMPUTED_VALUE"""),"Tyrese Rice")</f>
        <v>Tyrese Rice</v>
      </c>
      <c r="B78" s="19" t="str">
        <f>IFERROR(__xludf.DUMMYFUNCTION("""COMPUTED_VALUE"""),"DON")</f>
        <v>DON</v>
      </c>
      <c r="C78" s="20">
        <f>IFERROR(__xludf.DUMMYFUNCTION("""COMPUTED_VALUE"""),589.1)</f>
        <v>589.1</v>
      </c>
      <c r="D78" s="21">
        <f>IFERROR(__xludf.DUMMYFUNCTION("""COMPUTED_VALUE"""),1.9732103681735662)</f>
        <v>1.973210368</v>
      </c>
      <c r="E78" s="21">
        <f>IFERROR(__xludf.DUMMYFUNCTION("""COMPUTED_VALUE"""),-1.4951844938994592)</f>
        <v>-1.495184494</v>
      </c>
      <c r="F78" s="21">
        <f>IFERROR(__xludf.DUMMYFUNCTION("""COMPUTED_VALUE"""),0.47802587427410714)</f>
        <v>0.4780258743</v>
      </c>
      <c r="G78" s="23">
        <f>IFERROR(__xludf.DUMMYFUNCTION("""COMPUTED_VALUE"""),0.4432116937652822)</f>
        <v>0.4432116938</v>
      </c>
      <c r="H78" s="4"/>
      <c r="I78" s="5" t="s">
        <v>2365</v>
      </c>
      <c r="J78" s="5" t="s">
        <v>2217</v>
      </c>
      <c r="K78" s="24">
        <v>589.0</v>
      </c>
      <c r="L78" s="5">
        <v>1.973251</v>
      </c>
      <c r="M78" s="5">
        <v>-1.495225</v>
      </c>
      <c r="N78" s="5">
        <v>0.478026</v>
      </c>
      <c r="O78" s="5">
        <v>0.443212</v>
      </c>
    </row>
    <row r="79">
      <c r="A79" s="12" t="str">
        <f>IFERROR(__xludf.DUMMYFUNCTION("""COMPUTED_VALUE"""),"Terrence Jones")</f>
        <v>Terrence Jones</v>
      </c>
      <c r="B79" s="13" t="str">
        <f>IFERROR(__xludf.DUMMYFUNCTION("""COMPUTED_VALUE"""),"QIN")</f>
        <v>QIN</v>
      </c>
      <c r="C79" s="14">
        <f>IFERROR(__xludf.DUMMYFUNCTION("""COMPUTED_VALUE"""),287.5)</f>
        <v>287.5</v>
      </c>
      <c r="D79" s="15">
        <f>IFERROR(__xludf.DUMMYFUNCTION("""COMPUTED_VALUE"""),-2.196129448996239)</f>
        <v>-2.196129449</v>
      </c>
      <c r="E79" s="15">
        <f>IFERROR(__xludf.DUMMYFUNCTION("""COMPUTED_VALUE"""),2.6498112482644687)</f>
        <v>2.649811248</v>
      </c>
      <c r="F79" s="15">
        <f>IFERROR(__xludf.DUMMYFUNCTION("""COMPUTED_VALUE"""),0.4536817992682297)</f>
        <v>0.4536817993</v>
      </c>
      <c r="G79" s="17">
        <f>IFERROR(__xludf.DUMMYFUNCTION("""COMPUTED_VALUE"""),0.217105377287153)</f>
        <v>0.2171053773</v>
      </c>
      <c r="H79" s="4"/>
      <c r="I79" s="5" t="s">
        <v>2368</v>
      </c>
      <c r="J79" s="5" t="s">
        <v>2226</v>
      </c>
      <c r="K79" s="5">
        <v>288.0</v>
      </c>
      <c r="L79" s="5">
        <v>-2.196091</v>
      </c>
      <c r="M79" s="5">
        <v>2.649773</v>
      </c>
      <c r="N79" s="5">
        <v>0.453682</v>
      </c>
      <c r="O79" s="5">
        <v>0.217105</v>
      </c>
    </row>
    <row r="80">
      <c r="A80" s="18" t="str">
        <f>IFERROR(__xludf.DUMMYFUNCTION("""COMPUTED_VALUE"""),"Quan Gu")</f>
        <v>Quan Gu</v>
      </c>
      <c r="B80" s="19" t="str">
        <f>IFERROR(__xludf.DUMMYFUNCTION("""COMPUTED_VALUE"""),"DON")</f>
        <v>DON</v>
      </c>
      <c r="C80" s="20">
        <f>IFERROR(__xludf.DUMMYFUNCTION("""COMPUTED_VALUE"""),1431.8)</f>
        <v>1431.8</v>
      </c>
      <c r="D80" s="21">
        <f>IFERROR(__xludf.DUMMYFUNCTION("""COMPUTED_VALUE"""),1.3544387028194236)</f>
        <v>1.354438703</v>
      </c>
      <c r="E80" s="21">
        <f>IFERROR(__xludf.DUMMYFUNCTION("""COMPUTED_VALUE"""),-0.9592279944874795)</f>
        <v>-0.9592279945</v>
      </c>
      <c r="F80" s="21">
        <f>IFERROR(__xludf.DUMMYFUNCTION("""COMPUTED_VALUE"""),0.395210708331944)</f>
        <v>0.3952107083</v>
      </c>
      <c r="G80" s="23">
        <f>IFERROR(__xludf.DUMMYFUNCTION("""COMPUTED_VALUE"""),1.0412198370481498)</f>
        <v>1.041219837</v>
      </c>
      <c r="H80" s="4"/>
      <c r="I80" s="5" t="s">
        <v>2370</v>
      </c>
      <c r="J80" s="5" t="s">
        <v>2217</v>
      </c>
      <c r="K80" s="24">
        <v>1432.0</v>
      </c>
      <c r="L80" s="5">
        <v>1.354479</v>
      </c>
      <c r="M80" s="5">
        <v>-0.959268</v>
      </c>
      <c r="N80" s="5">
        <v>0.395211</v>
      </c>
      <c r="O80" s="5">
        <v>1.04122</v>
      </c>
    </row>
    <row r="81">
      <c r="A81" s="12" t="str">
        <f>IFERROR(__xludf.DUMMYFUNCTION("""COMPUTED_VALUE"""),"HanLin Tao")</f>
        <v>HanLin Tao</v>
      </c>
      <c r="B81" s="13" t="str">
        <f>IFERROR(__xludf.DUMMYFUNCTION("""COMPUTED_VALUE"""),"SHA")</f>
        <v>SHA</v>
      </c>
      <c r="C81" s="14">
        <f>IFERROR(__xludf.DUMMYFUNCTION("""COMPUTED_VALUE"""),1205.0)</f>
        <v>1205</v>
      </c>
      <c r="D81" s="15">
        <f>IFERROR(__xludf.DUMMYFUNCTION("""COMPUTED_VALUE"""),0.31848892331991074)</f>
        <v>0.3184889233</v>
      </c>
      <c r="E81" s="15">
        <f>IFERROR(__xludf.DUMMYFUNCTION("""COMPUTED_VALUE"""),0.033359012820492695)</f>
        <v>0.03335901282</v>
      </c>
      <c r="F81" s="15">
        <f>IFERROR(__xludf.DUMMYFUNCTION("""COMPUTED_VALUE"""),0.35184793614040344)</f>
        <v>0.3518479361</v>
      </c>
      <c r="G81" s="17">
        <f>IFERROR(__xludf.DUMMYFUNCTION("""COMPUTED_VALUE"""),0.8642706265085517)</f>
        <v>0.8642706265</v>
      </c>
      <c r="H81" s="4"/>
      <c r="I81" s="5" t="s">
        <v>2371</v>
      </c>
      <c r="J81" s="5" t="s">
        <v>2201</v>
      </c>
      <c r="K81" s="24">
        <v>1205.0</v>
      </c>
      <c r="L81" s="5">
        <v>0.318529</v>
      </c>
      <c r="M81" s="5">
        <v>0.033319</v>
      </c>
      <c r="N81" s="5">
        <v>0.351848</v>
      </c>
      <c r="O81" s="5">
        <v>0.864271</v>
      </c>
    </row>
    <row r="82">
      <c r="A82" s="18" t="str">
        <f>IFERROR(__xludf.DUMMYFUNCTION("""COMPUTED_VALUE"""),"Guo Xu")</f>
        <v>Guo Xu</v>
      </c>
      <c r="B82" s="19" t="str">
        <f>IFERROR(__xludf.DUMMYFUNCTION("""COMPUTED_VALUE"""),"LIA")</f>
        <v>LIA</v>
      </c>
      <c r="C82" s="20">
        <f>IFERROR(__xludf.DUMMYFUNCTION("""COMPUTED_VALUE"""),2.9)</f>
        <v>2.9</v>
      </c>
      <c r="D82" s="21">
        <f>IFERROR(__xludf.DUMMYFUNCTION("""COMPUTED_VALUE"""),0.16910963568790596)</f>
        <v>0.1691096357</v>
      </c>
      <c r="E82" s="21">
        <f>IFERROR(__xludf.DUMMYFUNCTION("""COMPUTED_VALUE"""),0.05725444734423055)</f>
        <v>0.05725444734</v>
      </c>
      <c r="F82" s="21">
        <f>IFERROR(__xludf.DUMMYFUNCTION("""COMPUTED_VALUE"""),0.2263640830321365)</f>
        <v>0.226364083</v>
      </c>
      <c r="G82" s="23">
        <f>IFERROR(__xludf.DUMMYFUNCTION("""COMPUTED_VALUE"""),0.001973604412278336)</f>
        <v>0.001973604412</v>
      </c>
      <c r="H82" s="4"/>
      <c r="I82" s="5" t="s">
        <v>2373</v>
      </c>
      <c r="J82" s="5" t="s">
        <v>2205</v>
      </c>
      <c r="K82" s="5">
        <v>3.0</v>
      </c>
      <c r="L82" s="5">
        <v>0.16911</v>
      </c>
      <c r="M82" s="5">
        <v>0.057254</v>
      </c>
      <c r="N82" s="5">
        <v>0.226364</v>
      </c>
      <c r="O82" s="5">
        <v>0.001974</v>
      </c>
    </row>
    <row r="83">
      <c r="A83" s="12" t="str">
        <f>IFERROR(__xludf.DUMMYFUNCTION("""COMPUTED_VALUE"""),"Jianhua Song")</f>
        <v>Jianhua Song</v>
      </c>
      <c r="B83" s="13" t="str">
        <f>IFERROR(__xludf.DUMMYFUNCTION("""COMPUTED_VALUE"""),"TONG")</f>
        <v>TONG</v>
      </c>
      <c r="C83" s="14">
        <f>IFERROR(__xludf.DUMMYFUNCTION("""COMPUTED_VALUE"""),990.6)</f>
        <v>990.6</v>
      </c>
      <c r="D83" s="15">
        <f>IFERROR(__xludf.DUMMYFUNCTION("""COMPUTED_VALUE"""),0.23013592122225535)</f>
        <v>0.2301359212</v>
      </c>
      <c r="E83" s="15">
        <f>IFERROR(__xludf.DUMMYFUNCTION("""COMPUTED_VALUE"""),-0.0762073813932258)</f>
        <v>-0.07620738139</v>
      </c>
      <c r="F83" s="15">
        <f>IFERROR(__xludf.DUMMYFUNCTION("""COMPUTED_VALUE"""),0.15392853982902954)</f>
        <v>0.1539285398</v>
      </c>
      <c r="G83" s="17">
        <f>IFERROR(__xludf.DUMMYFUNCTION("""COMPUTED_VALUE"""),0.6524700967398038)</f>
        <v>0.6524700967</v>
      </c>
      <c r="H83" s="4"/>
      <c r="I83" s="5" t="s">
        <v>2376</v>
      </c>
      <c r="J83" s="5" t="s">
        <v>2236</v>
      </c>
      <c r="K83" s="5">
        <v>991.0</v>
      </c>
      <c r="L83" s="5">
        <v>0.230176</v>
      </c>
      <c r="M83" s="5">
        <v>-0.076248</v>
      </c>
      <c r="N83" s="5">
        <v>0.153929</v>
      </c>
      <c r="O83" s="5">
        <v>0.65247</v>
      </c>
    </row>
    <row r="84">
      <c r="A84" s="18" t="str">
        <f>IFERROR(__xludf.DUMMYFUNCTION("""COMPUTED_VALUE"""),"Wang Tong")</f>
        <v>Wang Tong</v>
      </c>
      <c r="B84" s="19" t="str">
        <f>IFERROR(__xludf.DUMMYFUNCTION("""COMPUTED_VALUE"""),"SDS")</f>
        <v>SDS</v>
      </c>
      <c r="C84" s="20">
        <f>IFERROR(__xludf.DUMMYFUNCTION("""COMPUTED_VALUE"""),0.0)</f>
        <v>0</v>
      </c>
      <c r="D84" s="21">
        <f>IFERROR(__xludf.DUMMYFUNCTION("""COMPUTED_VALUE"""),0.0)</f>
        <v>0</v>
      </c>
      <c r="E84" s="21">
        <f>IFERROR(__xludf.DUMMYFUNCTION("""COMPUTED_VALUE"""),0.0)</f>
        <v>0</v>
      </c>
      <c r="F84" s="21">
        <f>IFERROR(__xludf.DUMMYFUNCTION("""COMPUTED_VALUE"""),0.0)</f>
        <v>0</v>
      </c>
      <c r="G84" s="23">
        <f>IFERROR(__xludf.DUMMYFUNCTION("""COMPUTED_VALUE"""),0.0)</f>
        <v>0</v>
      </c>
      <c r="H84" s="4"/>
      <c r="I84" s="5" t="s">
        <v>2380</v>
      </c>
      <c r="J84" s="5" t="s">
        <v>2214</v>
      </c>
      <c r="K84" s="5">
        <v>0.0</v>
      </c>
      <c r="L84" s="5">
        <v>0.0</v>
      </c>
      <c r="M84" s="5">
        <v>0.0</v>
      </c>
      <c r="N84" s="5">
        <v>0.0</v>
      </c>
      <c r="O84" s="5">
        <v>0.0</v>
      </c>
    </row>
    <row r="85">
      <c r="A85" s="12" t="str">
        <f>IFERROR(__xludf.DUMMYFUNCTION("""COMPUTED_VALUE"""),"Youwei Zhang")</f>
        <v>Youwei Zhang</v>
      </c>
      <c r="B85" s="13" t="str">
        <f>IFERROR(__xludf.DUMMYFUNCTION("""COMPUTED_VALUE"""),"JIA")</f>
        <v>JIA</v>
      </c>
      <c r="C85" s="14">
        <f>IFERROR(__xludf.DUMMYFUNCTION("""COMPUTED_VALUE"""),0.2)</f>
        <v>0.2</v>
      </c>
      <c r="D85" s="15">
        <f>IFERROR(__xludf.DUMMYFUNCTION("""COMPUTED_VALUE"""),-0.004364343213224644)</f>
        <v>-0.004364343213</v>
      </c>
      <c r="E85" s="15">
        <f>IFERROR(__xludf.DUMMYFUNCTION("""COMPUTED_VALUE"""),-1.230558315952193E-4)</f>
        <v>-0.0001230558316</v>
      </c>
      <c r="F85" s="15">
        <f>IFERROR(__xludf.DUMMYFUNCTION("""COMPUTED_VALUE"""),-0.0044873990448198635)</f>
        <v>-0.004487399045</v>
      </c>
      <c r="G85" s="17">
        <f>IFERROR(__xludf.DUMMYFUNCTION("""COMPUTED_VALUE"""),1.3220508884385443E-4)</f>
        <v>0.0001322050888</v>
      </c>
      <c r="H85" s="4"/>
      <c r="I85" s="5" t="s">
        <v>2382</v>
      </c>
      <c r="J85" s="5" t="s">
        <v>2190</v>
      </c>
      <c r="K85" s="5">
        <v>0.0</v>
      </c>
      <c r="L85" s="5">
        <v>-0.004364</v>
      </c>
      <c r="M85" s="5">
        <v>-1.23E-4</v>
      </c>
      <c r="N85" s="5">
        <v>-0.004487</v>
      </c>
      <c r="O85" s="5">
        <v>1.32E-4</v>
      </c>
    </row>
    <row r="86">
      <c r="A86" s="18" t="str">
        <f>IFERROR(__xludf.DUMMYFUNCTION("""COMPUTED_VALUE"""),"Wael Arakji")</f>
        <v>Wael Arakji</v>
      </c>
      <c r="B86" s="19" t="str">
        <f>IFERROR(__xludf.DUMMYFUNCTION("""COMPUTED_VALUE"""),"BEIK")</f>
        <v>BEIK</v>
      </c>
      <c r="C86" s="20">
        <f>IFERROR(__xludf.DUMMYFUNCTION("""COMPUTED_VALUE"""),174.2)</f>
        <v>174.2</v>
      </c>
      <c r="D86" s="21">
        <f>IFERROR(__xludf.DUMMYFUNCTION("""COMPUTED_VALUE"""),0.35659851097413264)</f>
        <v>0.356598511</v>
      </c>
      <c r="E86" s="21">
        <f>IFERROR(__xludf.DUMMYFUNCTION("""COMPUTED_VALUE"""),-0.3761399108929357)</f>
        <v>-0.3761399109</v>
      </c>
      <c r="F86" s="21">
        <f>IFERROR(__xludf.DUMMYFUNCTION("""COMPUTED_VALUE"""),-0.019541399918803066)</f>
        <v>-0.01954139992</v>
      </c>
      <c r="G86" s="23">
        <f>IFERROR(__xludf.DUMMYFUNCTION("""COMPUTED_VALUE"""),0.10527779641705369)</f>
        <v>0.1052777964</v>
      </c>
      <c r="H86" s="4"/>
      <c r="I86" s="5" t="s">
        <v>2386</v>
      </c>
      <c r="J86" s="5" t="s">
        <v>2256</v>
      </c>
      <c r="K86" s="24">
        <v>174.0</v>
      </c>
      <c r="L86" s="5">
        <v>0.356622</v>
      </c>
      <c r="M86" s="5">
        <v>-0.376163</v>
      </c>
      <c r="N86" s="5">
        <v>-0.019541</v>
      </c>
      <c r="O86" s="5">
        <v>0.105278</v>
      </c>
    </row>
    <row r="87">
      <c r="A87" s="12" t="str">
        <f>IFERROR(__xludf.DUMMYFUNCTION("""COMPUTED_VALUE"""),"Quanxi Wu")</f>
        <v>Quanxi Wu</v>
      </c>
      <c r="B87" s="13" t="str">
        <f>IFERROR(__xludf.DUMMYFUNCTION("""COMPUTED_VALUE"""),"JIA")</f>
        <v>JIA</v>
      </c>
      <c r="C87" s="14">
        <f>IFERROR(__xludf.DUMMYFUNCTION("""COMPUTED_VALUE"""),778.3)</f>
        <v>778.3</v>
      </c>
      <c r="D87" s="15">
        <f>IFERROR(__xludf.DUMMYFUNCTION("""COMPUTED_VALUE"""),-2.5431740175597515)</f>
        <v>-2.543174018</v>
      </c>
      <c r="E87" s="15">
        <f>IFERROR(__xludf.DUMMYFUNCTION("""COMPUTED_VALUE"""),2.5165838303527543)</f>
        <v>2.51658383</v>
      </c>
      <c r="F87" s="15">
        <f>IFERROR(__xludf.DUMMYFUNCTION("""COMPUTED_VALUE"""),-0.02659018720699735)</f>
        <v>-0.02659018721</v>
      </c>
      <c r="G87" s="17">
        <f>IFERROR(__xludf.DUMMYFUNCTION("""COMPUTED_VALUE"""),0.5087776394331845)</f>
        <v>0.5087776394</v>
      </c>
      <c r="H87" s="4"/>
      <c r="I87" s="5" t="s">
        <v>2389</v>
      </c>
      <c r="J87" s="5" t="s">
        <v>2190</v>
      </c>
      <c r="K87" s="5">
        <v>778.0</v>
      </c>
      <c r="L87" s="5">
        <v>-2.543134</v>
      </c>
      <c r="M87" s="5">
        <v>2.516544</v>
      </c>
      <c r="N87" s="5">
        <v>-0.02659</v>
      </c>
      <c r="O87" s="5">
        <v>0.508778</v>
      </c>
    </row>
    <row r="88">
      <c r="A88" s="18" t="str">
        <f>IFERROR(__xludf.DUMMYFUNCTION("""COMPUTED_VALUE"""),"Duncan Reid")</f>
        <v>Duncan Reid</v>
      </c>
      <c r="B88" s="19" t="str">
        <f>IFERROR(__xludf.DUMMYFUNCTION("""COMPUTED_VALUE"""),"ZCB")</f>
        <v>ZCB</v>
      </c>
      <c r="C88" s="20">
        <f>IFERROR(__xludf.DUMMYFUNCTION("""COMPUTED_VALUE"""),127.6)</f>
        <v>127.6</v>
      </c>
      <c r="D88" s="21">
        <f>IFERROR(__xludf.DUMMYFUNCTION("""COMPUTED_VALUE"""),-1.1292967861505283)</f>
        <v>-1.129296786</v>
      </c>
      <c r="E88" s="21">
        <f>IFERROR(__xludf.DUMMYFUNCTION("""COMPUTED_VALUE"""),1.096084072334001)</f>
        <v>1.096084072</v>
      </c>
      <c r="F88" s="21">
        <f>IFERROR(__xludf.DUMMYFUNCTION("""COMPUTED_VALUE"""),-0.0332127138165273)</f>
        <v>-0.03321271382</v>
      </c>
      <c r="G88" s="23">
        <f>IFERROR(__xludf.DUMMYFUNCTION("""COMPUTED_VALUE"""),0.0766553013500339)</f>
        <v>0.07665530135</v>
      </c>
      <c r="H88" s="4"/>
      <c r="I88" s="5" t="s">
        <v>2393</v>
      </c>
      <c r="J88" s="5" t="s">
        <v>2223</v>
      </c>
      <c r="K88" s="5">
        <v>128.0</v>
      </c>
      <c r="L88" s="5">
        <v>-1.129621</v>
      </c>
      <c r="M88" s="5">
        <v>1.096409</v>
      </c>
      <c r="N88" s="5">
        <v>-0.033213</v>
      </c>
      <c r="O88" s="5">
        <v>0.076655</v>
      </c>
    </row>
    <row r="89">
      <c r="A89" s="12" t="str">
        <f>IFERROR(__xludf.DUMMYFUNCTION("""COMPUTED_VALUE"""),"Bi Pengfei")</f>
        <v>Bi Pengfei</v>
      </c>
      <c r="B89" s="13" t="str">
        <f>IFERROR(__xludf.DUMMYFUNCTION("""COMPUTED_VALUE"""),"TONG")</f>
        <v>TONG</v>
      </c>
      <c r="C89" s="14">
        <f>IFERROR(__xludf.DUMMYFUNCTION("""COMPUTED_VALUE"""),2.0)</f>
        <v>2</v>
      </c>
      <c r="D89" s="15">
        <f>IFERROR(__xludf.DUMMYFUNCTION("""COMPUTED_VALUE"""),-0.04958838454951435)</f>
        <v>-0.04958838455</v>
      </c>
      <c r="E89" s="15">
        <f>IFERROR(__xludf.DUMMYFUNCTION("""COMPUTED_VALUE"""),-0.001323824514271342)</f>
        <v>-0.001323824514</v>
      </c>
      <c r="F89" s="15">
        <f>IFERROR(__xludf.DUMMYFUNCTION("""COMPUTED_VALUE"""),-0.05091220906378569)</f>
        <v>-0.05091220906</v>
      </c>
      <c r="G89" s="17">
        <f>IFERROR(__xludf.DUMMYFUNCTION("""COMPUTED_VALUE"""),0.001192044298099307)</f>
        <v>0.001192044298</v>
      </c>
      <c r="H89" s="4"/>
      <c r="I89" s="5" t="s">
        <v>2397</v>
      </c>
      <c r="J89" s="5" t="s">
        <v>2236</v>
      </c>
      <c r="K89" s="24">
        <v>2.0</v>
      </c>
      <c r="L89" s="5">
        <v>-0.049588</v>
      </c>
      <c r="M89" s="5">
        <v>-0.001324</v>
      </c>
      <c r="N89" s="5">
        <v>-0.050912</v>
      </c>
      <c r="O89" s="5">
        <v>0.001192</v>
      </c>
    </row>
    <row r="90">
      <c r="A90" s="18" t="str">
        <f>IFERROR(__xludf.DUMMYFUNCTION("""COMPUTED_VALUE"""),"Zhang Hao")</f>
        <v>Zhang Hao</v>
      </c>
      <c r="B90" s="19" t="str">
        <f>IFERROR(__xludf.DUMMYFUNCTION("""COMPUTED_VALUE"""),"QIN")</f>
        <v>QIN</v>
      </c>
      <c r="C90" s="20">
        <f>IFERROR(__xludf.DUMMYFUNCTION("""COMPUTED_VALUE"""),2.5)</f>
        <v>2.5</v>
      </c>
      <c r="D90" s="21">
        <f>IFERROR(__xludf.DUMMYFUNCTION("""COMPUTED_VALUE"""),-0.05318668125343027)</f>
        <v>-0.05318668125</v>
      </c>
      <c r="E90" s="21">
        <f>IFERROR(__xludf.DUMMYFUNCTION("""COMPUTED_VALUE"""),-0.007250132251666416)</f>
        <v>-0.007250132252</v>
      </c>
      <c r="F90" s="21">
        <f>IFERROR(__xludf.DUMMYFUNCTION("""COMPUTED_VALUE"""),-0.060436813505096686)</f>
        <v>-0.06043681351</v>
      </c>
      <c r="G90" s="23">
        <f>IFERROR(__xludf.DUMMYFUNCTION("""COMPUTED_VALUE"""),0.0014923078754258076)</f>
        <v>0.001492307875</v>
      </c>
      <c r="H90" s="4"/>
      <c r="I90" s="5" t="s">
        <v>2401</v>
      </c>
      <c r="J90" s="5" t="s">
        <v>2226</v>
      </c>
      <c r="K90" s="5">
        <v>3.0</v>
      </c>
      <c r="L90" s="5">
        <v>-0.053186</v>
      </c>
      <c r="M90" s="5">
        <v>-0.00725</v>
      </c>
      <c r="N90" s="5">
        <v>-0.060437</v>
      </c>
      <c r="O90" s="5">
        <v>0.001492</v>
      </c>
    </row>
    <row r="91">
      <c r="A91" s="12" t="str">
        <f>IFERROR(__xludf.DUMMYFUNCTION("""COMPUTED_VALUE"""),"Jiao Haolong")</f>
        <v>Jiao Haolong</v>
      </c>
      <c r="B91" s="13" t="str">
        <f>IFERROR(__xludf.DUMMYFUNCTION("""COMPUTED_VALUE"""),"SHA")</f>
        <v>SHA</v>
      </c>
      <c r="C91" s="14">
        <f>IFERROR(__xludf.DUMMYFUNCTION("""COMPUTED_VALUE"""),4.0)</f>
        <v>4</v>
      </c>
      <c r="D91" s="15">
        <f>IFERROR(__xludf.DUMMYFUNCTION("""COMPUTED_VALUE"""),0.0036641568434933676)</f>
        <v>0.003664156843</v>
      </c>
      <c r="E91" s="15">
        <f>IFERROR(__xludf.DUMMYFUNCTION("""COMPUTED_VALUE"""),-0.07517851122310125)</f>
        <v>-0.07517851122</v>
      </c>
      <c r="F91" s="15">
        <f>IFERROR(__xludf.DUMMYFUNCTION("""COMPUTED_VALUE"""),-0.07151435437960788)</f>
        <v>-0.07151435438</v>
      </c>
      <c r="G91" s="17">
        <f>IFERROR(__xludf.DUMMYFUNCTION("""COMPUTED_VALUE"""),0.0023525012891916328)</f>
        <v>0.002352501289</v>
      </c>
      <c r="H91" s="4"/>
      <c r="I91" s="5" t="s">
        <v>2409</v>
      </c>
      <c r="J91" s="5" t="s">
        <v>2201</v>
      </c>
      <c r="K91" s="5">
        <v>4.0</v>
      </c>
      <c r="L91" s="5">
        <v>0.003665</v>
      </c>
      <c r="M91" s="5">
        <v>-0.075179</v>
      </c>
      <c r="N91" s="5">
        <v>-0.071514</v>
      </c>
      <c r="O91" s="5">
        <v>0.002353</v>
      </c>
    </row>
    <row r="92">
      <c r="A92" s="18" t="str">
        <f>IFERROR(__xludf.DUMMYFUNCTION("""COMPUTED_VALUE"""),"Guo Xiaopeng")</f>
        <v>Guo Xiaopeng</v>
      </c>
      <c r="B92" s="19" t="str">
        <f>IFERROR(__xludf.DUMMYFUNCTION("""COMPUTED_VALUE"""),"DON")</f>
        <v>DON</v>
      </c>
      <c r="C92" s="20">
        <f>IFERROR(__xludf.DUMMYFUNCTION("""COMPUTED_VALUE"""),85.4)</f>
        <v>85.4</v>
      </c>
      <c r="D92" s="21">
        <f>IFERROR(__xludf.DUMMYFUNCTION("""COMPUTED_VALUE"""),0.1091800334903577)</f>
        <v>0.1091800335</v>
      </c>
      <c r="E92" s="21">
        <f>IFERROR(__xludf.DUMMYFUNCTION("""COMPUTED_VALUE"""),-0.23564744912252222)</f>
        <v>-0.2356474491</v>
      </c>
      <c r="F92" s="21">
        <f>IFERROR(__xludf.DUMMYFUNCTION("""COMPUTED_VALUE"""),-0.12646741563216451)</f>
        <v>-0.1264674156</v>
      </c>
      <c r="G92" s="23">
        <f>IFERROR(__xludf.DUMMYFUNCTION("""COMPUTED_VALUE"""),0.0485775348812733)</f>
        <v>0.04857753488</v>
      </c>
      <c r="H92" s="4"/>
      <c r="I92" s="5" t="s">
        <v>2411</v>
      </c>
      <c r="J92" s="5" t="s">
        <v>2217</v>
      </c>
      <c r="K92" s="5">
        <v>85.0</v>
      </c>
      <c r="L92" s="5">
        <v>0.109191</v>
      </c>
      <c r="M92" s="5">
        <v>-0.235659</v>
      </c>
      <c r="N92" s="5">
        <v>-0.126467</v>
      </c>
      <c r="O92" s="5">
        <v>0.048578</v>
      </c>
    </row>
    <row r="93">
      <c r="A93" s="12" t="str">
        <f>IFERROR(__xludf.DUMMYFUNCTION("""COMPUTED_VALUE"""),"Fengbo Liu")</f>
        <v>Fengbo Liu</v>
      </c>
      <c r="B93" s="13" t="str">
        <f>IFERROR(__xludf.DUMMYFUNCTION("""COMPUTED_VALUE"""),"XIN")</f>
        <v>XIN</v>
      </c>
      <c r="C93" s="14">
        <f>IFERROR(__xludf.DUMMYFUNCTION("""COMPUTED_VALUE"""),10.2)</f>
        <v>10.2</v>
      </c>
      <c r="D93" s="15">
        <f>IFERROR(__xludf.DUMMYFUNCTION("""COMPUTED_VALUE"""),0.03944802557141548)</f>
        <v>0.03944802557</v>
      </c>
      <c r="E93" s="15">
        <f>IFERROR(__xludf.DUMMYFUNCTION("""COMPUTED_VALUE"""),-0.20248703931121603)</f>
        <v>-0.2024870393</v>
      </c>
      <c r="F93" s="15">
        <f>IFERROR(__xludf.DUMMYFUNCTION("""COMPUTED_VALUE"""),-0.16303901373980054)</f>
        <v>-0.1630390137</v>
      </c>
      <c r="G93" s="17">
        <f>IFERROR(__xludf.DUMMYFUNCTION("""COMPUTED_VALUE"""),0.005659471381162784)</f>
        <v>0.005659471381</v>
      </c>
      <c r="H93" s="4"/>
      <c r="I93" s="5" t="s">
        <v>2416</v>
      </c>
      <c r="J93" s="5" t="s">
        <v>2208</v>
      </c>
      <c r="K93" s="5">
        <v>10.0</v>
      </c>
      <c r="L93" s="5">
        <v>0.039449</v>
      </c>
      <c r="M93" s="5">
        <v>-0.202488</v>
      </c>
      <c r="N93" s="5">
        <v>-0.163039</v>
      </c>
      <c r="O93" s="5">
        <v>0.005659</v>
      </c>
    </row>
    <row r="94">
      <c r="A94" s="18" t="str">
        <f>IFERROR(__xludf.DUMMYFUNCTION("""COMPUTED_VALUE"""),"Biao Qiu")</f>
        <v>Biao Qiu</v>
      </c>
      <c r="B94" s="19" t="str">
        <f>IFERROR(__xludf.DUMMYFUNCTION("""COMPUTED_VALUE"""),"DON")</f>
        <v>DON</v>
      </c>
      <c r="C94" s="20">
        <f>IFERROR(__xludf.DUMMYFUNCTION("""COMPUTED_VALUE"""),189.2)</f>
        <v>189.2</v>
      </c>
      <c r="D94" s="21">
        <f>IFERROR(__xludf.DUMMYFUNCTION("""COMPUTED_VALUE"""),0.21959867524592525)</f>
        <v>0.2195986752</v>
      </c>
      <c r="E94" s="21">
        <f>IFERROR(__xludf.DUMMYFUNCTION("""COMPUTED_VALUE"""),-0.40385663447066955)</f>
        <v>-0.4038566345</v>
      </c>
      <c r="F94" s="21">
        <f>IFERROR(__xludf.DUMMYFUNCTION("""COMPUTED_VALUE"""),-0.18425795922474428)</f>
        <v>-0.1842579592</v>
      </c>
      <c r="G94" s="23">
        <f>IFERROR(__xludf.DUMMYFUNCTION("""COMPUTED_VALUE"""),0.10430175885992256)</f>
        <v>0.1043017589</v>
      </c>
      <c r="H94" s="4"/>
      <c r="I94" s="5" t="s">
        <v>2421</v>
      </c>
      <c r="J94" s="5" t="s">
        <v>2217</v>
      </c>
      <c r="K94" s="5">
        <v>189.0</v>
      </c>
      <c r="L94" s="5">
        <v>0.219624</v>
      </c>
      <c r="M94" s="5">
        <v>-0.403882</v>
      </c>
      <c r="N94" s="5">
        <v>-0.184258</v>
      </c>
      <c r="O94" s="5">
        <v>0.104302</v>
      </c>
    </row>
    <row r="95">
      <c r="A95" s="12" t="str">
        <f>IFERROR(__xludf.DUMMYFUNCTION("""COMPUTED_VALUE"""),"Ban Duo")</f>
        <v>Ban Duo</v>
      </c>
      <c r="B95" s="13" t="str">
        <f>IFERROR(__xludf.DUMMYFUNCTION("""COMPUTED_VALUE"""),"SZD")</f>
        <v>SZD</v>
      </c>
      <c r="C95" s="14">
        <f>IFERROR(__xludf.DUMMYFUNCTION("""COMPUTED_VALUE"""),3.1)</f>
        <v>3.1</v>
      </c>
      <c r="D95" s="15">
        <f>IFERROR(__xludf.DUMMYFUNCTION("""COMPUTED_VALUE"""),-0.051677464669626465)</f>
        <v>-0.05167746467</v>
      </c>
      <c r="E95" s="15">
        <f>IFERROR(__xludf.DUMMYFUNCTION("""COMPUTED_VALUE"""),-0.15299215474533445)</f>
        <v>-0.1529921547</v>
      </c>
      <c r="F95" s="15">
        <f>IFERROR(__xludf.DUMMYFUNCTION("""COMPUTED_VALUE"""),-0.20466961941496092)</f>
        <v>-0.2046696194</v>
      </c>
      <c r="G95" s="17">
        <f>IFERROR(__xludf.DUMMYFUNCTION("""COMPUTED_VALUE"""),0.001705985093920142)</f>
        <v>0.001705985094</v>
      </c>
      <c r="H95" s="4"/>
      <c r="I95" s="5" t="s">
        <v>2426</v>
      </c>
      <c r="J95" s="5" t="s">
        <v>2244</v>
      </c>
      <c r="K95" s="5">
        <v>3.0</v>
      </c>
      <c r="L95" s="5">
        <v>-0.051677</v>
      </c>
      <c r="M95" s="5">
        <v>-0.152993</v>
      </c>
      <c r="N95" s="5">
        <v>-0.20467</v>
      </c>
      <c r="O95" s="5">
        <v>0.001706</v>
      </c>
    </row>
    <row r="96">
      <c r="A96" s="18" t="str">
        <f>IFERROR(__xludf.DUMMYFUNCTION("""COMPUTED_VALUE"""),"Junlin Wang")</f>
        <v>Junlin Wang</v>
      </c>
      <c r="B96" s="19" t="str">
        <f>IFERROR(__xludf.DUMMYFUNCTION("""COMPUTED_VALUE"""),"BFT")</f>
        <v>BFT</v>
      </c>
      <c r="C96" s="20">
        <f>IFERROR(__xludf.DUMMYFUNCTION("""COMPUTED_VALUE"""),7.7)</f>
        <v>7.7</v>
      </c>
      <c r="D96" s="21">
        <f>IFERROR(__xludf.DUMMYFUNCTION("""COMPUTED_VALUE"""),-0.30600598162382253)</f>
        <v>-0.3060059816</v>
      </c>
      <c r="E96" s="21">
        <f>IFERROR(__xludf.DUMMYFUNCTION("""COMPUTED_VALUE"""),0.09169830688085343)</f>
        <v>0.09169830688</v>
      </c>
      <c r="F96" s="21">
        <f>IFERROR(__xludf.DUMMYFUNCTION("""COMPUTED_VALUE"""),-0.2143076747429691)</f>
        <v>-0.2143076747</v>
      </c>
      <c r="G96" s="23">
        <f>IFERROR(__xludf.DUMMYFUNCTION("""COMPUTED_VALUE"""),0.004208076343268022)</f>
        <v>0.004208076343</v>
      </c>
      <c r="H96" s="4"/>
      <c r="I96" s="5" t="s">
        <v>2428</v>
      </c>
      <c r="J96" s="5" t="s">
        <v>2429</v>
      </c>
      <c r="K96" s="24">
        <v>8.0</v>
      </c>
      <c r="L96" s="5">
        <v>-0.306005</v>
      </c>
      <c r="M96" s="5">
        <v>0.091697</v>
      </c>
      <c r="N96" s="5">
        <v>-0.214308</v>
      </c>
      <c r="O96" s="5">
        <v>0.004208</v>
      </c>
    </row>
    <row r="97">
      <c r="A97" s="12" t="str">
        <f>IFERROR(__xludf.DUMMYFUNCTION("""COMPUTED_VALUE"""),"Huang Ziheng")</f>
        <v>Huang Ziheng</v>
      </c>
      <c r="B97" s="13" t="str">
        <f>IFERROR(__xludf.DUMMYFUNCTION("""COMPUTED_VALUE"""),"TONG")</f>
        <v>TONG</v>
      </c>
      <c r="C97" s="14">
        <f>IFERROR(__xludf.DUMMYFUNCTION("""COMPUTED_VALUE"""),12.3)</f>
        <v>12.3</v>
      </c>
      <c r="D97" s="15">
        <f>IFERROR(__xludf.DUMMYFUNCTION("""COMPUTED_VALUE"""),-0.18450415133253803)</f>
        <v>-0.1845041513</v>
      </c>
      <c r="E97" s="15">
        <f>IFERROR(__xludf.DUMMYFUNCTION("""COMPUTED_VALUE"""),-0.030189657793672414)</f>
        <v>-0.03018965779</v>
      </c>
      <c r="F97" s="15">
        <f>IFERROR(__xludf.DUMMYFUNCTION("""COMPUTED_VALUE"""),-0.21469380912621044)</f>
        <v>-0.2146938091</v>
      </c>
      <c r="G97" s="17">
        <f>IFERROR(__xludf.DUMMYFUNCTION("""COMPUTED_VALUE"""),0.006715043345814155)</f>
        <v>0.006715043346</v>
      </c>
      <c r="H97" s="4"/>
      <c r="I97" s="5" t="s">
        <v>2435</v>
      </c>
      <c r="J97" s="5" t="s">
        <v>2236</v>
      </c>
      <c r="K97" s="5">
        <v>12.0</v>
      </c>
      <c r="L97" s="5">
        <v>-0.184503</v>
      </c>
      <c r="M97" s="5">
        <v>-0.030191</v>
      </c>
      <c r="N97" s="5">
        <v>-0.214694</v>
      </c>
      <c r="O97" s="5">
        <v>0.006715</v>
      </c>
    </row>
    <row r="98">
      <c r="A98" s="18" t="str">
        <f>IFERROR(__xludf.DUMMYFUNCTION("""COMPUTED_VALUE"""),"Pu Wang")</f>
        <v>Pu Wang</v>
      </c>
      <c r="B98" s="19" t="str">
        <f>IFERROR(__xludf.DUMMYFUNCTION("""COMPUTED_VALUE"""),"JIL")</f>
        <v>JIL</v>
      </c>
      <c r="C98" s="20">
        <f>IFERROR(__xludf.DUMMYFUNCTION("""COMPUTED_VALUE"""),5.9)</f>
        <v>5.9</v>
      </c>
      <c r="D98" s="21">
        <f>IFERROR(__xludf.DUMMYFUNCTION("""COMPUTED_VALUE"""),-0.1808989153636727)</f>
        <v>-0.1808989154</v>
      </c>
      <c r="E98" s="21">
        <f>IFERROR(__xludf.DUMMYFUNCTION("""COMPUTED_VALUE"""),-0.0474490363814431)</f>
        <v>-0.04744903638</v>
      </c>
      <c r="F98" s="21">
        <f>IFERROR(__xludf.DUMMYFUNCTION("""COMPUTED_VALUE"""),-0.2283479517451158)</f>
        <v>-0.2283479517</v>
      </c>
      <c r="G98" s="23">
        <f>IFERROR(__xludf.DUMMYFUNCTION("""COMPUTED_VALUE"""),0.0032146618913127824)</f>
        <v>0.003214661891</v>
      </c>
      <c r="H98" s="4"/>
      <c r="I98" s="5" t="s">
        <v>2440</v>
      </c>
      <c r="J98" s="5" t="s">
        <v>2221</v>
      </c>
      <c r="K98" s="24">
        <v>6.0</v>
      </c>
      <c r="L98" s="5">
        <v>-0.180898</v>
      </c>
      <c r="M98" s="5">
        <v>-0.04745</v>
      </c>
      <c r="N98" s="5">
        <v>-0.228348</v>
      </c>
      <c r="O98" s="5">
        <v>0.003215</v>
      </c>
    </row>
    <row r="99">
      <c r="A99" s="12" t="str">
        <f>IFERROR(__xludf.DUMMYFUNCTION("""COMPUTED_VALUE"""),"Shi Jun")</f>
        <v>Shi Jun</v>
      </c>
      <c r="B99" s="13" t="str">
        <f>IFERROR(__xludf.DUMMYFUNCTION("""COMPUTED_VALUE"""),"GFD")</f>
        <v>GFD</v>
      </c>
      <c r="C99" s="14">
        <f>IFERROR(__xludf.DUMMYFUNCTION("""COMPUTED_VALUE"""),5.8)</f>
        <v>5.8</v>
      </c>
      <c r="D99" s="15">
        <f>IFERROR(__xludf.DUMMYFUNCTION("""COMPUTED_VALUE"""),-0.16566440653859402)</f>
        <v>-0.1656644065</v>
      </c>
      <c r="E99" s="15">
        <f>IFERROR(__xludf.DUMMYFUNCTION("""COMPUTED_VALUE"""),-0.07356566751406632)</f>
        <v>-0.07356566751</v>
      </c>
      <c r="F99" s="15">
        <f>IFERROR(__xludf.DUMMYFUNCTION("""COMPUTED_VALUE"""),-0.23923007405266034)</f>
        <v>-0.2392300741</v>
      </c>
      <c r="G99" s="17">
        <f>IFERROR(__xludf.DUMMYFUNCTION("""COMPUTED_VALUE"""),0.0030821888832563227)</f>
        <v>0.003082188883</v>
      </c>
      <c r="H99" s="4"/>
      <c r="I99" s="5" t="s">
        <v>2444</v>
      </c>
      <c r="J99" s="5" t="s">
        <v>2219</v>
      </c>
      <c r="K99" s="5">
        <v>6.0</v>
      </c>
      <c r="L99" s="5">
        <v>-0.165664</v>
      </c>
      <c r="M99" s="5">
        <v>-0.073566</v>
      </c>
      <c r="N99" s="5">
        <v>-0.23923</v>
      </c>
      <c r="O99" s="5">
        <v>0.003082</v>
      </c>
    </row>
    <row r="100">
      <c r="A100" s="18" t="str">
        <f>IFERROR(__xludf.DUMMYFUNCTION("""COMPUTED_VALUE"""),"Hongrui Duan")</f>
        <v>Hongrui Duan</v>
      </c>
      <c r="B100" s="19" t="str">
        <f>IFERROR(__xludf.DUMMYFUNCTION("""COMPUTED_VALUE"""),"BSD")</f>
        <v>BSD</v>
      </c>
      <c r="C100" s="20">
        <f>IFERROR(__xludf.DUMMYFUNCTION("""COMPUTED_VALUE"""),18.2)</f>
        <v>18.2</v>
      </c>
      <c r="D100" s="21">
        <f>IFERROR(__xludf.DUMMYFUNCTION("""COMPUTED_VALUE"""),0.004799474430516763)</f>
        <v>0.004799474431</v>
      </c>
      <c r="E100" s="21">
        <f>IFERROR(__xludf.DUMMYFUNCTION("""COMPUTED_VALUE"""),-0.29662271911421145)</f>
        <v>-0.2966227191</v>
      </c>
      <c r="F100" s="21">
        <f>IFERROR(__xludf.DUMMYFUNCTION("""COMPUTED_VALUE"""),-0.2918232446836947)</f>
        <v>-0.2918232447</v>
      </c>
      <c r="G100" s="23">
        <f>IFERROR(__xludf.DUMMYFUNCTION("""COMPUTED_VALUE"""),0.009418646422279858)</f>
        <v>0.009418646422</v>
      </c>
      <c r="H100" s="4"/>
      <c r="I100" s="5" t="s">
        <v>2448</v>
      </c>
      <c r="J100" s="5" t="s">
        <v>2211</v>
      </c>
      <c r="K100" s="5">
        <v>18.0</v>
      </c>
      <c r="L100" s="5">
        <v>0.004802</v>
      </c>
      <c r="M100" s="5">
        <v>-0.296625</v>
      </c>
      <c r="N100" s="5">
        <v>-0.291823</v>
      </c>
      <c r="O100" s="5">
        <v>0.009419</v>
      </c>
    </row>
    <row r="101">
      <c r="A101" s="12" t="str">
        <f>IFERROR(__xludf.DUMMYFUNCTION("""COMPUTED_VALUE"""),"Marcus Thornton")</f>
        <v>Marcus Thornton</v>
      </c>
      <c r="B101" s="13" t="str">
        <f>IFERROR(__xludf.DUMMYFUNCTION("""COMPUTED_VALUE"""),"BSD")</f>
        <v>BSD</v>
      </c>
      <c r="C101" s="14">
        <f>IFERROR(__xludf.DUMMYFUNCTION("""COMPUTED_VALUE"""),43.5)</f>
        <v>43.5</v>
      </c>
      <c r="D101" s="15">
        <f>IFERROR(__xludf.DUMMYFUNCTION("""COMPUTED_VALUE"""),-0.1075543332542896)</f>
        <v>-0.1075543333</v>
      </c>
      <c r="E101" s="15">
        <f>IFERROR(__xludf.DUMMYFUNCTION("""COMPUTED_VALUE"""),-0.18854445337420472)</f>
        <v>-0.1885444534</v>
      </c>
      <c r="F101" s="15">
        <f>IFERROR(__xludf.DUMMYFUNCTION("""COMPUTED_VALUE"""),-0.2960987866284943)</f>
        <v>-0.2960987866</v>
      </c>
      <c r="G101" s="17">
        <f>IFERROR(__xludf.DUMMYFUNCTION("""COMPUTED_VALUE"""),0.022455253753159012)</f>
        <v>0.02245525375</v>
      </c>
      <c r="H101" s="4"/>
      <c r="I101" s="5" t="s">
        <v>2453</v>
      </c>
      <c r="J101" s="5" t="s">
        <v>2211</v>
      </c>
      <c r="K101" s="5">
        <v>44.0</v>
      </c>
      <c r="L101" s="5">
        <v>-0.107549</v>
      </c>
      <c r="M101" s="5">
        <v>-0.18855</v>
      </c>
      <c r="N101" s="5">
        <v>-0.296099</v>
      </c>
      <c r="O101" s="5">
        <v>0.022455</v>
      </c>
    </row>
    <row r="102">
      <c r="A102" s="18" t="str">
        <f>IFERROR(__xludf.DUMMYFUNCTION("""COMPUTED_VALUE"""),"YuBo Xia")</f>
        <v>YuBo Xia</v>
      </c>
      <c r="B102" s="19" t="str">
        <f>IFERROR(__xludf.DUMMYFUNCTION("""COMPUTED_VALUE"""),"ZCB")</f>
        <v>ZCB</v>
      </c>
      <c r="C102" s="20">
        <f>IFERROR(__xludf.DUMMYFUNCTION("""COMPUTED_VALUE"""),5.0)</f>
        <v>5</v>
      </c>
      <c r="D102" s="21">
        <f>IFERROR(__xludf.DUMMYFUNCTION("""COMPUTED_VALUE"""),-0.22572108258298296)</f>
        <v>-0.2257210826</v>
      </c>
      <c r="E102" s="21">
        <f>IFERROR(__xludf.DUMMYFUNCTION("""COMPUTED_VALUE"""),-0.11242733123237453)</f>
        <v>-0.1124273312</v>
      </c>
      <c r="F102" s="21">
        <f>IFERROR(__xludf.DUMMYFUNCTION("""COMPUTED_VALUE"""),-0.3381484138153575)</f>
        <v>-0.3381484138</v>
      </c>
      <c r="G102" s="23">
        <f>IFERROR(__xludf.DUMMYFUNCTION("""COMPUTED_VALUE"""),0.002538027765967363)</f>
        <v>0.002538027766</v>
      </c>
      <c r="H102" s="4"/>
      <c r="I102" s="5" t="s">
        <v>2456</v>
      </c>
      <c r="J102" s="5" t="s">
        <v>2223</v>
      </c>
      <c r="K102" s="5">
        <v>5.0</v>
      </c>
      <c r="L102" s="5">
        <v>-0.225734</v>
      </c>
      <c r="M102" s="5">
        <v>-0.112415</v>
      </c>
      <c r="N102" s="5">
        <v>-0.338148</v>
      </c>
      <c r="O102" s="5">
        <v>0.002538</v>
      </c>
    </row>
    <row r="103">
      <c r="A103" s="12" t="str">
        <f>IFERROR(__xludf.DUMMYFUNCTION("""COMPUTED_VALUE"""),"Zhuo Zhang")</f>
        <v>Zhuo Zhang</v>
      </c>
      <c r="B103" s="13" t="str">
        <f>IFERROR(__xludf.DUMMYFUNCTION("""COMPUTED_VALUE"""),"BSD")</f>
        <v>BSD</v>
      </c>
      <c r="C103" s="14">
        <f>IFERROR(__xludf.DUMMYFUNCTION("""COMPUTED_VALUE"""),3.0)</f>
        <v>3</v>
      </c>
      <c r="D103" s="15">
        <f>IFERROR(__xludf.DUMMYFUNCTION("""COMPUTED_VALUE"""),-0.24020254198091553)</f>
        <v>-0.240202542</v>
      </c>
      <c r="E103" s="15">
        <f>IFERROR(__xludf.DUMMYFUNCTION("""COMPUTED_VALUE"""),-0.11860795877394228)</f>
        <v>-0.1186079588</v>
      </c>
      <c r="F103" s="15">
        <f>IFERROR(__xludf.DUMMYFUNCTION("""COMPUTED_VALUE"""),-0.3588105007548578)</f>
        <v>-0.3588105008</v>
      </c>
      <c r="G103" s="17">
        <f>IFERROR(__xludf.DUMMYFUNCTION("""COMPUTED_VALUE"""),0.0014916408976084674)</f>
        <v>0.001491640898</v>
      </c>
      <c r="H103" s="4"/>
      <c r="I103" s="5" t="s">
        <v>2461</v>
      </c>
      <c r="J103" s="5" t="s">
        <v>2211</v>
      </c>
      <c r="K103" s="5">
        <v>3.0</v>
      </c>
      <c r="L103" s="5">
        <v>-0.240202</v>
      </c>
      <c r="M103" s="5">
        <v>-0.118608</v>
      </c>
      <c r="N103" s="5">
        <v>-0.358811</v>
      </c>
      <c r="O103" s="5">
        <v>0.001492</v>
      </c>
    </row>
    <row r="104">
      <c r="A104" s="18" t="str">
        <f>IFERROR(__xludf.DUMMYFUNCTION("""COMPUTED_VALUE"""),"Liu Bo")</f>
        <v>Liu Bo</v>
      </c>
      <c r="B104" s="19" t="str">
        <f>IFERROR(__xludf.DUMMYFUNCTION("""COMPUTED_VALUE"""),"BEIK")</f>
        <v>BEIK</v>
      </c>
      <c r="C104" s="20">
        <f>IFERROR(__xludf.DUMMYFUNCTION("""COMPUTED_VALUE"""),3.8)</f>
        <v>3.8</v>
      </c>
      <c r="D104" s="21">
        <f>IFERROR(__xludf.DUMMYFUNCTION("""COMPUTED_VALUE"""),-0.3794619020044344)</f>
        <v>-0.379461902</v>
      </c>
      <c r="E104" s="21">
        <f>IFERROR(__xludf.DUMMYFUNCTION("""COMPUTED_VALUE"""),0.010830052476454521)</f>
        <v>0.01083005248</v>
      </c>
      <c r="F104" s="21">
        <f>IFERROR(__xludf.DUMMYFUNCTION("""COMPUTED_VALUE"""),-0.3686318495279799)</f>
        <v>-0.3686318495</v>
      </c>
      <c r="G104" s="23">
        <f>IFERROR(__xludf.DUMMYFUNCTION("""COMPUTED_VALUE"""),0.0018917269154452604)</f>
        <v>0.001891726915</v>
      </c>
      <c r="H104" s="4"/>
      <c r="I104" s="5" t="s">
        <v>2467</v>
      </c>
      <c r="J104" s="5" t="s">
        <v>2256</v>
      </c>
      <c r="K104" s="5">
        <v>4.0</v>
      </c>
      <c r="L104" s="5">
        <v>-0.379461</v>
      </c>
      <c r="M104" s="5">
        <v>0.01083</v>
      </c>
      <c r="N104" s="5">
        <v>-0.368632</v>
      </c>
      <c r="O104" s="5">
        <v>0.001892</v>
      </c>
    </row>
    <row r="105">
      <c r="A105" s="12" t="str">
        <f>IFERROR(__xludf.DUMMYFUNCTION("""COMPUTED_VALUE"""),"ZhongMian He")</f>
        <v>ZhongMian He</v>
      </c>
      <c r="B105" s="13" t="str">
        <f>IFERROR(__xludf.DUMMYFUNCTION("""COMPUTED_VALUE"""),"DON")</f>
        <v>DON</v>
      </c>
      <c r="C105" s="14">
        <f>IFERROR(__xludf.DUMMYFUNCTION("""COMPUTED_VALUE"""),832.5)</f>
        <v>832.5</v>
      </c>
      <c r="D105" s="15">
        <f>IFERROR(__xludf.DUMMYFUNCTION("""COMPUTED_VALUE"""),-2.1369653018929124)</f>
        <v>-2.136965302</v>
      </c>
      <c r="E105" s="15">
        <f>IFERROR(__xludf.DUMMYFUNCTION("""COMPUTED_VALUE"""),1.7577450091067168)</f>
        <v>1.757745009</v>
      </c>
      <c r="F105" s="15">
        <f>IFERROR(__xludf.DUMMYFUNCTION("""COMPUTED_VALUE"""),-0.3792202927861957)</f>
        <v>-0.3792202928</v>
      </c>
      <c r="G105" s="17">
        <f>IFERROR(__xludf.DUMMYFUNCTION("""COMPUTED_VALUE"""),0.40966096489229703)</f>
        <v>0.4096609649</v>
      </c>
      <c r="H105" s="4"/>
      <c r="I105" s="5" t="s">
        <v>2473</v>
      </c>
      <c r="J105" s="5" t="s">
        <v>2217</v>
      </c>
      <c r="K105" s="5">
        <v>833.0</v>
      </c>
      <c r="L105" s="5">
        <v>-2.136925</v>
      </c>
      <c r="M105" s="5">
        <v>1.757705</v>
      </c>
      <c r="N105" s="5">
        <v>-0.37922</v>
      </c>
      <c r="O105" s="5">
        <v>0.409661</v>
      </c>
    </row>
    <row r="106">
      <c r="A106" s="18" t="str">
        <f>IFERROR(__xludf.DUMMYFUNCTION("""COMPUTED_VALUE"""),"Liang Cai")</f>
        <v>Liang Cai</v>
      </c>
      <c r="B106" s="19" t="str">
        <f>IFERROR(__xludf.DUMMYFUNCTION("""COMPUTED_VALUE"""),"SDS")</f>
        <v>SDS</v>
      </c>
      <c r="C106" s="20">
        <f>IFERROR(__xludf.DUMMYFUNCTION("""COMPUTED_VALUE"""),911.4)</f>
        <v>911.4</v>
      </c>
      <c r="D106" s="21">
        <f>IFERROR(__xludf.DUMMYFUNCTION("""COMPUTED_VALUE"""),-1.8411827291935738)</f>
        <v>-1.841182729</v>
      </c>
      <c r="E106" s="21">
        <f>IFERROR(__xludf.DUMMYFUNCTION("""COMPUTED_VALUE"""),1.4540169256246605)</f>
        <v>1.454016926</v>
      </c>
      <c r="F106" s="21">
        <f>IFERROR(__xludf.DUMMYFUNCTION("""COMPUTED_VALUE"""),-0.3871658035689134)</f>
        <v>-0.3871658036</v>
      </c>
      <c r="G106" s="23">
        <f>IFERROR(__xludf.DUMMYFUNCTION("""COMPUTED_VALUE"""),0.4444193353621968)</f>
        <v>0.4444193354</v>
      </c>
      <c r="H106" s="4"/>
      <c r="I106" s="5" t="s">
        <v>2476</v>
      </c>
      <c r="J106" s="5" t="s">
        <v>2214</v>
      </c>
      <c r="K106" s="5">
        <v>911.0</v>
      </c>
      <c r="L106" s="5">
        <v>-1.841143</v>
      </c>
      <c r="M106" s="5">
        <v>1.453977</v>
      </c>
      <c r="N106" s="5">
        <v>-0.387166</v>
      </c>
      <c r="O106" s="5">
        <v>0.444419</v>
      </c>
    </row>
    <row r="107">
      <c r="A107" s="12" t="str">
        <f>IFERROR(__xludf.DUMMYFUNCTION("""COMPUTED_VALUE"""),"Arinze Onuaku")</f>
        <v>Arinze Onuaku</v>
      </c>
      <c r="B107" s="13" t="str">
        <f>IFERROR(__xludf.DUMMYFUNCTION("""COMPUTED_VALUE"""),"ZCB")</f>
        <v>ZCB</v>
      </c>
      <c r="C107" s="14">
        <f>IFERROR(__xludf.DUMMYFUNCTION("""COMPUTED_VALUE"""),44.4)</f>
        <v>44.4</v>
      </c>
      <c r="D107" s="15">
        <f>IFERROR(__xludf.DUMMYFUNCTION("""COMPUTED_VALUE"""),-0.3191419486547767)</f>
        <v>-0.3191419487</v>
      </c>
      <c r="E107" s="15">
        <f>IFERROR(__xludf.DUMMYFUNCTION("""COMPUTED_VALUE"""),-0.0834649252249941)</f>
        <v>-0.08346492522</v>
      </c>
      <c r="F107" s="15">
        <f>IFERROR(__xludf.DUMMYFUNCTION("""COMPUTED_VALUE"""),-0.4026068738797708)</f>
        <v>-0.4026068739</v>
      </c>
      <c r="G107" s="17">
        <f>IFERROR(__xludf.DUMMYFUNCTION("""COMPUTED_VALUE"""),0.021663514294384102)</f>
        <v>0.02166351429</v>
      </c>
      <c r="H107" s="4"/>
      <c r="I107" s="5" t="s">
        <v>2479</v>
      </c>
      <c r="J107" s="5" t="s">
        <v>2223</v>
      </c>
      <c r="K107" s="5">
        <v>44.0</v>
      </c>
      <c r="L107" s="5">
        <v>-0.319255</v>
      </c>
      <c r="M107" s="5">
        <v>-0.083352</v>
      </c>
      <c r="N107" s="5">
        <v>-0.402607</v>
      </c>
      <c r="O107" s="5">
        <v>0.021664</v>
      </c>
    </row>
    <row r="108">
      <c r="A108" s="18" t="str">
        <f>IFERROR(__xludf.DUMMYFUNCTION("""COMPUTED_VALUE"""),"Honghan Li")</f>
        <v>Honghan Li</v>
      </c>
      <c r="B108" s="19" t="str">
        <f>IFERROR(__xludf.DUMMYFUNCTION("""COMPUTED_VALUE"""),"SHA")</f>
        <v>SHA</v>
      </c>
      <c r="C108" s="20">
        <f>IFERROR(__xludf.DUMMYFUNCTION("""COMPUTED_VALUE"""),38.2)</f>
        <v>38.2</v>
      </c>
      <c r="D108" s="21">
        <f>IFERROR(__xludf.DUMMYFUNCTION("""COMPUTED_VALUE"""),-0.18540941925653437)</f>
        <v>-0.1854094193</v>
      </c>
      <c r="E108" s="21">
        <f>IFERROR(__xludf.DUMMYFUNCTION("""COMPUTED_VALUE"""),-0.2352625911203105)</f>
        <v>-0.2352625911</v>
      </c>
      <c r="F108" s="21">
        <f>IFERROR(__xludf.DUMMYFUNCTION("""COMPUTED_VALUE"""),-0.4206720103768449)</f>
        <v>-0.4206720104</v>
      </c>
      <c r="G108" s="23">
        <f>IFERROR(__xludf.DUMMYFUNCTION("""COMPUTED_VALUE"""),0.018398785797440746)</f>
        <v>0.0183987858</v>
      </c>
      <c r="H108" s="4"/>
      <c r="I108" s="5" t="s">
        <v>2484</v>
      </c>
      <c r="J108" s="5" t="s">
        <v>2201</v>
      </c>
      <c r="K108" s="5">
        <v>38.0</v>
      </c>
      <c r="L108" s="5">
        <v>-0.185404</v>
      </c>
      <c r="M108" s="5">
        <v>-0.235268</v>
      </c>
      <c r="N108" s="5">
        <v>-0.420672</v>
      </c>
      <c r="O108" s="5">
        <v>0.018399</v>
      </c>
    </row>
    <row r="109">
      <c r="A109" s="12" t="str">
        <f>IFERROR(__xludf.DUMMYFUNCTION("""COMPUTED_VALUE"""),"Gen Li")</f>
        <v>Gen Li</v>
      </c>
      <c r="B109" s="13" t="str">
        <f>IFERROR(__xludf.DUMMYFUNCTION("""COMPUTED_VALUE"""),"XIN")</f>
        <v>XIN</v>
      </c>
      <c r="C109" s="14">
        <f>IFERROR(__xludf.DUMMYFUNCTION("""COMPUTED_VALUE"""),866.5)</f>
        <v>866.5</v>
      </c>
      <c r="D109" s="15">
        <f>IFERROR(__xludf.DUMMYFUNCTION("""COMPUTED_VALUE"""),2.7112277153027495)</f>
        <v>2.711227715</v>
      </c>
      <c r="E109" s="15">
        <f>IFERROR(__xludf.DUMMYFUNCTION("""COMPUTED_VALUE"""),-3.222179083178843)</f>
        <v>-3.222179083</v>
      </c>
      <c r="F109" s="15">
        <f>IFERROR(__xludf.DUMMYFUNCTION("""COMPUTED_VALUE"""),-0.5109513678760933)</f>
        <v>-0.5109513679</v>
      </c>
      <c r="G109" s="17">
        <f>IFERROR(__xludf.DUMMYFUNCTION("""COMPUTED_VALUE"""),0.3897204654990559)</f>
        <v>0.3897204655</v>
      </c>
      <c r="H109" s="4"/>
      <c r="I109" s="5" t="s">
        <v>2489</v>
      </c>
      <c r="J109" s="5" t="s">
        <v>2208</v>
      </c>
      <c r="K109" s="5">
        <v>867.0</v>
      </c>
      <c r="L109" s="5">
        <v>2.711268</v>
      </c>
      <c r="M109" s="5">
        <v>-3.222219</v>
      </c>
      <c r="N109" s="5">
        <v>-0.510951</v>
      </c>
      <c r="O109" s="5">
        <v>0.38972</v>
      </c>
    </row>
    <row r="110">
      <c r="A110" s="18" t="str">
        <f>IFERROR(__xludf.DUMMYFUNCTION("""COMPUTED_VALUE"""),"Samad Nik Bahrami")</f>
        <v>Samad Nik Bahrami</v>
      </c>
      <c r="B110" s="19" t="str">
        <f>IFERROR(__xludf.DUMMYFUNCTION("""COMPUTED_VALUE"""),"TONG")</f>
        <v>TONG</v>
      </c>
      <c r="C110" s="20">
        <f>IFERROR(__xludf.DUMMYFUNCTION("""COMPUTED_VALUE"""),1174.8)</f>
        <v>1174.8</v>
      </c>
      <c r="D110" s="21">
        <f>IFERROR(__xludf.DUMMYFUNCTION("""COMPUTED_VALUE"""),-1.356670414227052)</f>
        <v>-1.356670414</v>
      </c>
      <c r="E110" s="21">
        <f>IFERROR(__xludf.DUMMYFUNCTION("""COMPUTED_VALUE"""),0.8329809232890826)</f>
        <v>0.8329809233</v>
      </c>
      <c r="F110" s="21">
        <f>IFERROR(__xludf.DUMMYFUNCTION("""COMPUTED_VALUE"""),-0.5236894909379695)</f>
        <v>-0.5236894909</v>
      </c>
      <c r="G110" s="23">
        <f>IFERROR(__xludf.DUMMYFUNCTION("""COMPUTED_VALUE"""),0.5303623021644426)</f>
        <v>0.5303623022</v>
      </c>
      <c r="H110" s="4"/>
      <c r="I110" s="5" t="s">
        <v>2495</v>
      </c>
      <c r="J110" s="5" t="s">
        <v>2236</v>
      </c>
      <c r="K110" s="24">
        <v>1175.0</v>
      </c>
      <c r="L110" s="5">
        <v>-1.35663</v>
      </c>
      <c r="M110" s="5">
        <v>0.832941</v>
      </c>
      <c r="N110" s="5">
        <v>-0.523689</v>
      </c>
      <c r="O110" s="5">
        <v>0.530362</v>
      </c>
    </row>
    <row r="111">
      <c r="A111" s="12" t="str">
        <f>IFERROR(__xludf.DUMMYFUNCTION("""COMPUTED_VALUE"""),"Lei Wang")</f>
        <v>Lei Wang</v>
      </c>
      <c r="B111" s="13" t="str">
        <f>IFERROR(__xludf.DUMMYFUNCTION("""COMPUTED_VALUE"""),"SZD")</f>
        <v>SZD</v>
      </c>
      <c r="C111" s="14">
        <f>IFERROR(__xludf.DUMMYFUNCTION("""COMPUTED_VALUE"""),12.1)</f>
        <v>12.1</v>
      </c>
      <c r="D111" s="15">
        <f>IFERROR(__xludf.DUMMYFUNCTION("""COMPUTED_VALUE"""),-0.5059653037705504)</f>
        <v>-0.5059653038</v>
      </c>
      <c r="E111" s="15">
        <f>IFERROR(__xludf.DUMMYFUNCTION("""COMPUTED_VALUE"""),-0.07527865993201721)</f>
        <v>-0.07527865993</v>
      </c>
      <c r="F111" s="15">
        <f>IFERROR(__xludf.DUMMYFUNCTION("""COMPUTED_VALUE"""),-0.5812439637025676)</f>
        <v>-0.5812439637</v>
      </c>
      <c r="G111" s="17">
        <f>IFERROR(__xludf.DUMMYFUNCTION("""COMPUTED_VALUE"""),0.00526213821318008)</f>
        <v>0.005262138213</v>
      </c>
      <c r="H111" s="4"/>
      <c r="I111" s="5" t="s">
        <v>2499</v>
      </c>
      <c r="J111" s="5" t="s">
        <v>2244</v>
      </c>
      <c r="K111" s="5">
        <v>12.0</v>
      </c>
      <c r="L111" s="5">
        <v>-0.505964</v>
      </c>
      <c r="M111" s="5">
        <v>-0.07528</v>
      </c>
      <c r="N111" s="5">
        <v>-0.581244</v>
      </c>
      <c r="O111" s="5">
        <v>0.005262</v>
      </c>
    </row>
    <row r="112">
      <c r="A112" s="18" t="str">
        <f>IFERROR(__xludf.DUMMYFUNCTION("""COMPUTED_VALUE"""),"Ruoyu Su")</f>
        <v>Ruoyu Su</v>
      </c>
      <c r="B112" s="19" t="str">
        <f>IFERROR(__xludf.DUMMYFUNCTION("""COMPUTED_VALUE"""),"ZGL")</f>
        <v>ZGL</v>
      </c>
      <c r="C112" s="20">
        <f>IFERROR(__xludf.DUMMYFUNCTION("""COMPUTED_VALUE"""),1105.7)</f>
        <v>1105.7</v>
      </c>
      <c r="D112" s="21">
        <f>IFERROR(__xludf.DUMMYFUNCTION("""COMPUTED_VALUE"""),-1.8607958769310238)</f>
        <v>-1.860795877</v>
      </c>
      <c r="E112" s="21">
        <f>IFERROR(__xludf.DUMMYFUNCTION("""COMPUTED_VALUE"""),1.2538640218605854)</f>
        <v>1.253864022</v>
      </c>
      <c r="F112" s="21">
        <f>IFERROR(__xludf.DUMMYFUNCTION("""COMPUTED_VALUE"""),-0.6069318550704385)</f>
        <v>-0.6069318551</v>
      </c>
      <c r="G112" s="23">
        <f>IFERROR(__xludf.DUMMYFUNCTION("""COMPUTED_VALUE"""),0.5104822927481901)</f>
        <v>0.5104822927</v>
      </c>
      <c r="H112" s="4"/>
      <c r="I112" s="5" t="s">
        <v>2503</v>
      </c>
      <c r="J112" s="5" t="s">
        <v>2194</v>
      </c>
      <c r="K112" s="24">
        <v>1106.0</v>
      </c>
      <c r="L112" s="5">
        <v>-1.860756</v>
      </c>
      <c r="M112" s="5">
        <v>1.253824</v>
      </c>
      <c r="N112" s="5">
        <v>-0.606932</v>
      </c>
      <c r="O112" s="5">
        <v>0.510482</v>
      </c>
    </row>
    <row r="113">
      <c r="A113" s="12" t="str">
        <f>IFERROR(__xludf.DUMMYFUNCTION("""COMPUTED_VALUE"""),"Zhang Yixing")</f>
        <v>Zhang Yixing</v>
      </c>
      <c r="B113" s="13" t="str">
        <f>IFERROR(__xludf.DUMMYFUNCTION("""COMPUTED_VALUE"""),"TONG")</f>
        <v>TONG</v>
      </c>
      <c r="C113" s="14">
        <f>IFERROR(__xludf.DUMMYFUNCTION("""COMPUTED_VALUE"""),35.4)</f>
        <v>35.4</v>
      </c>
      <c r="D113" s="15">
        <f>IFERROR(__xludf.DUMMYFUNCTION("""COMPUTED_VALUE"""),-0.019290137354271066)</f>
        <v>-0.01929013735</v>
      </c>
      <c r="E113" s="15">
        <f>IFERROR(__xludf.DUMMYFUNCTION("""COMPUTED_VALUE"""),-0.5910458470133394)</f>
        <v>-0.591045847</v>
      </c>
      <c r="F113" s="15">
        <f>IFERROR(__xludf.DUMMYFUNCTION("""COMPUTED_VALUE"""),-0.6103359843676105)</f>
        <v>-0.6103359844</v>
      </c>
      <c r="G113" s="17">
        <f>IFERROR(__xludf.DUMMYFUNCTION("""COMPUTED_VALUE"""),0.015043333094829182)</f>
        <v>0.01504333309</v>
      </c>
      <c r="H113" s="4"/>
      <c r="I113" s="5" t="s">
        <v>2509</v>
      </c>
      <c r="J113" s="5" t="s">
        <v>2236</v>
      </c>
      <c r="K113" s="5">
        <v>35.0</v>
      </c>
      <c r="L113" s="5">
        <v>-0.019285</v>
      </c>
      <c r="M113" s="5">
        <v>-0.591051</v>
      </c>
      <c r="N113" s="5">
        <v>-0.610336</v>
      </c>
      <c r="O113" s="5">
        <v>0.015043</v>
      </c>
    </row>
    <row r="114">
      <c r="A114" s="18" t="str">
        <f>IFERROR(__xludf.DUMMYFUNCTION("""COMPUTED_VALUE"""),"Haoyang Jing")</f>
        <v>Haoyang Jing</v>
      </c>
      <c r="B114" s="19" t="str">
        <f>IFERROR(__xludf.DUMMYFUNCTION("""COMPUTED_VALUE"""),"BEIK")</f>
        <v>BEIK</v>
      </c>
      <c r="C114" s="20">
        <f>IFERROR(__xludf.DUMMYFUNCTION("""COMPUTED_VALUE"""),41.0)</f>
        <v>41</v>
      </c>
      <c r="D114" s="21">
        <f>IFERROR(__xludf.DUMMYFUNCTION("""COMPUTED_VALUE"""),-0.010635537274601165)</f>
        <v>-0.01063553727</v>
      </c>
      <c r="E114" s="21">
        <f>IFERROR(__xludf.DUMMYFUNCTION("""COMPUTED_VALUE"""),-0.6084129809281735)</f>
        <v>-0.6084129809</v>
      </c>
      <c r="F114" s="21">
        <f>IFERROR(__xludf.DUMMYFUNCTION("""COMPUTED_VALUE"""),-0.6190485182027747)</f>
        <v>-0.6190485182</v>
      </c>
      <c r="G114" s="23">
        <f>IFERROR(__xludf.DUMMYFUNCTION("""COMPUTED_VALUE"""),0.01727766878526926)</f>
        <v>0.01727766879</v>
      </c>
      <c r="H114" s="4"/>
      <c r="I114" s="5" t="s">
        <v>2514</v>
      </c>
      <c r="J114" s="5" t="s">
        <v>2256</v>
      </c>
      <c r="K114" s="5">
        <v>41.0</v>
      </c>
      <c r="L114" s="5">
        <v>-0.01063</v>
      </c>
      <c r="M114" s="5">
        <v>-0.608418</v>
      </c>
      <c r="N114" s="5">
        <v>-0.619049</v>
      </c>
      <c r="O114" s="5">
        <v>0.017278</v>
      </c>
    </row>
    <row r="115">
      <c r="A115" s="12" t="str">
        <f>IFERROR(__xludf.DUMMYFUNCTION("""COMPUTED_VALUE"""),"Li Yi")</f>
        <v>Li Yi</v>
      </c>
      <c r="B115" s="13" t="str">
        <f>IFERROR(__xludf.DUMMYFUNCTION("""COMPUTED_VALUE"""),"JIA")</f>
        <v>JIA</v>
      </c>
      <c r="C115" s="14">
        <f>IFERROR(__xludf.DUMMYFUNCTION("""COMPUTED_VALUE"""),1221.9)</f>
        <v>1221.9</v>
      </c>
      <c r="D115" s="15">
        <f>IFERROR(__xludf.DUMMYFUNCTION("""COMPUTED_VALUE"""),-1.9469405652583225)</f>
        <v>-1.946940565</v>
      </c>
      <c r="E115" s="15">
        <f>IFERROR(__xludf.DUMMYFUNCTION("""COMPUTED_VALUE"""),1.3012913231689927)</f>
        <v>1.301291323</v>
      </c>
      <c r="F115" s="15">
        <f>IFERROR(__xludf.DUMMYFUNCTION("""COMPUTED_VALUE"""),-0.6456492420893298)</f>
        <v>-0.6456492421</v>
      </c>
      <c r="G115" s="17">
        <f>IFERROR(__xludf.DUMMYFUNCTION("""COMPUTED_VALUE"""),0.5481892592146291)</f>
        <v>0.5481892592</v>
      </c>
      <c r="H115" s="4"/>
      <c r="I115" s="5" t="s">
        <v>2517</v>
      </c>
      <c r="J115" s="5" t="s">
        <v>2190</v>
      </c>
      <c r="K115" s="24">
        <v>1222.0</v>
      </c>
      <c r="L115" s="5">
        <v>-1.9469</v>
      </c>
      <c r="M115" s="5">
        <v>1.301251</v>
      </c>
      <c r="N115" s="5">
        <v>-0.645649</v>
      </c>
      <c r="O115" s="5">
        <v>0.548189</v>
      </c>
    </row>
    <row r="116">
      <c r="A116" s="18" t="str">
        <f>IFERROR(__xludf.DUMMYFUNCTION("""COMPUTED_VALUE"""),"Lu Wenbo")</f>
        <v>Lu Wenbo</v>
      </c>
      <c r="B116" s="19" t="str">
        <f>IFERROR(__xludf.DUMMYFUNCTION("""COMPUTED_VALUE"""),"ZCB")</f>
        <v>ZCB</v>
      </c>
      <c r="C116" s="20">
        <f>IFERROR(__xludf.DUMMYFUNCTION("""COMPUTED_VALUE"""),748.1)</f>
        <v>748.1</v>
      </c>
      <c r="D116" s="21">
        <f>IFERROR(__xludf.DUMMYFUNCTION("""COMPUTED_VALUE"""),3.1911189025479736E-4)</f>
        <v>0.0003191118903</v>
      </c>
      <c r="E116" s="21">
        <f>IFERROR(__xludf.DUMMYFUNCTION("""COMPUTED_VALUE"""),-0.6504668677340713)</f>
        <v>-0.6504668677</v>
      </c>
      <c r="F116" s="21">
        <f>IFERROR(__xludf.DUMMYFUNCTION("""COMPUTED_VALUE"""),-0.6501477558438165)</f>
        <v>-0.6501477558</v>
      </c>
      <c r="G116" s="23">
        <f>IFERROR(__xludf.DUMMYFUNCTION("""COMPUTED_VALUE"""),0.3084466205429092)</f>
        <v>0.3084466205</v>
      </c>
      <c r="H116" s="4"/>
      <c r="I116" s="5" t="s">
        <v>2522</v>
      </c>
      <c r="J116" s="5" t="s">
        <v>2223</v>
      </c>
      <c r="K116" s="5">
        <v>748.0</v>
      </c>
      <c r="L116" s="5">
        <v>-4.44E-4</v>
      </c>
      <c r="M116" s="5">
        <v>-0.649703</v>
      </c>
      <c r="N116" s="5">
        <v>-0.650148</v>
      </c>
      <c r="O116" s="5">
        <v>0.308447</v>
      </c>
    </row>
    <row r="117">
      <c r="A117" s="12" t="str">
        <f>IFERROR(__xludf.DUMMYFUNCTION("""COMPUTED_VALUE"""),"Pan Ning")</f>
        <v>Pan Ning</v>
      </c>
      <c r="B117" s="13" t="str">
        <f>IFERROR(__xludf.DUMMYFUNCTION("""COMPUTED_VALUE"""),"SHA")</f>
        <v>SHA</v>
      </c>
      <c r="C117" s="14">
        <f>IFERROR(__xludf.DUMMYFUNCTION("""COMPUTED_VALUE"""),180.6)</f>
        <v>180.6</v>
      </c>
      <c r="D117" s="15">
        <f>IFERROR(__xludf.DUMMYFUNCTION("""COMPUTED_VALUE"""),-0.617717707718769)</f>
        <v>-0.6177177077</v>
      </c>
      <c r="E117" s="15">
        <f>IFERROR(__xludf.DUMMYFUNCTION("""COMPUTED_VALUE"""),-0.05655705510058351)</f>
        <v>-0.0565570551</v>
      </c>
      <c r="F117" s="15">
        <f>IFERROR(__xludf.DUMMYFUNCTION("""COMPUTED_VALUE"""),-0.6742747628193525)</f>
        <v>-0.6742747628</v>
      </c>
      <c r="G117" s="17">
        <f>IFERROR(__xludf.DUMMYFUNCTION("""COMPUTED_VALUE"""),0.07301712652120829)</f>
        <v>0.07301712652</v>
      </c>
      <c r="H117" s="4"/>
      <c r="I117" s="5" t="s">
        <v>2527</v>
      </c>
      <c r="J117" s="5" t="s">
        <v>2201</v>
      </c>
      <c r="K117" s="5">
        <v>181.0</v>
      </c>
      <c r="L117" s="5">
        <v>-0.617694</v>
      </c>
      <c r="M117" s="5">
        <v>-0.056581</v>
      </c>
      <c r="N117" s="5">
        <v>-0.674275</v>
      </c>
      <c r="O117" s="5">
        <v>0.073017</v>
      </c>
    </row>
    <row r="118">
      <c r="A118" s="18" t="str">
        <f>IFERROR(__xludf.DUMMYFUNCTION("""COMPUTED_VALUE"""),"Shuo Fang")</f>
        <v>Shuo Fang</v>
      </c>
      <c r="B118" s="19" t="str">
        <f>IFERROR(__xludf.DUMMYFUNCTION("""COMPUTED_VALUE"""),"BSD")</f>
        <v>BSD</v>
      </c>
      <c r="C118" s="20">
        <f>IFERROR(__xludf.DUMMYFUNCTION("""COMPUTED_VALUE"""),1662.5)</f>
        <v>1662.5</v>
      </c>
      <c r="D118" s="21">
        <f>IFERROR(__xludf.DUMMYFUNCTION("""COMPUTED_VALUE"""),-0.1463299211234076)</f>
        <v>-0.1463299211</v>
      </c>
      <c r="E118" s="21">
        <f>IFERROR(__xludf.DUMMYFUNCTION("""COMPUTED_VALUE"""),-0.5611399639451095)</f>
        <v>-0.5611399639</v>
      </c>
      <c r="F118" s="21">
        <f>IFERROR(__xludf.DUMMYFUNCTION("""COMPUTED_VALUE"""),-0.707469885068517)</f>
        <v>-0.7074698851</v>
      </c>
      <c r="G118" s="23">
        <f>IFERROR(__xludf.DUMMYFUNCTION("""COMPUTED_VALUE"""),0.6510084453159232)</f>
        <v>0.6510084453</v>
      </c>
      <c r="H118" s="4"/>
      <c r="I118" s="5" t="s">
        <v>2532</v>
      </c>
      <c r="J118" s="5" t="s">
        <v>2211</v>
      </c>
      <c r="K118" s="24">
        <v>1663.0</v>
      </c>
      <c r="L118" s="5">
        <v>-0.14629</v>
      </c>
      <c r="M118" s="5">
        <v>-0.56118</v>
      </c>
      <c r="N118" s="5">
        <v>-0.70747</v>
      </c>
      <c r="O118" s="5">
        <v>0.651008</v>
      </c>
    </row>
    <row r="119">
      <c r="A119" s="12" t="str">
        <f>IFERROR(__xludf.DUMMYFUNCTION("""COMPUTED_VALUE"""),"Lei Meng")</f>
        <v>Lei Meng</v>
      </c>
      <c r="B119" s="13" t="str">
        <f>IFERROR(__xludf.DUMMYFUNCTION("""COMPUTED_VALUE"""),"BFT")</f>
        <v>BFT</v>
      </c>
      <c r="C119" s="14">
        <f>IFERROR(__xludf.DUMMYFUNCTION("""COMPUTED_VALUE"""),1154.4)</f>
        <v>1154.4</v>
      </c>
      <c r="D119" s="15">
        <f>IFERROR(__xludf.DUMMYFUNCTION("""COMPUTED_VALUE"""),0.030429258015365335)</f>
        <v>0.03042925802</v>
      </c>
      <c r="E119" s="15">
        <f>IFERROR(__xludf.DUMMYFUNCTION("""COMPUTED_VALUE"""),-0.7388216575812314)</f>
        <v>-0.7388216576</v>
      </c>
      <c r="F119" s="15">
        <f>IFERROR(__xludf.DUMMYFUNCTION("""COMPUTED_VALUE"""),-0.7083923995658661)</f>
        <v>-0.7083923996</v>
      </c>
      <c r="G119" s="17">
        <f>IFERROR(__xludf.DUMMYFUNCTION("""COMPUTED_VALUE"""),0.456323844772657)</f>
        <v>0.4563238448</v>
      </c>
      <c r="H119" s="4"/>
      <c r="I119" s="5" t="s">
        <v>2535</v>
      </c>
      <c r="J119" s="5" t="s">
        <v>2429</v>
      </c>
      <c r="K119" s="24">
        <v>1154.0</v>
      </c>
      <c r="L119" s="5">
        <v>0.030469</v>
      </c>
      <c r="M119" s="5">
        <v>-0.738862</v>
      </c>
      <c r="N119" s="5">
        <v>-0.708392</v>
      </c>
      <c r="O119" s="5">
        <v>0.456324</v>
      </c>
    </row>
    <row r="120">
      <c r="A120" s="18" t="str">
        <f>IFERROR(__xludf.DUMMYFUNCTION("""COMPUTED_VALUE"""),"Lin Chang")</f>
        <v>Lin Chang</v>
      </c>
      <c r="B120" s="19" t="str">
        <f>IFERROR(__xludf.DUMMYFUNCTION("""COMPUTED_VALUE"""),"BSD")</f>
        <v>BSD</v>
      </c>
      <c r="C120" s="20">
        <f>IFERROR(__xludf.DUMMYFUNCTION("""COMPUTED_VALUE"""),649.8)</f>
        <v>649.8</v>
      </c>
      <c r="D120" s="21">
        <f>IFERROR(__xludf.DUMMYFUNCTION("""COMPUTED_VALUE"""),-0.950494098532007)</f>
        <v>-0.9504940985</v>
      </c>
      <c r="E120" s="21">
        <f>IFERROR(__xludf.DUMMYFUNCTION("""COMPUTED_VALUE"""),0.16683367285432005)</f>
        <v>0.1668336729</v>
      </c>
      <c r="F120" s="21">
        <f>IFERROR(__xludf.DUMMYFUNCTION("""COMPUTED_VALUE"""),-0.7836604256776869)</f>
        <v>-0.7836604257</v>
      </c>
      <c r="G120" s="23">
        <f>IFERROR(__xludf.DUMMYFUNCTION("""COMPUTED_VALUE"""),0.23945220576429738)</f>
        <v>0.2394522058</v>
      </c>
      <c r="H120" s="4"/>
      <c r="I120" s="5" t="s">
        <v>2537</v>
      </c>
      <c r="J120" s="5" t="s">
        <v>2211</v>
      </c>
      <c r="K120" s="5">
        <v>650.0</v>
      </c>
      <c r="L120" s="5">
        <v>-0.950454</v>
      </c>
      <c r="M120" s="5">
        <v>0.166793</v>
      </c>
      <c r="N120" s="5">
        <v>-0.78366</v>
      </c>
      <c r="O120" s="5">
        <v>0.239452</v>
      </c>
    </row>
    <row r="121">
      <c r="A121" s="12" t="str">
        <f>IFERROR(__xludf.DUMMYFUNCTION("""COMPUTED_VALUE"""),"Hou Xingyu")</f>
        <v>Hou Xingyu</v>
      </c>
      <c r="B121" s="13" t="str">
        <f>IFERROR(__xludf.DUMMYFUNCTION("""COMPUTED_VALUE"""),"SZD")</f>
        <v>SZD</v>
      </c>
      <c r="C121" s="14">
        <f>IFERROR(__xludf.DUMMYFUNCTION("""COMPUTED_VALUE"""),14.2)</f>
        <v>14.2</v>
      </c>
      <c r="D121" s="15">
        <f>IFERROR(__xludf.DUMMYFUNCTION("""COMPUTED_VALUE"""),-0.5161754870805049)</f>
        <v>-0.5161754871</v>
      </c>
      <c r="E121" s="15">
        <f>IFERROR(__xludf.DUMMYFUNCTION("""COMPUTED_VALUE"""),-0.27929589540520217)</f>
        <v>-0.2792958954</v>
      </c>
      <c r="F121" s="15">
        <f>IFERROR(__xludf.DUMMYFUNCTION("""COMPUTED_VALUE"""),-0.795471382485707)</f>
        <v>-0.7954713825</v>
      </c>
      <c r="G121" s="17">
        <f>IFERROR(__xludf.DUMMYFUNCTION("""COMPUTED_VALUE"""),0.005242936831123024)</f>
        <v>0.005242936831</v>
      </c>
      <c r="H121" s="4"/>
      <c r="I121" s="5" t="s">
        <v>2540</v>
      </c>
      <c r="J121" s="5" t="s">
        <v>2244</v>
      </c>
      <c r="K121" s="5">
        <v>14.0</v>
      </c>
      <c r="L121" s="5">
        <v>-0.516174</v>
      </c>
      <c r="M121" s="5">
        <v>-0.279298</v>
      </c>
      <c r="N121" s="5">
        <v>-0.795471</v>
      </c>
      <c r="O121" s="5">
        <v>0.005243</v>
      </c>
    </row>
    <row r="122">
      <c r="A122" s="18" t="str">
        <f>IFERROR(__xludf.DUMMYFUNCTION("""COMPUTED_VALUE"""),"Xiaoxu Li")</f>
        <v>Xiaoxu Li</v>
      </c>
      <c r="B122" s="19" t="str">
        <f>IFERROR(__xludf.DUMMYFUNCTION("""COMPUTED_VALUE"""),"LIA")</f>
        <v>LIA</v>
      </c>
      <c r="C122" s="20">
        <f>IFERROR(__xludf.DUMMYFUNCTION("""COMPUTED_VALUE"""),1192.7)</f>
        <v>1192.7</v>
      </c>
      <c r="D122" s="21">
        <f>IFERROR(__xludf.DUMMYFUNCTION("""COMPUTED_VALUE"""),-2.743925400488931)</f>
        <v>-2.7439254</v>
      </c>
      <c r="E122" s="21">
        <f>IFERROR(__xludf.DUMMYFUNCTION("""COMPUTED_VALUE"""),1.9131114926735773)</f>
        <v>1.913111493</v>
      </c>
      <c r="F122" s="21">
        <f>IFERROR(__xludf.DUMMYFUNCTION("""COMPUTED_VALUE"""),-0.8308139078153535)</f>
        <v>-0.8308139078</v>
      </c>
      <c r="G122" s="23">
        <f>IFERROR(__xludf.DUMMYFUNCTION("""COMPUTED_VALUE"""),0.4262660870259626)</f>
        <v>0.426266087</v>
      </c>
      <c r="H122" s="4"/>
      <c r="I122" s="5" t="s">
        <v>2543</v>
      </c>
      <c r="J122" s="5" t="s">
        <v>2205</v>
      </c>
      <c r="K122" s="24">
        <v>1193.0</v>
      </c>
      <c r="L122" s="5">
        <v>-2.743885</v>
      </c>
      <c r="M122" s="5">
        <v>1.913071</v>
      </c>
      <c r="N122" s="5">
        <v>-0.830814</v>
      </c>
      <c r="O122" s="5">
        <v>0.426266</v>
      </c>
    </row>
    <row r="123">
      <c r="A123" s="12" t="str">
        <f>IFERROR(__xludf.DUMMYFUNCTION("""COMPUTED_VALUE"""),"Tian-ju He")</f>
        <v>Tian-ju He</v>
      </c>
      <c r="B123" s="13" t="str">
        <f>IFERROR(__xludf.DUMMYFUNCTION("""COMPUTED_VALUE"""),"LIA")</f>
        <v>LIA</v>
      </c>
      <c r="C123" s="14">
        <f>IFERROR(__xludf.DUMMYFUNCTION("""COMPUTED_VALUE"""),110.8)</f>
        <v>110.8</v>
      </c>
      <c r="D123" s="15">
        <f>IFERROR(__xludf.DUMMYFUNCTION("""COMPUTED_VALUE"""),0.02962446172618668)</f>
        <v>0.02962446173</v>
      </c>
      <c r="E123" s="15">
        <f>IFERROR(__xludf.DUMMYFUNCTION("""COMPUTED_VALUE"""),-0.876373837972026)</f>
        <v>-0.876373838</v>
      </c>
      <c r="F123" s="15">
        <f>IFERROR(__xludf.DUMMYFUNCTION("""COMPUTED_VALUE"""),-0.8467493762458392)</f>
        <v>-0.8467493762</v>
      </c>
      <c r="G123" s="17">
        <f>IFERROR(__xludf.DUMMYFUNCTION("""COMPUTED_VALUE"""),0.03905974295799662)</f>
        <v>0.03905974296</v>
      </c>
      <c r="H123" s="4"/>
      <c r="I123" s="5" t="s">
        <v>2547</v>
      </c>
      <c r="J123" s="5" t="s">
        <v>2205</v>
      </c>
      <c r="K123" s="5">
        <v>111.0</v>
      </c>
      <c r="L123" s="5">
        <v>0.029639</v>
      </c>
      <c r="M123" s="5">
        <v>-0.876389</v>
      </c>
      <c r="N123" s="5">
        <v>-0.846749</v>
      </c>
      <c r="O123" s="5">
        <v>0.03906</v>
      </c>
    </row>
    <row r="124">
      <c r="A124" s="18" t="str">
        <f>IFERROR(__xludf.DUMMYFUNCTION("""COMPUTED_VALUE"""),"Wang Rui")</f>
        <v>Wang Rui</v>
      </c>
      <c r="B124" s="19" t="str">
        <f>IFERROR(__xludf.DUMMYFUNCTION("""COMPUTED_VALUE"""),"TONG")</f>
        <v>TONG</v>
      </c>
      <c r="C124" s="20">
        <f>IFERROR(__xludf.DUMMYFUNCTION("""COMPUTED_VALUE"""),16.6)</f>
        <v>16.6</v>
      </c>
      <c r="D124" s="21">
        <f>IFERROR(__xludf.DUMMYFUNCTION("""COMPUTED_VALUE"""),-0.32620560067735055)</f>
        <v>-0.3262056007</v>
      </c>
      <c r="E124" s="21">
        <f>IFERROR(__xludf.DUMMYFUNCTION("""COMPUTED_VALUE"""),-0.5529863072126129)</f>
        <v>-0.5529863072</v>
      </c>
      <c r="F124" s="21">
        <f>IFERROR(__xludf.DUMMYFUNCTION("""COMPUTED_VALUE"""),-0.8791919078899635)</f>
        <v>-0.8791919079</v>
      </c>
      <c r="G124" s="23">
        <f>IFERROR(__xludf.DUMMYFUNCTION("""COMPUTED_VALUE"""),0.005689450769695246)</f>
        <v>0.00568945077</v>
      </c>
      <c r="H124" s="4"/>
      <c r="I124" s="5" t="s">
        <v>2550</v>
      </c>
      <c r="J124" s="5" t="s">
        <v>2236</v>
      </c>
      <c r="K124" s="5">
        <v>17.0</v>
      </c>
      <c r="L124" s="5">
        <v>-0.326203</v>
      </c>
      <c r="M124" s="5">
        <v>-0.552989</v>
      </c>
      <c r="N124" s="5">
        <v>-0.879192</v>
      </c>
      <c r="O124" s="5">
        <v>0.005689</v>
      </c>
    </row>
    <row r="125">
      <c r="A125" s="12" t="str">
        <f>IFERROR(__xludf.DUMMYFUNCTION("""COMPUTED_VALUE"""),"Dayu Zhang")</f>
        <v>Dayu Zhang</v>
      </c>
      <c r="B125" s="13" t="str">
        <f>IFERROR(__xludf.DUMMYFUNCTION("""COMPUTED_VALUE"""),"ZCB")</f>
        <v>ZCB</v>
      </c>
      <c r="C125" s="14">
        <f>IFERROR(__xludf.DUMMYFUNCTION("""COMPUTED_VALUE"""),1048.8)</f>
        <v>1048.8</v>
      </c>
      <c r="D125" s="15">
        <f>IFERROR(__xludf.DUMMYFUNCTION("""COMPUTED_VALUE"""),-2.851354233263586)</f>
        <v>-2.851354233</v>
      </c>
      <c r="E125" s="15">
        <f>IFERROR(__xludf.DUMMYFUNCTION("""COMPUTED_VALUE"""),1.928524658005819)</f>
        <v>1.928524658</v>
      </c>
      <c r="F125" s="15">
        <f>IFERROR(__xludf.DUMMYFUNCTION("""COMPUTED_VALUE"""),-0.9228295752577669)</f>
        <v>-0.9228295753</v>
      </c>
      <c r="G125" s="17">
        <f>IFERROR(__xludf.DUMMYFUNCTION("""COMPUTED_VALUE"""),0.3450731974755046)</f>
        <v>0.3450731975</v>
      </c>
      <c r="H125" s="4"/>
      <c r="I125" s="5" t="s">
        <v>2553</v>
      </c>
      <c r="J125" s="5" t="s">
        <v>2223</v>
      </c>
      <c r="K125" s="24">
        <v>1049.0</v>
      </c>
      <c r="L125" s="5">
        <v>-2.852118</v>
      </c>
      <c r="M125" s="5">
        <v>1.929288</v>
      </c>
      <c r="N125" s="5">
        <v>-0.92283</v>
      </c>
      <c r="O125" s="5">
        <v>0.345073</v>
      </c>
    </row>
    <row r="126">
      <c r="A126" s="18" t="str">
        <f>IFERROR(__xludf.DUMMYFUNCTION("""COMPUTED_VALUE"""),"JinLin Guo")</f>
        <v>JinLin Guo</v>
      </c>
      <c r="B126" s="19" t="str">
        <f>IFERROR(__xludf.DUMMYFUNCTION("""COMPUTED_VALUE"""),"JIL")</f>
        <v>JIL</v>
      </c>
      <c r="C126" s="20">
        <f>IFERROR(__xludf.DUMMYFUNCTION("""COMPUTED_VALUE"""),40.0)</f>
        <v>40</v>
      </c>
      <c r="D126" s="21">
        <f>IFERROR(__xludf.DUMMYFUNCTION("""COMPUTED_VALUE"""),-0.7442873018907626)</f>
        <v>-0.7442873019</v>
      </c>
      <c r="E126" s="21">
        <f>IFERROR(__xludf.DUMMYFUNCTION("""COMPUTED_VALUE"""),-0.18588494741390837)</f>
        <v>-0.1858849474</v>
      </c>
      <c r="F126" s="21">
        <f>IFERROR(__xludf.DUMMYFUNCTION("""COMPUTED_VALUE"""),-0.930172249304671)</f>
        <v>-0.9301722493</v>
      </c>
      <c r="G126" s="23">
        <f>IFERROR(__xludf.DUMMYFUNCTION("""COMPUTED_VALUE"""),0.013160691529452024)</f>
        <v>0.01316069153</v>
      </c>
      <c r="H126" s="4"/>
      <c r="I126" s="5" t="s">
        <v>2555</v>
      </c>
      <c r="J126" s="5" t="s">
        <v>2221</v>
      </c>
      <c r="K126" s="5">
        <v>40.0</v>
      </c>
      <c r="L126" s="5">
        <v>-0.744282</v>
      </c>
      <c r="M126" s="5">
        <v>-0.18589</v>
      </c>
      <c r="N126" s="5">
        <v>-0.930172</v>
      </c>
      <c r="O126" s="5">
        <v>0.013161</v>
      </c>
    </row>
    <row r="127">
      <c r="A127" s="12" t="str">
        <f>IFERROR(__xludf.DUMMYFUNCTION("""COMPUTED_VALUE"""),"Xuhong Zhao")</f>
        <v>Xuhong Zhao</v>
      </c>
      <c r="B127" s="13" t="str">
        <f>IFERROR(__xludf.DUMMYFUNCTION("""COMPUTED_VALUE"""),"GST")</f>
        <v>GST</v>
      </c>
      <c r="C127" s="14">
        <f>IFERROR(__xludf.DUMMYFUNCTION("""COMPUTED_VALUE"""),20.9)</f>
        <v>20.9</v>
      </c>
      <c r="D127" s="15">
        <f>IFERROR(__xludf.DUMMYFUNCTION("""COMPUTED_VALUE"""),-0.7943083340380487)</f>
        <v>-0.794308334</v>
      </c>
      <c r="E127" s="15">
        <f>IFERROR(__xludf.DUMMYFUNCTION("""COMPUTED_VALUE"""),-0.1398032024576441)</f>
        <v>-0.1398032025</v>
      </c>
      <c r="F127" s="15">
        <f>IFERROR(__xludf.DUMMYFUNCTION("""COMPUTED_VALUE"""),-0.9341115364956928)</f>
        <v>-0.9341115365</v>
      </c>
      <c r="G127" s="17">
        <f>IFERROR(__xludf.DUMMYFUNCTION("""COMPUTED_VALUE"""),0.00684904490714029)</f>
        <v>0.006849044907</v>
      </c>
      <c r="H127" s="4"/>
      <c r="I127" s="5" t="s">
        <v>2558</v>
      </c>
      <c r="J127" s="5" t="s">
        <v>2253</v>
      </c>
      <c r="K127" s="5">
        <v>21.0</v>
      </c>
      <c r="L127" s="5">
        <v>-0.794306</v>
      </c>
      <c r="M127" s="5">
        <v>-0.139806</v>
      </c>
      <c r="N127" s="5">
        <v>-0.934112</v>
      </c>
      <c r="O127" s="5">
        <v>0.006849</v>
      </c>
    </row>
    <row r="128">
      <c r="A128" s="18" t="str">
        <f>IFERROR(__xludf.DUMMYFUNCTION("""COMPUTED_VALUE"""),"Yang Jinmeng")</f>
        <v>Yang Jinmeng</v>
      </c>
      <c r="B128" s="19" t="str">
        <f>IFERROR(__xludf.DUMMYFUNCTION("""COMPUTED_VALUE"""),"GST")</f>
        <v>GST</v>
      </c>
      <c r="C128" s="20">
        <f>IFERROR(__xludf.DUMMYFUNCTION("""COMPUTED_VALUE"""),750.0)</f>
        <v>750</v>
      </c>
      <c r="D128" s="21">
        <f>IFERROR(__xludf.DUMMYFUNCTION("""COMPUTED_VALUE"""),-1.6001712215909212)</f>
        <v>-1.600171222</v>
      </c>
      <c r="E128" s="21">
        <f>IFERROR(__xludf.DUMMYFUNCTION("""COMPUTED_VALUE"""),0.6515206042662178)</f>
        <v>0.6515206043</v>
      </c>
      <c r="F128" s="21">
        <f>IFERROR(__xludf.DUMMYFUNCTION("""COMPUTED_VALUE"""),-0.9486506173247033)</f>
        <v>-0.9486506173</v>
      </c>
      <c r="G128" s="23">
        <f>IFERROR(__xludf.DUMMYFUNCTION("""COMPUTED_VALUE"""),0.24242661270268617)</f>
        <v>0.2424266127</v>
      </c>
      <c r="H128" s="4"/>
      <c r="I128" s="5" t="s">
        <v>2560</v>
      </c>
      <c r="J128" s="5" t="s">
        <v>2253</v>
      </c>
      <c r="K128" s="5">
        <v>750.0</v>
      </c>
      <c r="L128" s="5">
        <v>-1.600131</v>
      </c>
      <c r="M128" s="5">
        <v>0.65148</v>
      </c>
      <c r="N128" s="5">
        <v>-0.948651</v>
      </c>
      <c r="O128" s="5">
        <v>0.242427</v>
      </c>
    </row>
    <row r="129">
      <c r="A129" s="12" t="str">
        <f>IFERROR(__xludf.DUMMYFUNCTION("""COMPUTED_VALUE"""),"Zhandong Zhou")</f>
        <v>Zhandong Zhou</v>
      </c>
      <c r="B129" s="13" t="str">
        <f>IFERROR(__xludf.DUMMYFUNCTION("""COMPUTED_VALUE"""),"GST")</f>
        <v>GST</v>
      </c>
      <c r="C129" s="14">
        <f>IFERROR(__xludf.DUMMYFUNCTION("""COMPUTED_VALUE"""),508.4)</f>
        <v>508.4</v>
      </c>
      <c r="D129" s="15">
        <f>IFERROR(__xludf.DUMMYFUNCTION("""COMPUTED_VALUE"""),-1.9081561095199202)</f>
        <v>-1.90815611</v>
      </c>
      <c r="E129" s="15">
        <f>IFERROR(__xludf.DUMMYFUNCTION("""COMPUTED_VALUE"""),0.9582843204539232)</f>
        <v>0.9582843205</v>
      </c>
      <c r="F129" s="15">
        <f>IFERROR(__xludf.DUMMYFUNCTION("""COMPUTED_VALUE"""),-0.949871789065997)</f>
        <v>-0.9498717891</v>
      </c>
      <c r="G129" s="17">
        <f>IFERROR(__xludf.DUMMYFUNCTION("""COMPUTED_VALUE"""),0.16414204257701515)</f>
        <v>0.1641420426</v>
      </c>
      <c r="H129" s="4"/>
      <c r="I129" s="5" t="s">
        <v>2563</v>
      </c>
      <c r="J129" s="5" t="s">
        <v>2253</v>
      </c>
      <c r="K129" s="5">
        <v>508.0</v>
      </c>
      <c r="L129" s="5">
        <v>-1.908116</v>
      </c>
      <c r="M129" s="5">
        <v>0.958244</v>
      </c>
      <c r="N129" s="5">
        <v>-0.949872</v>
      </c>
      <c r="O129" s="5">
        <v>0.164142</v>
      </c>
    </row>
    <row r="130">
      <c r="A130" s="18" t="str">
        <f>IFERROR(__xludf.DUMMYFUNCTION("""COMPUTED_VALUE"""),"Changdong Yu")</f>
        <v>Changdong Yu</v>
      </c>
      <c r="B130" s="19" t="str">
        <f>IFERROR(__xludf.DUMMYFUNCTION("""COMPUTED_VALUE"""),"XIN")</f>
        <v>XIN</v>
      </c>
      <c r="C130" s="20">
        <f>IFERROR(__xludf.DUMMYFUNCTION("""COMPUTED_VALUE"""),1421.9)</f>
        <v>1421.9</v>
      </c>
      <c r="D130" s="21">
        <f>IFERROR(__xludf.DUMMYFUNCTION("""COMPUTED_VALUE"""),0.096550340081074)</f>
        <v>0.09655034008</v>
      </c>
      <c r="E130" s="21">
        <f>IFERROR(__xludf.DUMMYFUNCTION("""COMPUTED_VALUE"""),-1.0503463105125048)</f>
        <v>-1.050346311</v>
      </c>
      <c r="F130" s="21">
        <f>IFERROR(__xludf.DUMMYFUNCTION("""COMPUTED_VALUE"""),-0.9537959704314307)</f>
        <v>-0.9537959704</v>
      </c>
      <c r="G130" s="23">
        <f>IFERROR(__xludf.DUMMYFUNCTION("""COMPUTED_VALUE"""),0.4493256448188851)</f>
        <v>0.4493256448</v>
      </c>
      <c r="H130" s="4"/>
      <c r="I130" s="5" t="s">
        <v>2564</v>
      </c>
      <c r="J130" s="5" t="s">
        <v>2208</v>
      </c>
      <c r="K130" s="24">
        <v>1422.0</v>
      </c>
      <c r="L130" s="5">
        <v>0.096591</v>
      </c>
      <c r="M130" s="5">
        <v>-1.050386</v>
      </c>
      <c r="N130" s="5">
        <v>-0.953796</v>
      </c>
      <c r="O130" s="5">
        <v>0.449326</v>
      </c>
    </row>
    <row r="131">
      <c r="A131" s="12" t="str">
        <f>IFERROR(__xludf.DUMMYFUNCTION("""COMPUTED_VALUE"""),"Zhe Sun")</f>
        <v>Zhe Sun</v>
      </c>
      <c r="B131" s="13" t="str">
        <f>IFERROR(__xludf.DUMMYFUNCTION("""COMPUTED_VALUE"""),"FUJ")</f>
        <v>FUJ</v>
      </c>
      <c r="C131" s="14">
        <f>IFERROR(__xludf.DUMMYFUNCTION("""COMPUTED_VALUE"""),756.8)</f>
        <v>756.8</v>
      </c>
      <c r="D131" s="15">
        <f>IFERROR(__xludf.DUMMYFUNCTION("""COMPUTED_VALUE"""),-1.8956309853322788)</f>
        <v>-1.895630985</v>
      </c>
      <c r="E131" s="15">
        <f>IFERROR(__xludf.DUMMYFUNCTION("""COMPUTED_VALUE"""),0.9224489962399922)</f>
        <v>0.9224489962</v>
      </c>
      <c r="F131" s="15">
        <f>IFERROR(__xludf.DUMMYFUNCTION("""COMPUTED_VALUE"""),-0.9731819890922866)</f>
        <v>-0.9731819891</v>
      </c>
      <c r="G131" s="17">
        <f>IFERROR(__xludf.DUMMYFUNCTION("""COMPUTED_VALUE"""),0.23588874152053543)</f>
        <v>0.2358887415</v>
      </c>
      <c r="H131" s="4"/>
      <c r="I131" s="5" t="s">
        <v>2566</v>
      </c>
      <c r="J131" s="5" t="s">
        <v>2198</v>
      </c>
      <c r="K131" s="5">
        <v>757.0</v>
      </c>
      <c r="L131" s="5">
        <v>-1.895591</v>
      </c>
      <c r="M131" s="5">
        <v>0.922409</v>
      </c>
      <c r="N131" s="5">
        <v>-0.973182</v>
      </c>
      <c r="O131" s="5">
        <v>0.235889</v>
      </c>
    </row>
    <row r="132">
      <c r="A132" s="18" t="str">
        <f>IFERROR(__xludf.DUMMYFUNCTION("""COMPUTED_VALUE"""),"Sun Chunpeng")</f>
        <v>Sun Chunpeng</v>
      </c>
      <c r="B132" s="19" t="str">
        <f>IFERROR(__xludf.DUMMYFUNCTION("""COMPUTED_VALUE"""),"FUJ")</f>
        <v>FUJ</v>
      </c>
      <c r="C132" s="20">
        <f>IFERROR(__xludf.DUMMYFUNCTION("""COMPUTED_VALUE"""),28.6)</f>
        <v>28.6</v>
      </c>
      <c r="D132" s="21">
        <f>IFERROR(__xludf.DUMMYFUNCTION("""COMPUTED_VALUE"""),-0.9720898837193498)</f>
        <v>-0.9720898837</v>
      </c>
      <c r="E132" s="21">
        <f>IFERROR(__xludf.DUMMYFUNCTION("""COMPUTED_VALUE"""),-0.005797896706389749)</f>
        <v>-0.005797896706</v>
      </c>
      <c r="F132" s="21">
        <f>IFERROR(__xludf.DUMMYFUNCTION("""COMPUTED_VALUE"""),-0.9778877804257395)</f>
        <v>-0.9778877804</v>
      </c>
      <c r="G132" s="23">
        <f>IFERROR(__xludf.DUMMYFUNCTION("""COMPUTED_VALUE"""),0.008873546423553664)</f>
        <v>0.008873546424</v>
      </c>
      <c r="H132" s="4"/>
      <c r="I132" s="5" t="s">
        <v>2568</v>
      </c>
      <c r="J132" s="5" t="s">
        <v>2198</v>
      </c>
      <c r="K132" s="5">
        <v>29.0</v>
      </c>
      <c r="L132" s="5">
        <v>-0.972086</v>
      </c>
      <c r="M132" s="5">
        <v>-0.005802</v>
      </c>
      <c r="N132" s="5">
        <v>-0.977888</v>
      </c>
      <c r="O132" s="5">
        <v>0.008874</v>
      </c>
    </row>
    <row r="133">
      <c r="A133" s="12" t="str">
        <f>IFERROR(__xludf.DUMMYFUNCTION("""COMPUTED_VALUE"""),"Hanlin Dong")</f>
        <v>Hanlin Dong</v>
      </c>
      <c r="B133" s="13" t="str">
        <f>IFERROR(__xludf.DUMMYFUNCTION("""COMPUTED_VALUE"""),"SDS")</f>
        <v>SDS</v>
      </c>
      <c r="C133" s="14">
        <f>IFERROR(__xludf.DUMMYFUNCTION("""COMPUTED_VALUE"""),924.3)</f>
        <v>924.3</v>
      </c>
      <c r="D133" s="15">
        <f>IFERROR(__xludf.DUMMYFUNCTION("""COMPUTED_VALUE"""),-2.077815992317296)</f>
        <v>-2.077815992</v>
      </c>
      <c r="E133" s="15">
        <f>IFERROR(__xludf.DUMMYFUNCTION("""COMPUTED_VALUE"""),1.0319209580972903)</f>
        <v>1.031920958</v>
      </c>
      <c r="F133" s="15">
        <f>IFERROR(__xludf.DUMMYFUNCTION("""COMPUTED_VALUE"""),-1.0458950342200057)</f>
        <v>-1.045895034</v>
      </c>
      <c r="G133" s="17">
        <f>IFERROR(__xludf.DUMMYFUNCTION("""COMPUTED_VALUE"""),0.26662649737194577)</f>
        <v>0.2666264974</v>
      </c>
      <c r="H133" s="4"/>
      <c r="I133" s="5" t="s">
        <v>2571</v>
      </c>
      <c r="J133" s="5" t="s">
        <v>2214</v>
      </c>
      <c r="K133" s="5">
        <v>924.0</v>
      </c>
      <c r="L133" s="5">
        <v>-2.077776</v>
      </c>
      <c r="M133" s="5">
        <v>1.031881</v>
      </c>
      <c r="N133" s="5">
        <v>-1.045895</v>
      </c>
      <c r="O133" s="5">
        <v>0.266626</v>
      </c>
    </row>
    <row r="134">
      <c r="A134" s="18" t="str">
        <f>IFERROR(__xludf.DUMMYFUNCTION("""COMPUTED_VALUE"""),"Kelanbaike Makan")</f>
        <v>Kelanbaike Makan</v>
      </c>
      <c r="B134" s="19" t="str">
        <f>IFERROR(__xludf.DUMMYFUNCTION("""COMPUTED_VALUE"""),"XIN")</f>
        <v>XIN</v>
      </c>
      <c r="C134" s="20">
        <f>IFERROR(__xludf.DUMMYFUNCTION("""COMPUTED_VALUE"""),1201.2)</f>
        <v>1201.2</v>
      </c>
      <c r="D134" s="21">
        <f>IFERROR(__xludf.DUMMYFUNCTION("""COMPUTED_VALUE"""),-0.2803780329093062)</f>
        <v>-0.2803780329</v>
      </c>
      <c r="E134" s="21">
        <f>IFERROR(__xludf.DUMMYFUNCTION("""COMPUTED_VALUE"""),-0.7948983223994186)</f>
        <v>-0.7948983224</v>
      </c>
      <c r="F134" s="21">
        <f>IFERROR(__xludf.DUMMYFUNCTION("""COMPUTED_VALUE"""),-1.0752763553087248)</f>
        <v>-1.075276355</v>
      </c>
      <c r="G134" s="23">
        <f>IFERROR(__xludf.DUMMYFUNCTION("""COMPUTED_VALUE"""),0.33550813088771625)</f>
        <v>0.3355081309</v>
      </c>
      <c r="H134" s="4"/>
      <c r="I134" s="5" t="s">
        <v>2572</v>
      </c>
      <c r="J134" s="5" t="s">
        <v>2208</v>
      </c>
      <c r="K134" s="24">
        <v>1201.0</v>
      </c>
      <c r="L134" s="5">
        <v>-0.280338</v>
      </c>
      <c r="M134" s="5">
        <v>-0.794939</v>
      </c>
      <c r="N134" s="5">
        <v>-1.075276</v>
      </c>
      <c r="O134" s="5">
        <v>0.335508</v>
      </c>
    </row>
    <row r="135">
      <c r="A135" s="12" t="str">
        <f>IFERROR(__xludf.DUMMYFUNCTION("""COMPUTED_VALUE"""),"Cheng Zhong")</f>
        <v>Cheng Zhong</v>
      </c>
      <c r="B135" s="13" t="str">
        <f>IFERROR(__xludf.DUMMYFUNCTION("""COMPUTED_VALUE"""),"LIA")</f>
        <v>LIA</v>
      </c>
      <c r="C135" s="14">
        <f>IFERROR(__xludf.DUMMYFUNCTION("""COMPUTED_VALUE"""),600.4)</f>
        <v>600.4</v>
      </c>
      <c r="D135" s="15">
        <f>IFERROR(__xludf.DUMMYFUNCTION("""COMPUTED_VALUE"""),-3.881780150116777)</f>
        <v>-3.88178015</v>
      </c>
      <c r="E135" s="15">
        <f>IFERROR(__xludf.DUMMYFUNCTION("""COMPUTED_VALUE"""),2.7479110583014363)</f>
        <v>2.747911058</v>
      </c>
      <c r="F135" s="15">
        <f>IFERROR(__xludf.DUMMYFUNCTION("""COMPUTED_VALUE"""),-1.1338690918153405)</f>
        <v>-1.133869092</v>
      </c>
      <c r="G135" s="17">
        <f>IFERROR(__xludf.DUMMYFUNCTION("""COMPUTED_VALUE"""),0.15896083771387592)</f>
        <v>0.1589608377</v>
      </c>
      <c r="H135" s="4"/>
      <c r="I135" s="5" t="s">
        <v>2574</v>
      </c>
      <c r="J135" s="5" t="s">
        <v>2205</v>
      </c>
      <c r="K135" s="5">
        <v>600.0</v>
      </c>
      <c r="L135" s="5">
        <v>-3.88174</v>
      </c>
      <c r="M135" s="5">
        <v>2.747871</v>
      </c>
      <c r="N135" s="5">
        <v>-1.133869</v>
      </c>
      <c r="O135" s="5">
        <v>0.158961</v>
      </c>
    </row>
    <row r="136">
      <c r="A136" s="18" t="str">
        <f>IFERROR(__xludf.DUMMYFUNCTION("""COMPUTED_VALUE"""),"Nick Minnerath")</f>
        <v>Nick Minnerath</v>
      </c>
      <c r="B136" s="19" t="str">
        <f>IFERROR(__xludf.DUMMYFUNCTION("""COMPUTED_VALUE"""),"SDS")</f>
        <v>SDS</v>
      </c>
      <c r="C136" s="20">
        <f>IFERROR(__xludf.DUMMYFUNCTION("""COMPUTED_VALUE"""),1169.7)</f>
        <v>1169.7</v>
      </c>
      <c r="D136" s="21">
        <f>IFERROR(__xludf.DUMMYFUNCTION("""COMPUTED_VALUE"""),3.457650259340313)</f>
        <v>3.457650259</v>
      </c>
      <c r="E136" s="21">
        <f>IFERROR(__xludf.DUMMYFUNCTION("""COMPUTED_VALUE"""),-4.599982944229005)</f>
        <v>-4.599982944</v>
      </c>
      <c r="F136" s="21">
        <f>IFERROR(__xludf.DUMMYFUNCTION("""COMPUTED_VALUE"""),-1.1423326848886919)</f>
        <v>-1.142332685</v>
      </c>
      <c r="G136" s="23">
        <f>IFERROR(__xludf.DUMMYFUNCTION("""COMPUTED_VALUE"""),0.3033105719303962)</f>
        <v>0.3033105719</v>
      </c>
      <c r="H136" s="4"/>
      <c r="I136" s="5" t="s">
        <v>2576</v>
      </c>
      <c r="J136" s="5" t="s">
        <v>2214</v>
      </c>
      <c r="K136" s="24">
        <v>1170.0</v>
      </c>
      <c r="L136" s="5">
        <v>3.45769</v>
      </c>
      <c r="M136" s="5">
        <v>-4.600023</v>
      </c>
      <c r="N136" s="5">
        <v>-1.142333</v>
      </c>
      <c r="O136" s="5">
        <v>0.303311</v>
      </c>
    </row>
    <row r="137">
      <c r="A137" s="12" t="str">
        <f>IFERROR(__xludf.DUMMYFUNCTION("""COMPUTED_VALUE"""),"Caibao Zhang")</f>
        <v>Caibao Zhang</v>
      </c>
      <c r="B137" s="13" t="str">
        <f>IFERROR(__xludf.DUMMYFUNCTION("""COMPUTED_VALUE"""),"TONG")</f>
        <v>TONG</v>
      </c>
      <c r="C137" s="14">
        <f>IFERROR(__xludf.DUMMYFUNCTION("""COMPUTED_VALUE"""),29.1)</f>
        <v>29.1</v>
      </c>
      <c r="D137" s="15">
        <f>IFERROR(__xludf.DUMMYFUNCTION("""COMPUTED_VALUE"""),-0.9113489506637147)</f>
        <v>-0.9113489507</v>
      </c>
      <c r="E137" s="15">
        <f>IFERROR(__xludf.DUMMYFUNCTION("""COMPUTED_VALUE"""),-0.25535307305640464)</f>
        <v>-0.2553530731</v>
      </c>
      <c r="F137" s="15">
        <f>IFERROR(__xludf.DUMMYFUNCTION("""COMPUTED_VALUE"""),-1.1667020237201193)</f>
        <v>-1.166702024</v>
      </c>
      <c r="G137" s="17">
        <f>IFERROR(__xludf.DUMMYFUNCTION("""COMPUTED_VALUE"""),0.0074152246708859915)</f>
        <v>0.007415224671</v>
      </c>
      <c r="H137" s="4"/>
      <c r="I137" s="5" t="s">
        <v>2578</v>
      </c>
      <c r="J137" s="5" t="s">
        <v>2236</v>
      </c>
      <c r="K137" s="5">
        <v>29.0</v>
      </c>
      <c r="L137" s="5">
        <v>-0.911345</v>
      </c>
      <c r="M137" s="5">
        <v>-0.255357</v>
      </c>
      <c r="N137" s="5">
        <v>-1.166702</v>
      </c>
      <c r="O137" s="5">
        <v>0.007415</v>
      </c>
    </row>
    <row r="138">
      <c r="A138" s="18" t="str">
        <f>IFERROR(__xludf.DUMMYFUNCTION("""COMPUTED_VALUE"""),"Lei Guo")</f>
        <v>Lei Guo</v>
      </c>
      <c r="B138" s="19" t="str">
        <f>IFERROR(__xludf.DUMMYFUNCTION("""COMPUTED_VALUE"""),"FUJ")</f>
        <v>FUJ</v>
      </c>
      <c r="C138" s="20">
        <f>IFERROR(__xludf.DUMMYFUNCTION("""COMPUTED_VALUE"""),49.2)</f>
        <v>49.2</v>
      </c>
      <c r="D138" s="21">
        <f>IFERROR(__xludf.DUMMYFUNCTION("""COMPUTED_VALUE"""),-1.0173465401642559)</f>
        <v>-1.01734654</v>
      </c>
      <c r="E138" s="21">
        <f>IFERROR(__xludf.DUMMYFUNCTION("""COMPUTED_VALUE"""),-0.16084962320805452)</f>
        <v>-0.1608496232</v>
      </c>
      <c r="F138" s="21">
        <f>IFERROR(__xludf.DUMMYFUNCTION("""COMPUTED_VALUE"""),-1.1781961633723104)</f>
        <v>-1.178196163</v>
      </c>
      <c r="G138" s="23">
        <f>IFERROR(__xludf.DUMMYFUNCTION("""COMPUTED_VALUE"""),0.012273428005305207)</f>
        <v>0.01227342801</v>
      </c>
      <c r="H138" s="4"/>
      <c r="I138" s="5" t="s">
        <v>2580</v>
      </c>
      <c r="J138" s="5" t="s">
        <v>2198</v>
      </c>
      <c r="K138" s="5">
        <v>49.0</v>
      </c>
      <c r="L138" s="5">
        <v>-1.01734</v>
      </c>
      <c r="M138" s="5">
        <v>-0.160856</v>
      </c>
      <c r="N138" s="5">
        <v>-1.178196</v>
      </c>
      <c r="O138" s="5">
        <v>0.012273</v>
      </c>
    </row>
    <row r="139">
      <c r="A139" s="12" t="str">
        <f>IFERROR(__xludf.DUMMYFUNCTION("""COMPUTED_VALUE"""),"Zhou Zhao")</f>
        <v>Zhou Zhao</v>
      </c>
      <c r="B139" s="13" t="str">
        <f>IFERROR(__xludf.DUMMYFUNCTION("""COMPUTED_VALUE"""),"LIA")</f>
        <v>LIA</v>
      </c>
      <c r="C139" s="14">
        <f>IFERROR(__xludf.DUMMYFUNCTION("""COMPUTED_VALUE"""),27.2)</f>
        <v>27.2</v>
      </c>
      <c r="D139" s="15">
        <f>IFERROR(__xludf.DUMMYFUNCTION("""COMPUTED_VALUE"""),-0.8124282909484731)</f>
        <v>-0.8124282909</v>
      </c>
      <c r="E139" s="15">
        <f>IFERROR(__xludf.DUMMYFUNCTION("""COMPUTED_VALUE"""),-0.38571789908940557)</f>
        <v>-0.3857178991</v>
      </c>
      <c r="F139" s="15">
        <f>IFERROR(__xludf.DUMMYFUNCTION("""COMPUTED_VALUE"""),-1.1981461900378787)</f>
        <v>-1.19814619</v>
      </c>
      <c r="G139" s="17">
        <f>IFERROR(__xludf.DUMMYFUNCTION("""COMPUTED_VALUE"""),0.0066669933742555055)</f>
        <v>0.006666993374</v>
      </c>
      <c r="H139" s="4"/>
      <c r="I139" s="5" t="s">
        <v>2583</v>
      </c>
      <c r="J139" s="5" t="s">
        <v>2205</v>
      </c>
      <c r="K139" s="5">
        <v>27.0</v>
      </c>
      <c r="L139" s="5">
        <v>-0.812425</v>
      </c>
      <c r="M139" s="5">
        <v>-0.385722</v>
      </c>
      <c r="N139" s="5">
        <v>-1.198146</v>
      </c>
      <c r="O139" s="5">
        <v>0.006667</v>
      </c>
    </row>
    <row r="140">
      <c r="A140" s="18" t="str">
        <f>IFERROR(__xludf.DUMMYFUNCTION("""COMPUTED_VALUE"""),"Yinglun Shao")</f>
        <v>Yinglun Shao</v>
      </c>
      <c r="B140" s="19" t="str">
        <f>IFERROR(__xludf.DUMMYFUNCTION("""COMPUTED_VALUE"""),"GST")</f>
        <v>GST</v>
      </c>
      <c r="C140" s="20">
        <f>IFERROR(__xludf.DUMMYFUNCTION("""COMPUTED_VALUE"""),212.2)</f>
        <v>212.2</v>
      </c>
      <c r="D140" s="21">
        <f>IFERROR(__xludf.DUMMYFUNCTION("""COMPUTED_VALUE"""),-1.3081228648084928)</f>
        <v>-1.308122865</v>
      </c>
      <c r="E140" s="21">
        <f>IFERROR(__xludf.DUMMYFUNCTION("""COMPUTED_VALUE"""),0.10389173923774764)</f>
        <v>0.1038917392</v>
      </c>
      <c r="F140" s="21">
        <f>IFERROR(__xludf.DUMMYFUNCTION("""COMPUTED_VALUE"""),-1.2042311255707452)</f>
        <v>-1.204231126</v>
      </c>
      <c r="G140" s="23">
        <f>IFERROR(__xludf.DUMMYFUNCTION("""COMPUTED_VALUE"""),0.051916366987935336)</f>
        <v>0.05191636699</v>
      </c>
      <c r="H140" s="4"/>
      <c r="I140" s="5" t="s">
        <v>2585</v>
      </c>
      <c r="J140" s="5" t="s">
        <v>2253</v>
      </c>
      <c r="K140" s="5">
        <v>212.0</v>
      </c>
      <c r="L140" s="5">
        <v>-1.308094</v>
      </c>
      <c r="M140" s="5">
        <v>0.103863</v>
      </c>
      <c r="N140" s="5">
        <v>-1.204231</v>
      </c>
      <c r="O140" s="5">
        <v>0.051916</v>
      </c>
    </row>
    <row r="141">
      <c r="A141" s="12" t="str">
        <f>IFERROR(__xludf.DUMMYFUNCTION("""COMPUTED_VALUE"""),"Cheng Jia")</f>
        <v>Cheng Jia</v>
      </c>
      <c r="B141" s="13" t="str">
        <f>IFERROR(__xludf.DUMMYFUNCTION("""COMPUTED_VALUE"""),"SHA")</f>
        <v>SHA</v>
      </c>
      <c r="C141" s="14">
        <f>IFERROR(__xludf.DUMMYFUNCTION("""COMPUTED_VALUE"""),886.0)</f>
        <v>886</v>
      </c>
      <c r="D141" s="15">
        <f>IFERROR(__xludf.DUMMYFUNCTION("""COMPUTED_VALUE"""),-1.4151582888787646)</f>
        <v>-1.415158289</v>
      </c>
      <c r="E141" s="15">
        <f>IFERROR(__xludf.DUMMYFUNCTION("""COMPUTED_VALUE"""),0.19405808911421252)</f>
        <v>0.1940580891</v>
      </c>
      <c r="F141" s="15">
        <f>IFERROR(__xludf.DUMMYFUNCTION("""COMPUTED_VALUE"""),-1.221100199764552)</f>
        <v>-1.2211002</v>
      </c>
      <c r="G141" s="17">
        <f>IFERROR(__xludf.DUMMYFUNCTION("""COMPUTED_VALUE"""),0.21045962028451562)</f>
        <v>0.2104596203</v>
      </c>
      <c r="H141" s="4"/>
      <c r="I141" s="5" t="s">
        <v>2589</v>
      </c>
      <c r="J141" s="5" t="s">
        <v>2201</v>
      </c>
      <c r="K141" s="5">
        <v>886.0</v>
      </c>
      <c r="L141" s="5">
        <v>-1.415118</v>
      </c>
      <c r="M141" s="5">
        <v>0.194018</v>
      </c>
      <c r="N141" s="5">
        <v>-1.2211</v>
      </c>
      <c r="O141" s="5">
        <v>0.21046</v>
      </c>
    </row>
    <row r="142">
      <c r="A142" s="18" t="str">
        <f>IFERROR(__xludf.DUMMYFUNCTION("""COMPUTED_VALUE"""),"Tal Co")</f>
        <v>Tal Co</v>
      </c>
      <c r="B142" s="19" t="str">
        <f>IFERROR(__xludf.DUMMYFUNCTION("""COMPUTED_VALUE"""),"XIN")</f>
        <v>XIN</v>
      </c>
      <c r="C142" s="20">
        <f>IFERROR(__xludf.DUMMYFUNCTION("""COMPUTED_VALUE"""),1313.5)</f>
        <v>1313.5</v>
      </c>
      <c r="D142" s="21">
        <f>IFERROR(__xludf.DUMMYFUNCTION("""COMPUTED_VALUE"""),-0.5530986159939008)</f>
        <v>-0.553098616</v>
      </c>
      <c r="E142" s="21">
        <f>IFERROR(__xludf.DUMMYFUNCTION("""COMPUTED_VALUE"""),-0.6829643091677008)</f>
        <v>-0.6829643092</v>
      </c>
      <c r="F142" s="21">
        <f>IFERROR(__xludf.DUMMYFUNCTION("""COMPUTED_VALUE"""),-1.2360629251616015)</f>
        <v>-1.236062925</v>
      </c>
      <c r="G142" s="23">
        <f>IFERROR(__xludf.DUMMYFUNCTION("""COMPUTED_VALUE"""),0.3030842915903099)</f>
        <v>0.3030842916</v>
      </c>
      <c r="H142" s="4"/>
      <c r="I142" s="5" t="s">
        <v>2592</v>
      </c>
      <c r="J142" s="5" t="s">
        <v>2208</v>
      </c>
      <c r="K142" s="24">
        <v>1314.0</v>
      </c>
      <c r="L142" s="5">
        <v>-0.553058</v>
      </c>
      <c r="M142" s="5">
        <v>-0.683004</v>
      </c>
      <c r="N142" s="5">
        <v>-1.236063</v>
      </c>
      <c r="O142" s="5">
        <v>0.303084</v>
      </c>
    </row>
    <row r="143">
      <c r="A143" s="12" t="str">
        <f>IFERROR(__xludf.DUMMYFUNCTION("""COMPUTED_VALUE"""),"Duo Meng")</f>
        <v>Duo Meng</v>
      </c>
      <c r="B143" s="13" t="str">
        <f>IFERROR(__xludf.DUMMYFUNCTION("""COMPUTED_VALUE"""),"DON")</f>
        <v>DON</v>
      </c>
      <c r="C143" s="14">
        <f>IFERROR(__xludf.DUMMYFUNCTION("""COMPUTED_VALUE"""),875.4)</f>
        <v>875.4</v>
      </c>
      <c r="D143" s="15">
        <f>IFERROR(__xludf.DUMMYFUNCTION("""COMPUTED_VALUE"""),0.03363742231880085)</f>
        <v>0.03363742232</v>
      </c>
      <c r="E143" s="15">
        <f>IFERROR(__xludf.DUMMYFUNCTION("""COMPUTED_VALUE"""),-1.3970375313137655)</f>
        <v>-1.397037531</v>
      </c>
      <c r="F143" s="15">
        <f>IFERROR(__xludf.DUMMYFUNCTION("""COMPUTED_VALUE"""),-1.3634001089949648)</f>
        <v>-1.363400109</v>
      </c>
      <c r="G143" s="17">
        <f>IFERROR(__xludf.DUMMYFUNCTION("""COMPUTED_VALUE"""),0.1691957512543803)</f>
        <v>0.1691957513</v>
      </c>
      <c r="H143" s="4"/>
      <c r="I143" s="5" t="s">
        <v>2596</v>
      </c>
      <c r="J143" s="5" t="s">
        <v>2217</v>
      </c>
      <c r="K143" s="5">
        <v>875.0</v>
      </c>
      <c r="L143" s="5">
        <v>0.033678</v>
      </c>
      <c r="M143" s="5">
        <v>-1.397078</v>
      </c>
      <c r="N143" s="5">
        <v>-1.3634</v>
      </c>
      <c r="O143" s="5">
        <v>0.169196</v>
      </c>
    </row>
    <row r="144">
      <c r="A144" s="18" t="str">
        <f>IFERROR(__xludf.DUMMYFUNCTION("""COMPUTED_VALUE"""),"Zhang Kai")</f>
        <v>Zhang Kai</v>
      </c>
      <c r="B144" s="19" t="str">
        <f>IFERROR(__xludf.DUMMYFUNCTION("""COMPUTED_VALUE"""),"DON")</f>
        <v>DON</v>
      </c>
      <c r="C144" s="20">
        <f>IFERROR(__xludf.DUMMYFUNCTION("""COMPUTED_VALUE"""),247.4)</f>
        <v>247.4</v>
      </c>
      <c r="D144" s="21">
        <f>IFERROR(__xludf.DUMMYFUNCTION("""COMPUTED_VALUE"""),-1.8228134515902328)</f>
        <v>-1.822813452</v>
      </c>
      <c r="E144" s="21">
        <f>IFERROR(__xludf.DUMMYFUNCTION("""COMPUTED_VALUE"""),0.435648665605854)</f>
        <v>0.4356486656</v>
      </c>
      <c r="F144" s="21">
        <f>IFERROR(__xludf.DUMMYFUNCTION("""COMPUTED_VALUE"""),-1.3871647859843788)</f>
        <v>-1.387164786</v>
      </c>
      <c r="G144" s="23">
        <f>IFERROR(__xludf.DUMMYFUNCTION("""COMPUTED_VALUE"""),0.046031990873045145)</f>
        <v>0.04603199087</v>
      </c>
      <c r="H144" s="4"/>
      <c r="I144" s="5" t="s">
        <v>2599</v>
      </c>
      <c r="J144" s="5" t="s">
        <v>2217</v>
      </c>
      <c r="K144" s="5">
        <v>247.0</v>
      </c>
      <c r="L144" s="5">
        <v>-1.82278</v>
      </c>
      <c r="M144" s="5">
        <v>0.435616</v>
      </c>
      <c r="N144" s="5">
        <v>-1.387165</v>
      </c>
      <c r="O144" s="5">
        <v>0.046032</v>
      </c>
    </row>
    <row r="145">
      <c r="A145" s="12" t="str">
        <f>IFERROR(__xludf.DUMMYFUNCTION("""COMPUTED_VALUE"""),"Zhi Luo")</f>
        <v>Zhi Luo</v>
      </c>
      <c r="B145" s="13" t="str">
        <f>IFERROR(__xludf.DUMMYFUNCTION("""COMPUTED_VALUE"""),"SDS")</f>
        <v>SDS</v>
      </c>
      <c r="C145" s="14">
        <f>IFERROR(__xludf.DUMMYFUNCTION("""COMPUTED_VALUE"""),57.0)</f>
        <v>57</v>
      </c>
      <c r="D145" s="15">
        <f>IFERROR(__xludf.DUMMYFUNCTION("""COMPUTED_VALUE"""),-0.7287744281393267)</f>
        <v>-0.7287744281</v>
      </c>
      <c r="E145" s="15">
        <f>IFERROR(__xludf.DUMMYFUNCTION("""COMPUTED_VALUE"""),-0.671007973779973)</f>
        <v>-0.6710079738</v>
      </c>
      <c r="F145" s="15">
        <f>IFERROR(__xludf.DUMMYFUNCTION("""COMPUTED_VALUE"""),-1.3997824019192997)</f>
        <v>-1.399782402</v>
      </c>
      <c r="G145" s="17">
        <f>IFERROR(__xludf.DUMMYFUNCTION("""COMPUTED_VALUE"""),0.01034374435545021)</f>
        <v>0.01034374436</v>
      </c>
      <c r="H145" s="4"/>
      <c r="I145" s="5" t="s">
        <v>2600</v>
      </c>
      <c r="J145" s="5" t="s">
        <v>2214</v>
      </c>
      <c r="K145" s="5">
        <v>57.0</v>
      </c>
      <c r="L145" s="5">
        <v>-0.728767</v>
      </c>
      <c r="M145" s="5">
        <v>-0.671016</v>
      </c>
      <c r="N145" s="5">
        <v>-1.399782</v>
      </c>
      <c r="O145" s="5">
        <v>0.010344</v>
      </c>
    </row>
    <row r="146">
      <c r="A146" s="18" t="str">
        <f>IFERROR(__xludf.DUMMYFUNCTION("""COMPUTED_VALUE"""),"Minchen Chong")</f>
        <v>Minchen Chong</v>
      </c>
      <c r="B146" s="19" t="str">
        <f>IFERROR(__xludf.DUMMYFUNCTION("""COMPUTED_VALUE"""),"LIA")</f>
        <v>LIA</v>
      </c>
      <c r="C146" s="20">
        <f>IFERROR(__xludf.DUMMYFUNCTION("""COMPUTED_VALUE"""),893.2)</f>
        <v>893.2</v>
      </c>
      <c r="D146" s="21">
        <f>IFERROR(__xludf.DUMMYFUNCTION("""COMPUTED_VALUE"""),-1.6701835316094282)</f>
        <v>-1.670183532</v>
      </c>
      <c r="E146" s="21">
        <f>IFERROR(__xludf.DUMMYFUNCTION("""COMPUTED_VALUE"""),0.2633330281007251)</f>
        <v>0.2633330281</v>
      </c>
      <c r="F146" s="21">
        <f>IFERROR(__xludf.DUMMYFUNCTION("""COMPUTED_VALUE"""),-1.406850503508703)</f>
        <v>-1.406850504</v>
      </c>
      <c r="G146" s="23">
        <f>IFERROR(__xludf.DUMMYFUNCTION("""COMPUTED_VALUE"""),0.1619491984622049)</f>
        <v>0.1619491985</v>
      </c>
      <c r="H146" s="4"/>
      <c r="I146" s="5" t="s">
        <v>2603</v>
      </c>
      <c r="J146" s="5" t="s">
        <v>2205</v>
      </c>
      <c r="K146" s="5">
        <v>893.0</v>
      </c>
      <c r="L146" s="5">
        <v>-1.670143</v>
      </c>
      <c r="M146" s="5">
        <v>0.263293</v>
      </c>
      <c r="N146" s="5">
        <v>-1.406851</v>
      </c>
      <c r="O146" s="5">
        <v>0.161949</v>
      </c>
    </row>
    <row r="147">
      <c r="A147" s="12" t="str">
        <f>IFERROR(__xludf.DUMMYFUNCTION("""COMPUTED_VALUE"""),"Jie Zhao")</f>
        <v>Jie Zhao</v>
      </c>
      <c r="B147" s="13" t="str">
        <f>IFERROR(__xludf.DUMMYFUNCTION("""COMPUTED_VALUE"""),"QIN")</f>
        <v>QIN</v>
      </c>
      <c r="C147" s="14">
        <f>IFERROR(__xludf.DUMMYFUNCTION("""COMPUTED_VALUE"""),52.9)</f>
        <v>52.9</v>
      </c>
      <c r="D147" s="15">
        <f>IFERROR(__xludf.DUMMYFUNCTION("""COMPUTED_VALUE"""),-0.7099502884821189)</f>
        <v>-0.7099502885</v>
      </c>
      <c r="E147" s="15">
        <f>IFERROR(__xludf.DUMMYFUNCTION("""COMPUTED_VALUE"""),-0.702662804641204)</f>
        <v>-0.7026628046</v>
      </c>
      <c r="F147" s="15">
        <f>IFERROR(__xludf.DUMMYFUNCTION("""COMPUTED_VALUE"""),-1.412613093123323)</f>
        <v>-1.412613093</v>
      </c>
      <c r="G147" s="17">
        <f>IFERROR(__xludf.DUMMYFUNCTION("""COMPUTED_VALUE"""),0.009563005894529993)</f>
        <v>0.009563005895</v>
      </c>
      <c r="H147" s="4"/>
      <c r="I147" s="5" t="s">
        <v>2606</v>
      </c>
      <c r="J147" s="5" t="s">
        <v>2226</v>
      </c>
      <c r="K147" s="5">
        <v>53.0</v>
      </c>
      <c r="L147" s="5">
        <v>-0.709943</v>
      </c>
      <c r="M147" s="5">
        <v>-0.70267</v>
      </c>
      <c r="N147" s="5">
        <v>-1.412613</v>
      </c>
      <c r="O147" s="5">
        <v>0.009563</v>
      </c>
    </row>
    <row r="148">
      <c r="A148" s="18" t="str">
        <f>IFERROR(__xludf.DUMMYFUNCTION("""COMPUTED_VALUE"""),"Yibo Wang")</f>
        <v>Yibo Wang</v>
      </c>
      <c r="B148" s="19" t="str">
        <f>IFERROR(__xludf.DUMMYFUNCTION("""COMPUTED_VALUE"""),"ZCB")</f>
        <v>ZCB</v>
      </c>
      <c r="C148" s="20">
        <f>IFERROR(__xludf.DUMMYFUNCTION("""COMPUTED_VALUE"""),86.2)</f>
        <v>86.2</v>
      </c>
      <c r="D148" s="21">
        <f>IFERROR(__xludf.DUMMYFUNCTION("""COMPUTED_VALUE"""),-1.720431592198366)</f>
        <v>-1.720431592</v>
      </c>
      <c r="E148" s="21">
        <f>IFERROR(__xludf.DUMMYFUNCTION("""COMPUTED_VALUE"""),0.2972657475194713)</f>
        <v>0.2972657475</v>
      </c>
      <c r="F148" s="21">
        <f>IFERROR(__xludf.DUMMYFUNCTION("""COMPUTED_VALUE"""),-1.4231658446788946)</f>
        <v>-1.423165845</v>
      </c>
      <c r="G148" s="23">
        <f>IFERROR(__xludf.DUMMYFUNCTION("""COMPUTED_VALUE"""),0.015187712319207621)</f>
        <v>0.01518771232</v>
      </c>
      <c r="H148" s="4"/>
      <c r="I148" s="5" t="s">
        <v>2609</v>
      </c>
      <c r="J148" s="5" t="s">
        <v>2223</v>
      </c>
      <c r="K148" s="5">
        <v>86.0</v>
      </c>
      <c r="L148" s="5">
        <v>-1.720651</v>
      </c>
      <c r="M148" s="5">
        <v>0.297485</v>
      </c>
      <c r="N148" s="5">
        <v>-1.423166</v>
      </c>
      <c r="O148" s="5">
        <v>0.015188</v>
      </c>
    </row>
    <row r="149">
      <c r="A149" s="12" t="str">
        <f>IFERROR(__xludf.DUMMYFUNCTION("""COMPUTED_VALUE"""),"Hanchen Luo")</f>
        <v>Hanchen Luo</v>
      </c>
      <c r="B149" s="13" t="str">
        <f>IFERROR(__xludf.DUMMYFUNCTION("""COMPUTED_VALUE"""),"SDS")</f>
        <v>SDS</v>
      </c>
      <c r="C149" s="14">
        <f>IFERROR(__xludf.DUMMYFUNCTION("""COMPUTED_VALUE"""),1319.0)</f>
        <v>1319</v>
      </c>
      <c r="D149" s="15">
        <f>IFERROR(__xludf.DUMMYFUNCTION("""COMPUTED_VALUE"""),-2.5031809938222476)</f>
        <v>-2.503180994</v>
      </c>
      <c r="E149" s="15">
        <f>IFERROR(__xludf.DUMMYFUNCTION("""COMPUTED_VALUE"""),1.079695857534557)</f>
        <v>1.079695858</v>
      </c>
      <c r="F149" s="15">
        <f>IFERROR(__xludf.DUMMYFUNCTION("""COMPUTED_VALUE"""),-1.4234851362876906)</f>
        <v>-1.423485136</v>
      </c>
      <c r="G149" s="17">
        <f>IFERROR(__xludf.DUMMYFUNCTION("""COMPUTED_VALUE"""),0.22990557493768896)</f>
        <v>0.2299055749</v>
      </c>
      <c r="H149" s="4"/>
      <c r="I149" s="5" t="s">
        <v>2612</v>
      </c>
      <c r="J149" s="5" t="s">
        <v>2214</v>
      </c>
      <c r="K149" s="24">
        <v>1319.0</v>
      </c>
      <c r="L149" s="5">
        <v>-2.503141</v>
      </c>
      <c r="M149" s="5">
        <v>1.079656</v>
      </c>
      <c r="N149" s="5">
        <v>-1.423485</v>
      </c>
      <c r="O149" s="5">
        <v>0.229906</v>
      </c>
    </row>
    <row r="150">
      <c r="A150" s="18" t="str">
        <f>IFERROR(__xludf.DUMMYFUNCTION("""COMPUTED_VALUE"""),"Xinkai Wang")</f>
        <v>Xinkai Wang</v>
      </c>
      <c r="B150" s="19" t="str">
        <f>IFERROR(__xludf.DUMMYFUNCTION("""COMPUTED_VALUE"""),"GST")</f>
        <v>GST</v>
      </c>
      <c r="C150" s="20">
        <f>IFERROR(__xludf.DUMMYFUNCTION("""COMPUTED_VALUE"""),268.8)</f>
        <v>268.8</v>
      </c>
      <c r="D150" s="21">
        <f>IFERROR(__xludf.DUMMYFUNCTION("""COMPUTED_VALUE"""),-0.6422294602698561)</f>
        <v>-0.6422294603</v>
      </c>
      <c r="E150" s="21">
        <f>IFERROR(__xludf.DUMMYFUNCTION("""COMPUTED_VALUE"""),-0.8273745922904999)</f>
        <v>-0.8273745923</v>
      </c>
      <c r="F150" s="21">
        <f>IFERROR(__xludf.DUMMYFUNCTION("""COMPUTED_VALUE"""),-1.469604052560356)</f>
        <v>-1.469604053</v>
      </c>
      <c r="G150" s="23">
        <f>IFERROR(__xludf.DUMMYFUNCTION("""COMPUTED_VALUE"""),0.04383302341272715)</f>
        <v>0.04383302341</v>
      </c>
      <c r="H150" s="4"/>
      <c r="I150" s="5" t="s">
        <v>2614</v>
      </c>
      <c r="J150" s="5" t="s">
        <v>2253</v>
      </c>
      <c r="K150" s="5">
        <v>269.0</v>
      </c>
      <c r="L150" s="5">
        <v>-0.642193</v>
      </c>
      <c r="M150" s="5">
        <v>-0.827411</v>
      </c>
      <c r="N150" s="5">
        <v>-1.469604</v>
      </c>
      <c r="O150" s="5">
        <v>0.043833</v>
      </c>
    </row>
    <row r="151">
      <c r="A151" s="12" t="str">
        <f>IFERROR(__xludf.DUMMYFUNCTION("""COMPUTED_VALUE"""),"Chen Linjian")</f>
        <v>Chen Linjian</v>
      </c>
      <c r="B151" s="13" t="str">
        <f>IFERROR(__xludf.DUMMYFUNCTION("""COMPUTED_VALUE"""),"FUJ")</f>
        <v>FUJ</v>
      </c>
      <c r="C151" s="14">
        <f>IFERROR(__xludf.DUMMYFUNCTION("""COMPUTED_VALUE"""),1374.2)</f>
        <v>1374.2</v>
      </c>
      <c r="D151" s="15">
        <f>IFERROR(__xludf.DUMMYFUNCTION("""COMPUTED_VALUE"""),0.7169896721466281)</f>
        <v>0.7169896721</v>
      </c>
      <c r="E151" s="15">
        <f>IFERROR(__xludf.DUMMYFUNCTION("""COMPUTED_VALUE"""),-2.212554098308533)</f>
        <v>-2.212554098</v>
      </c>
      <c r="F151" s="15">
        <f>IFERROR(__xludf.DUMMYFUNCTION("""COMPUTED_VALUE"""),-1.4955644261619048)</f>
        <v>-1.495564426</v>
      </c>
      <c r="G151" s="17">
        <f>IFERROR(__xludf.DUMMYFUNCTION("""COMPUTED_VALUE"""),0.210420603926205)</f>
        <v>0.2104206039</v>
      </c>
      <c r="H151" s="4"/>
      <c r="I151" s="5" t="s">
        <v>2616</v>
      </c>
      <c r="J151" s="5" t="s">
        <v>2198</v>
      </c>
      <c r="K151" s="24">
        <v>1374.0</v>
      </c>
      <c r="L151" s="5">
        <v>0.71703</v>
      </c>
      <c r="M151" s="5">
        <v>-2.212594</v>
      </c>
      <c r="N151" s="5">
        <v>-1.495564</v>
      </c>
      <c r="O151" s="5">
        <v>0.210421</v>
      </c>
    </row>
    <row r="152">
      <c r="A152" s="18" t="str">
        <f>IFERROR(__xludf.DUMMYFUNCTION("""COMPUTED_VALUE"""),"Zhenduo Leng")</f>
        <v>Zhenduo Leng</v>
      </c>
      <c r="B152" s="19" t="str">
        <f>IFERROR(__xludf.DUMMYFUNCTION("""COMPUTED_VALUE"""),"TONG")</f>
        <v>TONG</v>
      </c>
      <c r="C152" s="20">
        <f>IFERROR(__xludf.DUMMYFUNCTION("""COMPUTED_VALUE"""),31.2)</f>
        <v>31.2</v>
      </c>
      <c r="D152" s="21">
        <f>IFERROR(__xludf.DUMMYFUNCTION("""COMPUTED_VALUE"""),-1.1714433192692078)</f>
        <v>-1.171443319</v>
      </c>
      <c r="E152" s="21">
        <f>IFERROR(__xludf.DUMMYFUNCTION("""COMPUTED_VALUE"""),-0.3418071523275026)</f>
        <v>-0.3418071523</v>
      </c>
      <c r="F152" s="21">
        <f>IFERROR(__xludf.DUMMYFUNCTION("""COMPUTED_VALUE"""),-1.5132504715967103)</f>
        <v>-1.513250472</v>
      </c>
      <c r="G152" s="23">
        <f>IFERROR(__xludf.DUMMYFUNCTION("""COMPUTED_VALUE"""),0.004643988455054994)</f>
        <v>0.004643988455</v>
      </c>
      <c r="H152" s="4"/>
      <c r="I152" s="5" t="s">
        <v>2619</v>
      </c>
      <c r="J152" s="5" t="s">
        <v>2236</v>
      </c>
      <c r="K152" s="5">
        <v>31.0</v>
      </c>
      <c r="L152" s="5">
        <v>-1.171439</v>
      </c>
      <c r="M152" s="5">
        <v>-0.341811</v>
      </c>
      <c r="N152" s="5">
        <v>-1.51325</v>
      </c>
      <c r="O152" s="5">
        <v>0.004644</v>
      </c>
    </row>
    <row r="153">
      <c r="A153" s="12" t="str">
        <f>IFERROR(__xludf.DUMMYFUNCTION("""COMPUTED_VALUE"""),"Songtao Zhang")</f>
        <v>Songtao Zhang</v>
      </c>
      <c r="B153" s="13" t="str">
        <f>IFERROR(__xludf.DUMMYFUNCTION("""COMPUTED_VALUE"""),"BSD")</f>
        <v>BSD</v>
      </c>
      <c r="C153" s="14">
        <f>IFERROR(__xludf.DUMMYFUNCTION("""COMPUTED_VALUE"""),52.1)</f>
        <v>52.1</v>
      </c>
      <c r="D153" s="15">
        <f>IFERROR(__xludf.DUMMYFUNCTION("""COMPUTED_VALUE"""),-1.2401154373950707)</f>
        <v>-1.240115437</v>
      </c>
      <c r="E153" s="15">
        <f>IFERROR(__xludf.DUMMYFUNCTION("""COMPUTED_VALUE"""),-0.3203308758104304)</f>
        <v>-0.3203308758</v>
      </c>
      <c r="F153" s="15">
        <f>IFERROR(__xludf.DUMMYFUNCTION("""COMPUTED_VALUE"""),-1.560446313205501)</f>
        <v>-1.560446313</v>
      </c>
      <c r="G153" s="17">
        <f>IFERROR(__xludf.DUMMYFUNCTION("""COMPUTED_VALUE"""),0.00693799445442888)</f>
        <v>0.006937994454</v>
      </c>
      <c r="H153" s="4"/>
      <c r="I153" s="5" t="s">
        <v>2621</v>
      </c>
      <c r="J153" s="5" t="s">
        <v>2211</v>
      </c>
      <c r="K153" s="5">
        <v>52.0</v>
      </c>
      <c r="L153" s="5">
        <v>-1.240108</v>
      </c>
      <c r="M153" s="5">
        <v>-0.320338</v>
      </c>
      <c r="N153" s="5">
        <v>-1.560446</v>
      </c>
      <c r="O153" s="5">
        <v>0.006938</v>
      </c>
    </row>
    <row r="154">
      <c r="A154" s="18" t="str">
        <f>IFERROR(__xludf.DUMMYFUNCTION("""COMPUTED_VALUE"""),"Keith Langford")</f>
        <v>Keith Langford</v>
      </c>
      <c r="B154" s="19" t="str">
        <f>IFERROR(__xludf.DUMMYFUNCTION("""COMPUTED_VALUE"""),"DON")</f>
        <v>DON</v>
      </c>
      <c r="C154" s="20">
        <f>IFERROR(__xludf.DUMMYFUNCTION("""COMPUTED_VALUE"""),646.6)</f>
        <v>646.6</v>
      </c>
      <c r="D154" s="21">
        <f>IFERROR(__xludf.DUMMYFUNCTION("""COMPUTED_VALUE"""),-0.18352131985867154)</f>
        <v>-0.1835213199</v>
      </c>
      <c r="E154" s="21">
        <f>IFERROR(__xludf.DUMMYFUNCTION("""COMPUTED_VALUE"""),-1.4433666851117546)</f>
        <v>-1.443366685</v>
      </c>
      <c r="F154" s="21">
        <f>IFERROR(__xludf.DUMMYFUNCTION("""COMPUTED_VALUE"""),-1.6268880049704262)</f>
        <v>-1.626888005</v>
      </c>
      <c r="G154" s="23">
        <f>IFERROR(__xludf.DUMMYFUNCTION("""COMPUTED_VALUE"""),0.07324723958313767)</f>
        <v>0.07324723958</v>
      </c>
      <c r="H154" s="4"/>
      <c r="I154" s="5" t="s">
        <v>1709</v>
      </c>
      <c r="J154" s="5" t="s">
        <v>2217</v>
      </c>
      <c r="K154" s="5">
        <v>647.0</v>
      </c>
      <c r="L154" s="5">
        <v>-0.183481</v>
      </c>
      <c r="M154" s="5">
        <v>-1.443407</v>
      </c>
      <c r="N154" s="5">
        <v>-1.626888</v>
      </c>
      <c r="O154" s="5">
        <v>0.073247</v>
      </c>
    </row>
    <row r="155">
      <c r="A155" s="12" t="str">
        <f>IFERROR(__xludf.DUMMYFUNCTION("""COMPUTED_VALUE"""),"Jabari Brown")</f>
        <v>Jabari Brown</v>
      </c>
      <c r="B155" s="13" t="str">
        <f>IFERROR(__xludf.DUMMYFUNCTION("""COMPUTED_VALUE"""),"JIA")</f>
        <v>JIA</v>
      </c>
      <c r="C155" s="14">
        <f>IFERROR(__xludf.DUMMYFUNCTION("""COMPUTED_VALUE"""),121.0)</f>
        <v>121</v>
      </c>
      <c r="D155" s="15">
        <f>IFERROR(__xludf.DUMMYFUNCTION("""COMPUTED_VALUE"""),0.22684074332199994)</f>
        <v>0.2268407433</v>
      </c>
      <c r="E155" s="15">
        <f>IFERROR(__xludf.DUMMYFUNCTION("""COMPUTED_VALUE"""),-1.861975969673108)</f>
        <v>-1.86197597</v>
      </c>
      <c r="F155" s="15">
        <f>IFERROR(__xludf.DUMMYFUNCTION("""COMPUTED_VALUE"""),-1.635135226351108)</f>
        <v>-1.635135226</v>
      </c>
      <c r="G155" s="17">
        <f>IFERROR(__xludf.DUMMYFUNCTION("""COMPUTED_VALUE"""),0.01462449937668093)</f>
        <v>0.01462449938</v>
      </c>
      <c r="H155" s="4"/>
      <c r="I155" s="5" t="s">
        <v>2623</v>
      </c>
      <c r="J155" s="5" t="s">
        <v>2190</v>
      </c>
      <c r="K155" s="5">
        <v>121.0</v>
      </c>
      <c r="L155" s="5">
        <v>0.226857</v>
      </c>
      <c r="M155" s="5">
        <v>-1.861992</v>
      </c>
      <c r="N155" s="5">
        <v>-1.635135</v>
      </c>
      <c r="O155" s="5">
        <v>0.014624</v>
      </c>
    </row>
    <row r="156">
      <c r="A156" s="18" t="str">
        <f>IFERROR(__xludf.DUMMYFUNCTION("""COMPUTED_VALUE"""),"Azat Aersilan")</f>
        <v>Azat Aersilan</v>
      </c>
      <c r="B156" s="19" t="str">
        <f>IFERROR(__xludf.DUMMYFUNCTION("""COMPUTED_VALUE"""),"BFT")</f>
        <v>BFT</v>
      </c>
      <c r="C156" s="20">
        <f>IFERROR(__xludf.DUMMYFUNCTION("""COMPUTED_VALUE"""),800.7)</f>
        <v>800.7</v>
      </c>
      <c r="D156" s="21">
        <f>IFERROR(__xludf.DUMMYFUNCTION("""COMPUTED_VALUE"""),-0.17997153310303204)</f>
        <v>-0.1799715331</v>
      </c>
      <c r="E156" s="21">
        <f>IFERROR(__xludf.DUMMYFUNCTION("""COMPUTED_VALUE"""),-1.4777191341872427)</f>
        <v>-1.477719134</v>
      </c>
      <c r="F156" s="21">
        <f>IFERROR(__xludf.DUMMYFUNCTION("""COMPUTED_VALUE"""),-1.6576906672902747)</f>
        <v>-1.657690667</v>
      </c>
      <c r="G156" s="23">
        <f>IFERROR(__xludf.DUMMYFUNCTION("""COMPUTED_VALUE"""),0.08388316748916096)</f>
        <v>0.08388316749</v>
      </c>
      <c r="H156" s="4"/>
      <c r="I156" s="5" t="s">
        <v>2625</v>
      </c>
      <c r="J156" s="5" t="s">
        <v>2429</v>
      </c>
      <c r="K156" s="5">
        <v>801.0</v>
      </c>
      <c r="L156" s="5">
        <v>-0.179931</v>
      </c>
      <c r="M156" s="5">
        <v>-1.477759</v>
      </c>
      <c r="N156" s="5">
        <v>-1.657691</v>
      </c>
      <c r="O156" s="5">
        <v>0.083883</v>
      </c>
    </row>
    <row r="157">
      <c r="A157" s="12" t="str">
        <f>IFERROR(__xludf.DUMMYFUNCTION("""COMPUTED_VALUE"""),"Yuezhuo Gu")</f>
        <v>Yuezhuo Gu</v>
      </c>
      <c r="B157" s="13" t="str">
        <f>IFERROR(__xludf.DUMMYFUNCTION("""COMPUTED_VALUE"""),"GFD")</f>
        <v>GFD</v>
      </c>
      <c r="C157" s="14">
        <f>IFERROR(__xludf.DUMMYFUNCTION("""COMPUTED_VALUE"""),440.7)</f>
        <v>440.7</v>
      </c>
      <c r="D157" s="15">
        <f>IFERROR(__xludf.DUMMYFUNCTION("""COMPUTED_VALUE"""),0.49424406471135474)</f>
        <v>0.4942440647</v>
      </c>
      <c r="E157" s="15">
        <f>IFERROR(__xludf.DUMMYFUNCTION("""COMPUTED_VALUE"""),-2.15232775492815)</f>
        <v>-2.152327755</v>
      </c>
      <c r="F157" s="15">
        <f>IFERROR(__xludf.DUMMYFUNCTION("""COMPUTED_VALUE"""),-1.658083690216795)</f>
        <v>-1.65808369</v>
      </c>
      <c r="G157" s="17">
        <f>IFERROR(__xludf.DUMMYFUNCTION("""COMPUTED_VALUE"""),0.04547696908413287)</f>
        <v>0.04547696908</v>
      </c>
      <c r="H157" s="4"/>
      <c r="I157" s="5" t="s">
        <v>2628</v>
      </c>
      <c r="J157" s="5" t="s">
        <v>2219</v>
      </c>
      <c r="K157" s="5">
        <v>441.0</v>
      </c>
      <c r="L157" s="5">
        <v>0.494284</v>
      </c>
      <c r="M157" s="5">
        <v>-2.152368</v>
      </c>
      <c r="N157" s="5">
        <v>-1.658084</v>
      </c>
      <c r="O157" s="5">
        <v>0.045477</v>
      </c>
    </row>
    <row r="158">
      <c r="A158" s="18" t="str">
        <f>IFERROR(__xludf.DUMMYFUNCTION("""COMPUTED_VALUE"""),"Haoran Ding")</f>
        <v>Haoran Ding</v>
      </c>
      <c r="B158" s="19" t="str">
        <f>IFERROR(__xludf.DUMMYFUNCTION("""COMPUTED_VALUE"""),"QIN")</f>
        <v>QIN</v>
      </c>
      <c r="C158" s="20">
        <f>IFERROR(__xludf.DUMMYFUNCTION("""COMPUTED_VALUE"""),288.4)</f>
        <v>288.4</v>
      </c>
      <c r="D158" s="21">
        <f>IFERROR(__xludf.DUMMYFUNCTION("""COMPUTED_VALUE"""),1.7844207002799537)</f>
        <v>1.7844207</v>
      </c>
      <c r="E158" s="21">
        <f>IFERROR(__xludf.DUMMYFUNCTION("""COMPUTED_VALUE"""),-3.4869419824120547)</f>
        <v>-3.486941982</v>
      </c>
      <c r="F158" s="21">
        <f>IFERROR(__xludf.DUMMYFUNCTION("""COMPUTED_VALUE"""),-1.7025212821321007)</f>
        <v>-1.702521282</v>
      </c>
      <c r="G158" s="23">
        <f>IFERROR(__xludf.DUMMYFUNCTION("""COMPUTED_VALUE"""),0.026403752114340536)</f>
        <v>0.02640375211</v>
      </c>
      <c r="H158" s="4"/>
      <c r="I158" s="5" t="s">
        <v>2630</v>
      </c>
      <c r="J158" s="5" t="s">
        <v>2226</v>
      </c>
      <c r="K158" s="5">
        <v>288.0</v>
      </c>
      <c r="L158" s="5">
        <v>1.784459</v>
      </c>
      <c r="M158" s="5">
        <v>-3.486981</v>
      </c>
      <c r="N158" s="5">
        <v>-1.702521</v>
      </c>
      <c r="O158" s="5">
        <v>0.026404</v>
      </c>
    </row>
    <row r="159">
      <c r="A159" s="12" t="str">
        <f>IFERROR(__xludf.DUMMYFUNCTION("""COMPUTED_VALUE"""),"Li Keqi")</f>
        <v>Li Keqi</v>
      </c>
      <c r="B159" s="13" t="str">
        <f>IFERROR(__xludf.DUMMYFUNCTION("""COMPUTED_VALUE"""),"SICH")</f>
        <v>SICH</v>
      </c>
      <c r="C159" s="14">
        <f>IFERROR(__xludf.DUMMYFUNCTION("""COMPUTED_VALUE"""),126.8)</f>
        <v>126.8</v>
      </c>
      <c r="D159" s="15">
        <f>IFERROR(__xludf.DUMMYFUNCTION("""COMPUTED_VALUE"""),-1.6495963281360841)</f>
        <v>-1.649596328</v>
      </c>
      <c r="E159" s="15">
        <f>IFERROR(__xludf.DUMMYFUNCTION("""COMPUTED_VALUE"""),-0.06228709094224216)</f>
        <v>-0.06228709094</v>
      </c>
      <c r="F159" s="15">
        <f>IFERROR(__xludf.DUMMYFUNCTION("""COMPUTED_VALUE"""),-1.7118834190783263)</f>
        <v>-1.711883419</v>
      </c>
      <c r="G159" s="17">
        <f>IFERROR(__xludf.DUMMYFUNCTION("""COMPUTED_VALUE"""),0.012544207415603468)</f>
        <v>0.01254420742</v>
      </c>
      <c r="H159" s="4"/>
      <c r="I159" s="5" t="s">
        <v>2633</v>
      </c>
      <c r="J159" s="5" t="s">
        <v>2186</v>
      </c>
      <c r="K159" s="5">
        <v>127.0</v>
      </c>
      <c r="L159" s="5">
        <v>-1.649579</v>
      </c>
      <c r="M159" s="5">
        <v>-0.062304</v>
      </c>
      <c r="N159" s="5">
        <v>-1.711883</v>
      </c>
      <c r="O159" s="5">
        <v>0.012544</v>
      </c>
    </row>
    <row r="160">
      <c r="A160" s="18" t="str">
        <f>IFERROR(__xludf.DUMMYFUNCTION("""COMPUTED_VALUE"""),"Xudong Luo")</f>
        <v>Xudong Luo</v>
      </c>
      <c r="B160" s="19" t="str">
        <f>IFERROR(__xludf.DUMMYFUNCTION("""COMPUTED_VALUE"""),"GFD")</f>
        <v>GFD</v>
      </c>
      <c r="C160" s="20">
        <f>IFERROR(__xludf.DUMMYFUNCTION("""COMPUTED_VALUE"""),1078.1)</f>
        <v>1078.1</v>
      </c>
      <c r="D160" s="21">
        <f>IFERROR(__xludf.DUMMYFUNCTION("""COMPUTED_VALUE"""),-0.977824911004618)</f>
        <v>-0.977824911</v>
      </c>
      <c r="E160" s="21">
        <f>IFERROR(__xludf.DUMMYFUNCTION("""COMPUTED_VALUE"""),-0.7528506430541617)</f>
        <v>-0.7528506431</v>
      </c>
      <c r="F160" s="21">
        <f>IFERROR(__xludf.DUMMYFUNCTION("""COMPUTED_VALUE"""),-1.7306755540587797)</f>
        <v>-1.730675554</v>
      </c>
      <c r="G160" s="23">
        <f>IFERROR(__xludf.DUMMYFUNCTION("""COMPUTED_VALUE"""),0.08763214969078047)</f>
        <v>0.08763214969</v>
      </c>
      <c r="H160" s="4"/>
      <c r="I160" s="5" t="s">
        <v>2635</v>
      </c>
      <c r="J160" s="5" t="s">
        <v>2219</v>
      </c>
      <c r="K160" s="24">
        <v>1078.0</v>
      </c>
      <c r="L160" s="5">
        <v>-0.977785</v>
      </c>
      <c r="M160" s="5">
        <v>-0.752891</v>
      </c>
      <c r="N160" s="5">
        <v>-1.730676</v>
      </c>
      <c r="O160" s="5">
        <v>0.087632</v>
      </c>
    </row>
    <row r="161">
      <c r="A161" s="12" t="str">
        <f>IFERROR(__xludf.DUMMYFUNCTION("""COMPUTED_VALUE"""),"Hongbo Liu")</f>
        <v>Hongbo Liu</v>
      </c>
      <c r="B161" s="13" t="str">
        <f>IFERROR(__xludf.DUMMYFUNCTION("""COMPUTED_VALUE"""),"QIN")</f>
        <v>QIN</v>
      </c>
      <c r="C161" s="14">
        <f>IFERROR(__xludf.DUMMYFUNCTION("""COMPUTED_VALUE"""),51.7)</f>
        <v>51.7</v>
      </c>
      <c r="D161" s="15">
        <f>IFERROR(__xludf.DUMMYFUNCTION("""COMPUTED_VALUE"""),-1.108956809208581)</f>
        <v>-1.108956809</v>
      </c>
      <c r="E161" s="15">
        <f>IFERROR(__xludf.DUMMYFUNCTION("""COMPUTED_VALUE"""),-0.6902049999518005)</f>
        <v>-0.690205</v>
      </c>
      <c r="F161" s="15">
        <f>IFERROR(__xludf.DUMMYFUNCTION("""COMPUTED_VALUE"""),-1.7991618091603816)</f>
        <v>-1.799161809</v>
      </c>
      <c r="G161" s="17">
        <f>IFERROR(__xludf.DUMMYFUNCTION("""COMPUTED_VALUE"""),0.0031955920601696793)</f>
        <v>0.00319559206</v>
      </c>
      <c r="H161" s="4"/>
      <c r="I161" s="5" t="s">
        <v>2637</v>
      </c>
      <c r="J161" s="5" t="s">
        <v>2226</v>
      </c>
      <c r="K161" s="5">
        <v>52.0</v>
      </c>
      <c r="L161" s="5">
        <v>-1.10895</v>
      </c>
      <c r="M161" s="5">
        <v>-0.690212</v>
      </c>
      <c r="N161" s="5">
        <v>-1.799162</v>
      </c>
      <c r="O161" s="5">
        <v>0.003196</v>
      </c>
    </row>
    <row r="162">
      <c r="A162" s="18" t="str">
        <f>IFERROR(__xludf.DUMMYFUNCTION("""COMPUTED_VALUE"""),"Xiang Tianyu")</f>
        <v>Xiang Tianyu</v>
      </c>
      <c r="B162" s="19" t="str">
        <f>IFERROR(__xludf.DUMMYFUNCTION("""COMPUTED_VALUE"""),"BFT")</f>
        <v>BFT</v>
      </c>
      <c r="C162" s="20">
        <f>IFERROR(__xludf.DUMMYFUNCTION("""COMPUTED_VALUE"""),1024.6)</f>
        <v>1024.6</v>
      </c>
      <c r="D162" s="21">
        <f>IFERROR(__xludf.DUMMYFUNCTION("""COMPUTED_VALUE"""),-2.1300236324356967)</f>
        <v>-2.130023632</v>
      </c>
      <c r="E162" s="21">
        <f>IFERROR(__xludf.DUMMYFUNCTION("""COMPUTED_VALUE"""),0.3001276791769043)</f>
        <v>0.3001276792</v>
      </c>
      <c r="F162" s="21">
        <f>IFERROR(__xludf.DUMMYFUNCTION("""COMPUTED_VALUE"""),-1.8298959532587924)</f>
        <v>-1.829895953</v>
      </c>
      <c r="G162" s="23">
        <f>IFERROR(__xludf.DUMMYFUNCTION("""COMPUTED_VALUE"""),0.053340274955349924)</f>
        <v>0.05334027496</v>
      </c>
      <c r="H162" s="4"/>
      <c r="I162" s="5" t="s">
        <v>2639</v>
      </c>
      <c r="J162" s="5" t="s">
        <v>2429</v>
      </c>
      <c r="K162" s="24">
        <v>1025.0</v>
      </c>
      <c r="L162" s="5">
        <v>-2.129983</v>
      </c>
      <c r="M162" s="5">
        <v>0.300088</v>
      </c>
      <c r="N162" s="5">
        <v>-1.829896</v>
      </c>
      <c r="O162" s="5">
        <v>0.05334</v>
      </c>
    </row>
    <row r="163">
      <c r="A163" s="12" t="str">
        <f>IFERROR(__xludf.DUMMYFUNCTION("""COMPUTED_VALUE"""),"Zhu Rongzhen")</f>
        <v>Zhu Rongzhen</v>
      </c>
      <c r="B163" s="13" t="str">
        <f>IFERROR(__xludf.DUMMYFUNCTION("""COMPUTED_VALUE"""),"SHA")</f>
        <v>SHA</v>
      </c>
      <c r="C163" s="14">
        <f>IFERROR(__xludf.DUMMYFUNCTION("""COMPUTED_VALUE"""),47.8)</f>
        <v>47.8</v>
      </c>
      <c r="D163" s="15">
        <f>IFERROR(__xludf.DUMMYFUNCTION("""COMPUTED_VALUE"""),-1.0170088021614205)</f>
        <v>-1.017008802</v>
      </c>
      <c r="E163" s="15">
        <f>IFERROR(__xludf.DUMMYFUNCTION("""COMPUTED_VALUE"""),-0.8662895681277236)</f>
        <v>-0.8662895681</v>
      </c>
      <c r="F163" s="15">
        <f>IFERROR(__xludf.DUMMYFUNCTION("""COMPUTED_VALUE"""),-1.8832983702891442)</f>
        <v>-1.88329837</v>
      </c>
      <c r="G163" s="17">
        <f>IFERROR(__xludf.DUMMYFUNCTION("""COMPUTED_VALUE"""),0.0017012114053739503)</f>
        <v>0.001701211405</v>
      </c>
      <c r="H163" s="4"/>
      <c r="I163" s="5" t="s">
        <v>2642</v>
      </c>
      <c r="J163" s="5" t="s">
        <v>2201</v>
      </c>
      <c r="K163" s="5">
        <v>48.0</v>
      </c>
      <c r="L163" s="5">
        <v>-1.017002</v>
      </c>
      <c r="M163" s="5">
        <v>-0.866296</v>
      </c>
      <c r="N163" s="5">
        <v>-1.883298</v>
      </c>
      <c r="O163" s="5">
        <v>0.001701</v>
      </c>
    </row>
    <row r="164">
      <c r="A164" s="18" t="str">
        <f>IFERROR(__xludf.DUMMYFUNCTION("""COMPUTED_VALUE"""),"Yuanyu Li")</f>
        <v>Yuanyu Li</v>
      </c>
      <c r="B164" s="19" t="str">
        <f>IFERROR(__xludf.DUMMYFUNCTION("""COMPUTED_VALUE"""),"JIA")</f>
        <v>JIA</v>
      </c>
      <c r="C164" s="20">
        <f>IFERROR(__xludf.DUMMYFUNCTION("""COMPUTED_VALUE"""),907.9)</f>
        <v>907.9</v>
      </c>
      <c r="D164" s="21">
        <f>IFERROR(__xludf.DUMMYFUNCTION("""COMPUTED_VALUE"""),-2.4911586091182327)</f>
        <v>-2.491158609</v>
      </c>
      <c r="E164" s="21">
        <f>IFERROR(__xludf.DUMMYFUNCTION("""COMPUTED_VALUE"""),0.5979533538855957)</f>
        <v>0.5979533539</v>
      </c>
      <c r="F164" s="21">
        <f>IFERROR(__xludf.DUMMYFUNCTION("""COMPUTED_VALUE"""),-1.893205255232637)</f>
        <v>-1.893205255</v>
      </c>
      <c r="G164" s="23">
        <f>IFERROR(__xludf.DUMMYFUNCTION("""COMPUTED_VALUE"""),0.0321182297490275)</f>
        <v>0.03211822975</v>
      </c>
      <c r="H164" s="4"/>
      <c r="I164" s="5" t="s">
        <v>2644</v>
      </c>
      <c r="J164" s="5" t="s">
        <v>2190</v>
      </c>
      <c r="K164" s="24">
        <v>908.0</v>
      </c>
      <c r="L164" s="5">
        <v>-2.491118</v>
      </c>
      <c r="M164" s="5">
        <v>0.597913</v>
      </c>
      <c r="N164" s="5">
        <v>-1.893205</v>
      </c>
      <c r="O164" s="5">
        <v>0.032118</v>
      </c>
    </row>
    <row r="165">
      <c r="A165" s="12" t="str">
        <f>IFERROR(__xludf.DUMMYFUNCTION("""COMPUTED_VALUE"""),"Hang Zhao")</f>
        <v>Hang Zhao</v>
      </c>
      <c r="B165" s="13" t="str">
        <f>IFERROR(__xludf.DUMMYFUNCTION("""COMPUTED_VALUE"""),"SICH")</f>
        <v>SICH</v>
      </c>
      <c r="C165" s="14">
        <f>IFERROR(__xludf.DUMMYFUNCTION("""COMPUTED_VALUE"""),44.4)</f>
        <v>44.4</v>
      </c>
      <c r="D165" s="15">
        <f>IFERROR(__xludf.DUMMYFUNCTION("""COMPUTED_VALUE"""),-1.363986079864657)</f>
        <v>-1.36398608</v>
      </c>
      <c r="E165" s="15">
        <f>IFERROR(__xludf.DUMMYFUNCTION("""COMPUTED_VALUE"""),-0.5375175618371346)</f>
        <v>-0.5375175618</v>
      </c>
      <c r="F165" s="15">
        <f>IFERROR(__xludf.DUMMYFUNCTION("""COMPUTED_VALUE"""),-1.9015036417017916)</f>
        <v>-1.901503642</v>
      </c>
      <c r="G165" s="17">
        <f>IFERROR(__xludf.DUMMYFUNCTION("""COMPUTED_VALUE"""),0.001501615920750971)</f>
        <v>0.001501615921</v>
      </c>
      <c r="H165" s="4"/>
      <c r="I165" s="5" t="s">
        <v>2646</v>
      </c>
      <c r="J165" s="5" t="s">
        <v>2186</v>
      </c>
      <c r="K165" s="5">
        <v>44.0</v>
      </c>
      <c r="L165" s="5">
        <v>-1.36398</v>
      </c>
      <c r="M165" s="5">
        <v>-0.537524</v>
      </c>
      <c r="N165" s="5">
        <v>-1.901504</v>
      </c>
      <c r="O165" s="5">
        <v>0.001502</v>
      </c>
    </row>
    <row r="166">
      <c r="A166" s="18" t="str">
        <f>IFERROR(__xludf.DUMMYFUNCTION("""COMPUTED_VALUE"""),"Zijie Shen")</f>
        <v>Zijie Shen</v>
      </c>
      <c r="B166" s="19" t="str">
        <f>IFERROR(__xludf.DUMMYFUNCTION("""COMPUTED_VALUE"""),"DON")</f>
        <v>DON</v>
      </c>
      <c r="C166" s="20">
        <f>IFERROR(__xludf.DUMMYFUNCTION("""COMPUTED_VALUE"""),704.6)</f>
        <v>704.6</v>
      </c>
      <c r="D166" s="21">
        <f>IFERROR(__xludf.DUMMYFUNCTION("""COMPUTED_VALUE"""),-4.025268642103964)</f>
        <v>-4.025268642</v>
      </c>
      <c r="E166" s="21">
        <f>IFERROR(__xludf.DUMMYFUNCTION("""COMPUTED_VALUE"""),2.0913979221255063)</f>
        <v>2.091397922</v>
      </c>
      <c r="F166" s="21">
        <f>IFERROR(__xludf.DUMMYFUNCTION("""COMPUTED_VALUE"""),-1.9338707199784582)</f>
        <v>-1.93387072</v>
      </c>
      <c r="G166" s="23">
        <f>IFERROR(__xludf.DUMMYFUNCTION("""COMPUTED_VALUE"""),0.014146623134802437)</f>
        <v>0.01414662313</v>
      </c>
      <c r="H166" s="4"/>
      <c r="I166" s="5" t="s">
        <v>2649</v>
      </c>
      <c r="J166" s="5" t="s">
        <v>2217</v>
      </c>
      <c r="K166" s="5">
        <v>705.0</v>
      </c>
      <c r="L166" s="5">
        <v>-4.025228</v>
      </c>
      <c r="M166" s="5">
        <v>2.091358</v>
      </c>
      <c r="N166" s="5">
        <v>-1.933871</v>
      </c>
      <c r="O166" s="5">
        <v>0.014147</v>
      </c>
    </row>
    <row r="167">
      <c r="A167" s="12" t="str">
        <f>IFERROR(__xludf.DUMMYFUNCTION("""COMPUTED_VALUE"""),"Derrick Williams")</f>
        <v>Derrick Williams</v>
      </c>
      <c r="B167" s="13" t="str">
        <f>IFERROR(__xludf.DUMMYFUNCTION("""COMPUTED_VALUE"""),"TIA")</f>
        <v>TIA</v>
      </c>
      <c r="C167" s="14">
        <f>IFERROR(__xludf.DUMMYFUNCTION("""COMPUTED_VALUE"""),451.3)</f>
        <v>451.3</v>
      </c>
      <c r="D167" s="15">
        <f>IFERROR(__xludf.DUMMYFUNCTION("""COMPUTED_VALUE"""),0.08903499227875988)</f>
        <v>0.08903499228</v>
      </c>
      <c r="E167" s="15">
        <f>IFERROR(__xludf.DUMMYFUNCTION("""COMPUTED_VALUE"""),-2.0412415558780075)</f>
        <v>-2.041241556</v>
      </c>
      <c r="F167" s="15">
        <f>IFERROR(__xludf.DUMMYFUNCTION("""COMPUTED_VALUE"""),-1.9522065635992476)</f>
        <v>-1.952206564</v>
      </c>
      <c r="G167" s="17">
        <f>IFERROR(__xludf.DUMMYFUNCTION("""COMPUTED_VALUE"""),0.0062614014898411)</f>
        <v>0.00626140149</v>
      </c>
      <c r="H167" s="4"/>
      <c r="I167" s="5" t="s">
        <v>2651</v>
      </c>
      <c r="J167" s="5" t="s">
        <v>2229</v>
      </c>
      <c r="K167" s="5">
        <v>451.0</v>
      </c>
      <c r="L167" s="5">
        <v>0.089075</v>
      </c>
      <c r="M167" s="5">
        <v>-2.041282</v>
      </c>
      <c r="N167" s="5">
        <v>-1.952207</v>
      </c>
      <c r="O167" s="5">
        <v>0.006261</v>
      </c>
    </row>
    <row r="168">
      <c r="A168" s="18" t="str">
        <f>IFERROR(__xludf.DUMMYFUNCTION("""COMPUTED_VALUE"""),"Shawn Long")</f>
        <v>Shawn Long</v>
      </c>
      <c r="B168" s="19" t="str">
        <f>IFERROR(__xludf.DUMMYFUNCTION("""COMPUTED_VALUE"""),"XIN")</f>
        <v>XIN</v>
      </c>
      <c r="C168" s="20">
        <f>IFERROR(__xludf.DUMMYFUNCTION("""COMPUTED_VALUE"""),126.0)</f>
        <v>126</v>
      </c>
      <c r="D168" s="21">
        <f>IFERROR(__xludf.DUMMYFUNCTION("""COMPUTED_VALUE"""),-1.343516091988189)</f>
        <v>-1.343516092</v>
      </c>
      <c r="E168" s="21">
        <f>IFERROR(__xludf.DUMMYFUNCTION("""COMPUTED_VALUE"""),-0.6133514557736539)</f>
        <v>-0.6133514558</v>
      </c>
      <c r="F168" s="21">
        <f>IFERROR(__xludf.DUMMYFUNCTION("""COMPUTED_VALUE"""),-1.956867547761843)</f>
        <v>-1.956867548</v>
      </c>
      <c r="G168" s="23">
        <f>IFERROR(__xludf.DUMMYFUNCTION("""COMPUTED_VALUE"""),0.0016415361785701494)</f>
        <v>0.001641536179</v>
      </c>
      <c r="H168" s="4"/>
      <c r="I168" s="5" t="s">
        <v>2654</v>
      </c>
      <c r="J168" s="5" t="s">
        <v>2208</v>
      </c>
      <c r="K168" s="5">
        <v>126.0</v>
      </c>
      <c r="L168" s="5">
        <v>-1.343499</v>
      </c>
      <c r="M168" s="5">
        <v>-0.613368</v>
      </c>
      <c r="N168" s="5">
        <v>-1.956868</v>
      </c>
      <c r="O168" s="5">
        <v>0.001642</v>
      </c>
    </row>
    <row r="169">
      <c r="A169" s="12" t="str">
        <f>IFERROR(__xludf.DUMMYFUNCTION("""COMPUTED_VALUE"""),"Fanri Zeng")</f>
        <v>Fanri Zeng</v>
      </c>
      <c r="B169" s="13" t="str">
        <f>IFERROR(__xludf.DUMMYFUNCTION("""COMPUTED_VALUE"""),"GST")</f>
        <v>GST</v>
      </c>
      <c r="C169" s="14">
        <f>IFERROR(__xludf.DUMMYFUNCTION("""COMPUTED_VALUE"""),94.2)</f>
        <v>94.2</v>
      </c>
      <c r="D169" s="15">
        <f>IFERROR(__xludf.DUMMYFUNCTION("""COMPUTED_VALUE"""),-1.5017242598967315)</f>
        <v>-1.50172426</v>
      </c>
      <c r="E169" s="15">
        <f>IFERROR(__xludf.DUMMYFUNCTION("""COMPUTED_VALUE"""),-0.5034091618305037)</f>
        <v>-0.5034091618</v>
      </c>
      <c r="F169" s="15">
        <f>IFERROR(__xludf.DUMMYFUNCTION("""COMPUTED_VALUE"""),-2.005133421727235)</f>
        <v>-2.005133422</v>
      </c>
      <c r="G169" s="17">
        <f>IFERROR(__xludf.DUMMYFUNCTION("""COMPUTED_VALUE"""),-1.4867221545353688E-4)</f>
        <v>-0.0001486722155</v>
      </c>
      <c r="H169" s="4"/>
      <c r="I169" s="5" t="s">
        <v>2657</v>
      </c>
      <c r="J169" s="5" t="s">
        <v>2253</v>
      </c>
      <c r="K169" s="5">
        <v>94.0</v>
      </c>
      <c r="L169" s="5">
        <v>-1.501712</v>
      </c>
      <c r="M169" s="5">
        <v>-0.503422</v>
      </c>
      <c r="N169" s="5">
        <v>-2.005133</v>
      </c>
      <c r="O169" s="5">
        <v>-1.49E-4</v>
      </c>
    </row>
    <row r="170">
      <c r="A170" s="18" t="str">
        <f>IFERROR(__xludf.DUMMYFUNCTION("""COMPUTED_VALUE"""),"Taruike Jianiyou")</f>
        <v>Taruike Jianiyou</v>
      </c>
      <c r="B170" s="19" t="str">
        <f>IFERROR(__xludf.DUMMYFUNCTION("""COMPUTED_VALUE"""),"BSD")</f>
        <v>BSD</v>
      </c>
      <c r="C170" s="20">
        <f>IFERROR(__xludf.DUMMYFUNCTION("""COMPUTED_VALUE"""),192.7)</f>
        <v>192.7</v>
      </c>
      <c r="D170" s="21">
        <f>IFERROR(__xludf.DUMMYFUNCTION("""COMPUTED_VALUE"""),-1.5943077296771118)</f>
        <v>-1.59430773</v>
      </c>
      <c r="E170" s="21">
        <f>IFERROR(__xludf.DUMMYFUNCTION("""COMPUTED_VALUE"""),-0.4271557371515211)</f>
        <v>-0.4271557372</v>
      </c>
      <c r="F170" s="21">
        <f>IFERROR(__xludf.DUMMYFUNCTION("""COMPUTED_VALUE"""),-2.021463466828633)</f>
        <v>-2.021463467</v>
      </c>
      <c r="G170" s="23">
        <f>IFERROR(__xludf.DUMMYFUNCTION("""COMPUTED_VALUE"""),-0.0012530427388362186)</f>
        <v>-0.001253042739</v>
      </c>
      <c r="H170" s="4"/>
      <c r="I170" s="5" t="s">
        <v>2659</v>
      </c>
      <c r="J170" s="5" t="s">
        <v>2211</v>
      </c>
      <c r="K170" s="5">
        <v>193.0</v>
      </c>
      <c r="L170" s="5">
        <v>-1.594282</v>
      </c>
      <c r="M170" s="5">
        <v>-0.427182</v>
      </c>
      <c r="N170" s="5">
        <v>-2.021463</v>
      </c>
      <c r="O170" s="5">
        <v>-0.001253</v>
      </c>
    </row>
    <row r="171">
      <c r="A171" s="12" t="str">
        <f>IFERROR(__xludf.DUMMYFUNCTION("""COMPUTED_VALUE"""),"Fei Cao")</f>
        <v>Fei Cao</v>
      </c>
      <c r="B171" s="13" t="str">
        <f>IFERROR(__xludf.DUMMYFUNCTION("""COMPUTED_VALUE"""),"JIA")</f>
        <v>JIA</v>
      </c>
      <c r="C171" s="14">
        <f>IFERROR(__xludf.DUMMYFUNCTION("""COMPUTED_VALUE"""),916.5)</f>
        <v>916.5</v>
      </c>
      <c r="D171" s="15">
        <f>IFERROR(__xludf.DUMMYFUNCTION("""COMPUTED_VALUE"""),-2.1804417890112773)</f>
        <v>-2.180441789</v>
      </c>
      <c r="E171" s="15">
        <f>IFERROR(__xludf.DUMMYFUNCTION("""COMPUTED_VALUE"""),0.13993247613824167)</f>
        <v>0.1399324761</v>
      </c>
      <c r="F171" s="15">
        <f>IFERROR(__xludf.DUMMYFUNCTION("""COMPUTED_VALUE"""),-2.0405093128730356)</f>
        <v>-2.040509313</v>
      </c>
      <c r="G171" s="17">
        <f>IFERROR(__xludf.DUMMYFUNCTION("""COMPUTED_VALUE"""),-0.01229846892439372)</f>
        <v>-0.01229846892</v>
      </c>
      <c r="H171" s="4"/>
      <c r="I171" s="5" t="s">
        <v>2662</v>
      </c>
      <c r="J171" s="5" t="s">
        <v>2190</v>
      </c>
      <c r="K171" s="5">
        <v>917.0</v>
      </c>
      <c r="L171" s="5">
        <v>-2.180402</v>
      </c>
      <c r="M171" s="5">
        <v>0.139892</v>
      </c>
      <c r="N171" s="5">
        <v>-2.040509</v>
      </c>
      <c r="O171" s="5">
        <v>-0.012298</v>
      </c>
    </row>
    <row r="172">
      <c r="A172" s="18" t="str">
        <f>IFERROR(__xludf.DUMMYFUNCTION("""COMPUTED_VALUE"""),"Zhun Zheng")</f>
        <v>Zhun Zheng</v>
      </c>
      <c r="B172" s="19" t="str">
        <f>IFERROR(__xludf.DUMMYFUNCTION("""COMPUTED_VALUE"""),"GFD")</f>
        <v>GFD</v>
      </c>
      <c r="C172" s="20">
        <f>IFERROR(__xludf.DUMMYFUNCTION("""COMPUTED_VALUE"""),468.6)</f>
        <v>468.6</v>
      </c>
      <c r="D172" s="21">
        <f>IFERROR(__xludf.DUMMYFUNCTION("""COMPUTED_VALUE"""),-0.18321256621341786)</f>
        <v>-0.1832125662</v>
      </c>
      <c r="E172" s="21">
        <f>IFERROR(__xludf.DUMMYFUNCTION("""COMPUTED_VALUE"""),-1.899412664083252)</f>
        <v>-1.899412664</v>
      </c>
      <c r="F172" s="21">
        <f>IFERROR(__xludf.DUMMYFUNCTION("""COMPUTED_VALUE"""),-2.08262523029667)</f>
        <v>-2.08262523</v>
      </c>
      <c r="G172" s="23">
        <f>IFERROR(__xludf.DUMMYFUNCTION("""COMPUTED_VALUE"""),-0.011685400762721315)</f>
        <v>-0.01168540076</v>
      </c>
      <c r="H172" s="4"/>
      <c r="I172" s="5" t="s">
        <v>2664</v>
      </c>
      <c r="J172" s="5" t="s">
        <v>2219</v>
      </c>
      <c r="K172" s="5">
        <v>469.0</v>
      </c>
      <c r="L172" s="5">
        <v>-0.183172</v>
      </c>
      <c r="M172" s="5">
        <v>-1.899453</v>
      </c>
      <c r="N172" s="5">
        <v>-2.082625</v>
      </c>
      <c r="O172" s="5">
        <v>-0.011685</v>
      </c>
    </row>
    <row r="173">
      <c r="A173" s="12" t="str">
        <f>IFERROR(__xludf.DUMMYFUNCTION("""COMPUTED_VALUE"""),"Qingpeng Zhang")</f>
        <v>Qingpeng Zhang</v>
      </c>
      <c r="B173" s="13" t="str">
        <f>IFERROR(__xludf.DUMMYFUNCTION("""COMPUTED_VALUE"""),"SHA")</f>
        <v>SHA</v>
      </c>
      <c r="C173" s="14">
        <f>IFERROR(__xludf.DUMMYFUNCTION("""COMPUTED_VALUE"""),520.7)</f>
        <v>520.7</v>
      </c>
      <c r="D173" s="15">
        <f>IFERROR(__xludf.DUMMYFUNCTION("""COMPUTED_VALUE"""),-0.44952395463311695)</f>
        <v>-0.4495239546</v>
      </c>
      <c r="E173" s="15">
        <f>IFERROR(__xludf.DUMMYFUNCTION("""COMPUTED_VALUE"""),-1.6361229545174527)</f>
        <v>-1.636122955</v>
      </c>
      <c r="F173" s="15">
        <f>IFERROR(__xludf.DUMMYFUNCTION("""COMPUTED_VALUE"""),-2.0856469091505696)</f>
        <v>-2.085646909</v>
      </c>
      <c r="G173" s="17">
        <f>IFERROR(__xludf.DUMMYFUNCTION("""COMPUTED_VALUE"""),-0.013600433161510606)</f>
        <v>-0.01360043316</v>
      </c>
      <c r="H173" s="4"/>
      <c r="I173" s="5" t="s">
        <v>2666</v>
      </c>
      <c r="J173" s="5" t="s">
        <v>2201</v>
      </c>
      <c r="K173" s="5">
        <v>521.0</v>
      </c>
      <c r="L173" s="5">
        <v>-0.449484</v>
      </c>
      <c r="M173" s="5">
        <v>-1.636163</v>
      </c>
      <c r="N173" s="5">
        <v>-2.085647</v>
      </c>
      <c r="O173" s="5">
        <v>-0.0136</v>
      </c>
    </row>
    <row r="174">
      <c r="A174" s="18" t="str">
        <f>IFERROR(__xludf.DUMMYFUNCTION("""COMPUTED_VALUE"""),"Wen-Ting Tseng")</f>
        <v>Wen-Ting Tseng</v>
      </c>
      <c r="B174" s="19" t="str">
        <f>IFERROR(__xludf.DUMMYFUNCTION("""COMPUTED_VALUE"""),"SDS")</f>
        <v>SDS</v>
      </c>
      <c r="C174" s="20">
        <f>IFERROR(__xludf.DUMMYFUNCTION("""COMPUTED_VALUE"""),747.3)</f>
        <v>747.3</v>
      </c>
      <c r="D174" s="21">
        <f>IFERROR(__xludf.DUMMYFUNCTION("""COMPUTED_VALUE"""),-3.4737871507180724)</f>
        <v>-3.473787151</v>
      </c>
      <c r="E174" s="21">
        <f>IFERROR(__xludf.DUMMYFUNCTION("""COMPUTED_VALUE"""),1.3864706380832477)</f>
        <v>1.386470638</v>
      </c>
      <c r="F174" s="21">
        <f>IFERROR(__xludf.DUMMYFUNCTION("""COMPUTED_VALUE"""),-2.0873165126348248)</f>
        <v>-2.087316513</v>
      </c>
      <c r="G174" s="23">
        <f>IFERROR(__xludf.DUMMYFUNCTION("""COMPUTED_VALUE"""),-0.019728113707534155)</f>
        <v>-0.01972811371</v>
      </c>
      <c r="H174" s="4"/>
      <c r="I174" s="5" t="s">
        <v>2668</v>
      </c>
      <c r="J174" s="5" t="s">
        <v>2214</v>
      </c>
      <c r="K174" s="5">
        <v>747.0</v>
      </c>
      <c r="L174" s="5">
        <v>-3.473747</v>
      </c>
      <c r="M174" s="5">
        <v>1.38643</v>
      </c>
      <c r="N174" s="5">
        <v>-2.087317</v>
      </c>
      <c r="O174" s="5">
        <v>-0.019728</v>
      </c>
    </row>
    <row r="175">
      <c r="A175" s="12" t="str">
        <f>IFERROR(__xludf.DUMMYFUNCTION("""COMPUTED_VALUE"""),"Guo Yifei")</f>
        <v>Guo Yifei</v>
      </c>
      <c r="B175" s="13" t="str">
        <f>IFERROR(__xludf.DUMMYFUNCTION("""COMPUTED_VALUE"""),"TONG")</f>
        <v>TONG</v>
      </c>
      <c r="C175" s="14">
        <f>IFERROR(__xludf.DUMMYFUNCTION("""COMPUTED_VALUE"""),1057.1)</f>
        <v>1057.1</v>
      </c>
      <c r="D175" s="15">
        <f>IFERROR(__xludf.DUMMYFUNCTION("""COMPUTED_VALUE"""),-0.8716244407622494)</f>
        <v>-0.8716244408</v>
      </c>
      <c r="E175" s="15">
        <f>IFERROR(__xludf.DUMMYFUNCTION("""COMPUTED_VALUE"""),-1.2361867702197813)</f>
        <v>-1.23618677</v>
      </c>
      <c r="F175" s="15">
        <f>IFERROR(__xludf.DUMMYFUNCTION("""COMPUTED_VALUE"""),-2.107811210982031)</f>
        <v>-2.107811211</v>
      </c>
      <c r="G175" s="17">
        <f>IFERROR(__xludf.DUMMYFUNCTION("""COMPUTED_VALUE"""),-0.034850659028642275)</f>
        <v>-0.03485065903</v>
      </c>
      <c r="H175" s="4"/>
      <c r="I175" s="5" t="s">
        <v>2671</v>
      </c>
      <c r="J175" s="5" t="s">
        <v>2236</v>
      </c>
      <c r="K175" s="24">
        <v>1057.0</v>
      </c>
      <c r="L175" s="5">
        <v>-0.871584</v>
      </c>
      <c r="M175" s="5">
        <v>-1.236227</v>
      </c>
      <c r="N175" s="5">
        <v>-2.107811</v>
      </c>
      <c r="O175" s="5">
        <v>-0.034851</v>
      </c>
    </row>
    <row r="176">
      <c r="A176" s="18" t="str">
        <f>IFERROR(__xludf.DUMMYFUNCTION("""COMPUTED_VALUE"""),"Ruheng Wang")</f>
        <v>Ruheng Wang</v>
      </c>
      <c r="B176" s="19" t="str">
        <f>IFERROR(__xludf.DUMMYFUNCTION("""COMPUTED_VALUE"""),"SHA")</f>
        <v>SHA</v>
      </c>
      <c r="C176" s="20">
        <f>IFERROR(__xludf.DUMMYFUNCTION("""COMPUTED_VALUE"""),867.6)</f>
        <v>867.6</v>
      </c>
      <c r="D176" s="21">
        <f>IFERROR(__xludf.DUMMYFUNCTION("""COMPUTED_VALUE"""),-2.378246480262032)</f>
        <v>-2.37824648</v>
      </c>
      <c r="E176" s="21">
        <f>IFERROR(__xludf.DUMMYFUNCTION("""COMPUTED_VALUE"""),0.2543430370911661)</f>
        <v>0.2543430371</v>
      </c>
      <c r="F176" s="21">
        <f>IFERROR(__xludf.DUMMYFUNCTION("""COMPUTED_VALUE"""),-2.1239034431708657)</f>
        <v>-2.123903443</v>
      </c>
      <c r="G176" s="23">
        <f>IFERROR(__xludf.DUMMYFUNCTION("""COMPUTED_VALUE"""),-0.03278358071684854)</f>
        <v>-0.03278358072</v>
      </c>
      <c r="H176" s="4"/>
      <c r="I176" s="5" t="s">
        <v>2674</v>
      </c>
      <c r="J176" s="5" t="s">
        <v>2201</v>
      </c>
      <c r="K176" s="5">
        <v>868.0</v>
      </c>
      <c r="L176" s="5">
        <v>-2.378206</v>
      </c>
      <c r="M176" s="5">
        <v>0.254303</v>
      </c>
      <c r="N176" s="5">
        <v>-2.123903</v>
      </c>
      <c r="O176" s="5">
        <v>-0.032784</v>
      </c>
    </row>
    <row r="177">
      <c r="A177" s="12" t="str">
        <f>IFERROR(__xludf.DUMMYFUNCTION("""COMPUTED_VALUE"""),"Jinglong Li")</f>
        <v>Jinglong Li</v>
      </c>
      <c r="B177" s="13" t="str">
        <f>IFERROR(__xludf.DUMMYFUNCTION("""COMPUTED_VALUE"""),"ZGL")</f>
        <v>ZGL</v>
      </c>
      <c r="C177" s="14">
        <f>IFERROR(__xludf.DUMMYFUNCTION("""COMPUTED_VALUE"""),1015.7)</f>
        <v>1015.7</v>
      </c>
      <c r="D177" s="15">
        <f>IFERROR(__xludf.DUMMYFUNCTION("""COMPUTED_VALUE"""),-1.0357862082518592)</f>
        <v>-1.035786208</v>
      </c>
      <c r="E177" s="15">
        <f>IFERROR(__xludf.DUMMYFUNCTION("""COMPUTED_VALUE"""),-1.0881225721764292)</f>
        <v>-1.088122572</v>
      </c>
      <c r="F177" s="15">
        <f>IFERROR(__xludf.DUMMYFUNCTION("""COMPUTED_VALUE"""),-2.1239087804282883)</f>
        <v>-2.12390878</v>
      </c>
      <c r="G177" s="17">
        <f>IFERROR(__xludf.DUMMYFUNCTION("""COMPUTED_VALUE"""),-0.04170984213402249)</f>
        <v>-0.04170984213</v>
      </c>
      <c r="H177" s="4"/>
      <c r="I177" s="5" t="s">
        <v>2676</v>
      </c>
      <c r="J177" s="5" t="s">
        <v>2194</v>
      </c>
      <c r="K177" s="24">
        <v>1016.0</v>
      </c>
      <c r="L177" s="5">
        <v>-1.035746</v>
      </c>
      <c r="M177" s="5">
        <v>-1.088163</v>
      </c>
      <c r="N177" s="5">
        <v>-2.123909</v>
      </c>
      <c r="O177" s="5">
        <v>-0.04171</v>
      </c>
    </row>
    <row r="178">
      <c r="A178" s="18" t="str">
        <f>IFERROR(__xludf.DUMMYFUNCTION("""COMPUTED_VALUE"""),"Lehei De")</f>
        <v>Lehei De</v>
      </c>
      <c r="B178" s="19" t="str">
        <f>IFERROR(__xludf.DUMMYFUNCTION("""COMPUTED_VALUE"""),"BFT")</f>
        <v>BFT</v>
      </c>
      <c r="C178" s="20">
        <f>IFERROR(__xludf.DUMMYFUNCTION("""COMPUTED_VALUE"""),255.0)</f>
        <v>255</v>
      </c>
      <c r="D178" s="21">
        <f>IFERROR(__xludf.DUMMYFUNCTION("""COMPUTED_VALUE"""),-0.5497250539813918)</f>
        <v>-0.549725054</v>
      </c>
      <c r="E178" s="21">
        <f>IFERROR(__xludf.DUMMYFUNCTION("""COMPUTED_VALUE"""),-1.601523695495776)</f>
        <v>-1.601523695</v>
      </c>
      <c r="F178" s="21">
        <f>IFERROR(__xludf.DUMMYFUNCTION("""COMPUTED_VALUE"""),-2.1512487494771677)</f>
        <v>-2.151248749</v>
      </c>
      <c r="G178" s="23">
        <f>IFERROR(__xludf.DUMMYFUNCTION("""COMPUTED_VALUE"""),-0.011803701711428577)</f>
        <v>-0.01180370171</v>
      </c>
      <c r="H178" s="4"/>
      <c r="I178" s="5" t="s">
        <v>2679</v>
      </c>
      <c r="J178" s="5" t="s">
        <v>2429</v>
      </c>
      <c r="K178" s="5">
        <v>255.0</v>
      </c>
      <c r="L178" s="5">
        <v>-0.549691</v>
      </c>
      <c r="M178" s="5">
        <v>-1.601558</v>
      </c>
      <c r="N178" s="5">
        <v>-2.151249</v>
      </c>
      <c r="O178" s="5">
        <v>-0.011804</v>
      </c>
    </row>
    <row r="179">
      <c r="A179" s="12" t="str">
        <f>IFERROR(__xludf.DUMMYFUNCTION("""COMPUTED_VALUE"""),"Tang Zihao")</f>
        <v>Tang Zihao</v>
      </c>
      <c r="B179" s="13" t="str">
        <f>IFERROR(__xludf.DUMMYFUNCTION("""COMPUTED_VALUE"""),"SDS")</f>
        <v>SDS</v>
      </c>
      <c r="C179" s="14">
        <f>IFERROR(__xludf.DUMMYFUNCTION("""COMPUTED_VALUE"""),76.0)</f>
        <v>76</v>
      </c>
      <c r="D179" s="15">
        <f>IFERROR(__xludf.DUMMYFUNCTION("""COMPUTED_VALUE"""),-1.0876345901565678)</f>
        <v>-1.08763459</v>
      </c>
      <c r="E179" s="15">
        <f>IFERROR(__xludf.DUMMYFUNCTION("""COMPUTED_VALUE"""),-1.0687922322224173)</f>
        <v>-1.068792232</v>
      </c>
      <c r="F179" s="15">
        <f>IFERROR(__xludf.DUMMYFUNCTION("""COMPUTED_VALUE"""),-2.156426822378985)</f>
        <v>-2.156426822</v>
      </c>
      <c r="G179" s="17">
        <f>IFERROR(__xludf.DUMMYFUNCTION("""COMPUTED_VALUE"""),-0.0035943388224483914)</f>
        <v>-0.003594338822</v>
      </c>
      <c r="H179" s="4"/>
      <c r="I179" s="5" t="s">
        <v>2681</v>
      </c>
      <c r="J179" s="5" t="s">
        <v>2214</v>
      </c>
      <c r="K179" s="5">
        <v>76.0</v>
      </c>
      <c r="L179" s="5">
        <v>-1.087624</v>
      </c>
      <c r="M179" s="5">
        <v>-1.068802</v>
      </c>
      <c r="N179" s="5">
        <v>-2.156427</v>
      </c>
      <c r="O179" s="5">
        <v>-0.003594</v>
      </c>
    </row>
    <row r="180">
      <c r="A180" s="18" t="str">
        <f>IFERROR(__xludf.DUMMYFUNCTION("""COMPUTED_VALUE"""),"Junwei Ren")</f>
        <v>Junwei Ren</v>
      </c>
      <c r="B180" s="19" t="str">
        <f>IFERROR(__xludf.DUMMYFUNCTION("""COMPUTED_VALUE"""),"SZD")</f>
        <v>SZD</v>
      </c>
      <c r="C180" s="20">
        <f>IFERROR(__xludf.DUMMYFUNCTION("""COMPUTED_VALUE"""),896.6)</f>
        <v>896.6</v>
      </c>
      <c r="D180" s="21">
        <f>IFERROR(__xludf.DUMMYFUNCTION("""COMPUTED_VALUE"""),-2.5702685613045944)</f>
        <v>-2.570268561</v>
      </c>
      <c r="E180" s="21">
        <f>IFERROR(__xludf.DUMMYFUNCTION("""COMPUTED_VALUE"""),0.4118596528639551)</f>
        <v>0.4118596529</v>
      </c>
      <c r="F180" s="21">
        <f>IFERROR(__xludf.DUMMYFUNCTION("""COMPUTED_VALUE"""),-2.1584089084406393)</f>
        <v>-2.158408908</v>
      </c>
      <c r="G180" s="23">
        <f>IFERROR(__xludf.DUMMYFUNCTION("""COMPUTED_VALUE"""),-0.04353589672004029)</f>
        <v>-0.04353589672</v>
      </c>
      <c r="H180" s="4"/>
      <c r="I180" s="5" t="s">
        <v>2683</v>
      </c>
      <c r="J180" s="5" t="s">
        <v>2244</v>
      </c>
      <c r="K180" s="5">
        <v>897.0</v>
      </c>
      <c r="L180" s="5">
        <v>-2.570228</v>
      </c>
      <c r="M180" s="5">
        <v>0.411819</v>
      </c>
      <c r="N180" s="5">
        <v>-2.158409</v>
      </c>
      <c r="O180" s="5">
        <v>-0.043536</v>
      </c>
    </row>
    <row r="181">
      <c r="A181" s="12" t="str">
        <f>IFERROR(__xludf.DUMMYFUNCTION("""COMPUTED_VALUE"""),"Yu Liang")</f>
        <v>Yu Liang</v>
      </c>
      <c r="B181" s="13" t="str">
        <f>IFERROR(__xludf.DUMMYFUNCTION("""COMPUTED_VALUE"""),"BEIK")</f>
        <v>BEIK</v>
      </c>
      <c r="C181" s="14">
        <f>IFERROR(__xludf.DUMMYFUNCTION("""COMPUTED_VALUE"""),349.3)</f>
        <v>349.3</v>
      </c>
      <c r="D181" s="15">
        <f>IFERROR(__xludf.DUMMYFUNCTION("""COMPUTED_VALUE"""),-1.132678664878933)</f>
        <v>-1.132678665</v>
      </c>
      <c r="E181" s="15">
        <f>IFERROR(__xludf.DUMMYFUNCTION("""COMPUTED_VALUE"""),-1.0299884328489273)</f>
        <v>-1.029988433</v>
      </c>
      <c r="F181" s="15">
        <f>IFERROR(__xludf.DUMMYFUNCTION("""COMPUTED_VALUE"""),-2.1626670977278604)</f>
        <v>-2.162667098</v>
      </c>
      <c r="G181" s="17">
        <f>IFERROR(__xludf.DUMMYFUNCTION("""COMPUTED_VALUE"""),-0.017338885191514435)</f>
        <v>-0.01733888519</v>
      </c>
      <c r="H181" s="4"/>
      <c r="I181" s="5" t="s">
        <v>2684</v>
      </c>
      <c r="J181" s="5" t="s">
        <v>2256</v>
      </c>
      <c r="K181" s="5">
        <v>349.0</v>
      </c>
      <c r="L181" s="5">
        <v>-1.132638</v>
      </c>
      <c r="M181" s="5">
        <v>-1.030029</v>
      </c>
      <c r="N181" s="5">
        <v>-2.162667</v>
      </c>
      <c r="O181" s="5">
        <v>-0.017339</v>
      </c>
    </row>
    <row r="182">
      <c r="A182" s="18" t="str">
        <f>IFERROR(__xludf.DUMMYFUNCTION("""COMPUTED_VALUE"""),"Lai Junhao")</f>
        <v>Lai Junhao</v>
      </c>
      <c r="B182" s="19" t="str">
        <f>IFERROR(__xludf.DUMMYFUNCTION("""COMPUTED_VALUE"""),"ZCB")</f>
        <v>ZCB</v>
      </c>
      <c r="C182" s="20">
        <f>IFERROR(__xludf.DUMMYFUNCTION("""COMPUTED_VALUE"""),590.7)</f>
        <v>590.7</v>
      </c>
      <c r="D182" s="21">
        <f>IFERROR(__xludf.DUMMYFUNCTION("""COMPUTED_VALUE"""),-3.488415784054238)</f>
        <v>-3.488415784</v>
      </c>
      <c r="E182" s="21">
        <f>IFERROR(__xludf.DUMMYFUNCTION("""COMPUTED_VALUE"""),1.2833225832184083)</f>
        <v>1.283322583</v>
      </c>
      <c r="F182" s="21">
        <f>IFERROR(__xludf.DUMMYFUNCTION("""COMPUTED_VALUE"""),-2.2050932008358295)</f>
        <v>-2.205093201</v>
      </c>
      <c r="G182" s="23">
        <f>IFERROR(__xludf.DUMMYFUNCTION("""COMPUTED_VALUE"""),-0.03700431443326479)</f>
        <v>-0.03700431443</v>
      </c>
      <c r="H182" s="4"/>
      <c r="I182" s="5" t="s">
        <v>2685</v>
      </c>
      <c r="J182" s="5" t="s">
        <v>2223</v>
      </c>
      <c r="K182" s="5">
        <v>591.0</v>
      </c>
      <c r="L182" s="5">
        <v>-3.489179</v>
      </c>
      <c r="M182" s="5">
        <v>1.284086</v>
      </c>
      <c r="N182" s="5">
        <v>-2.205093</v>
      </c>
      <c r="O182" s="5">
        <v>-0.037004</v>
      </c>
    </row>
    <row r="183">
      <c r="A183" s="12" t="str">
        <f>IFERROR(__xludf.DUMMYFUNCTION("""COMPUTED_VALUE"""),"Ike Diogu")</f>
        <v>Ike Diogu</v>
      </c>
      <c r="B183" s="13" t="str">
        <f>IFERROR(__xludf.DUMMYFUNCTION("""COMPUTED_VALUE"""),"SICH")</f>
        <v>SICH</v>
      </c>
      <c r="C183" s="14">
        <f>IFERROR(__xludf.DUMMYFUNCTION("""COMPUTED_VALUE"""),525.1)</f>
        <v>525.1</v>
      </c>
      <c r="D183" s="15">
        <f>IFERROR(__xludf.DUMMYFUNCTION("""COMPUTED_VALUE"""),1.826161109514361)</f>
        <v>1.82616111</v>
      </c>
      <c r="E183" s="15">
        <f>IFERROR(__xludf.DUMMYFUNCTION("""COMPUTED_VALUE"""),-4.047635839007999)</f>
        <v>-4.047635839</v>
      </c>
      <c r="F183" s="15">
        <f>IFERROR(__xludf.DUMMYFUNCTION("""COMPUTED_VALUE"""),-2.221474729493638)</f>
        <v>-2.221474729</v>
      </c>
      <c r="G183" s="17">
        <f>IFERROR(__xludf.DUMMYFUNCTION("""COMPUTED_VALUE"""),-0.039932078725978135)</f>
        <v>-0.03993207873</v>
      </c>
      <c r="H183" s="4"/>
      <c r="I183" s="5" t="s">
        <v>2686</v>
      </c>
      <c r="J183" s="5" t="s">
        <v>2186</v>
      </c>
      <c r="K183" s="5">
        <v>525.0</v>
      </c>
      <c r="L183" s="5">
        <v>1.826201</v>
      </c>
      <c r="M183" s="5">
        <v>-4.047676</v>
      </c>
      <c r="N183" s="5">
        <v>-2.221475</v>
      </c>
      <c r="O183" s="5">
        <v>-0.039932</v>
      </c>
    </row>
    <row r="184">
      <c r="A184" s="18" t="str">
        <f>IFERROR(__xludf.DUMMYFUNCTION("""COMPUTED_VALUE"""),"Hong Wang")</f>
        <v>Hong Wang</v>
      </c>
      <c r="B184" s="19" t="str">
        <f>IFERROR(__xludf.DUMMYFUNCTION("""COMPUTED_VALUE"""),"SZD")</f>
        <v>SZD</v>
      </c>
      <c r="C184" s="20">
        <f>IFERROR(__xludf.DUMMYFUNCTION("""COMPUTED_VALUE"""),359.4)</f>
        <v>359.4</v>
      </c>
      <c r="D184" s="21">
        <f>IFERROR(__xludf.DUMMYFUNCTION("""COMPUTED_VALUE"""),-1.6086084904444427)</f>
        <v>-1.60860849</v>
      </c>
      <c r="E184" s="21">
        <f>IFERROR(__xludf.DUMMYFUNCTION("""COMPUTED_VALUE"""),-0.6336220218887956)</f>
        <v>-0.6336220219</v>
      </c>
      <c r="F184" s="21">
        <f>IFERROR(__xludf.DUMMYFUNCTION("""COMPUTED_VALUE"""),-2.2422305123332382)</f>
        <v>-2.242230512</v>
      </c>
      <c r="G184" s="23">
        <f>IFERROR(__xludf.DUMMYFUNCTION("""COMPUTED_VALUE"""),-0.026685545119472534)</f>
        <v>-0.02668554512</v>
      </c>
      <c r="H184" s="4"/>
      <c r="I184" s="5" t="s">
        <v>2687</v>
      </c>
      <c r="J184" s="5" t="s">
        <v>2244</v>
      </c>
      <c r="K184" s="5">
        <v>359.0</v>
      </c>
      <c r="L184" s="5">
        <v>-1.608568</v>
      </c>
      <c r="M184" s="5">
        <v>-0.633662</v>
      </c>
      <c r="N184" s="5">
        <v>-2.242231</v>
      </c>
      <c r="O184" s="5">
        <v>-0.026686</v>
      </c>
    </row>
    <row r="185">
      <c r="A185" s="12" t="str">
        <f>IFERROR(__xludf.DUMMYFUNCTION("""COMPUTED_VALUE"""),"Shang Gao")</f>
        <v>Shang Gao</v>
      </c>
      <c r="B185" s="13" t="str">
        <f>IFERROR(__xludf.DUMMYFUNCTION("""COMPUTED_VALUE"""),"QIN")</f>
        <v>QIN</v>
      </c>
      <c r="C185" s="14">
        <f>IFERROR(__xludf.DUMMYFUNCTION("""COMPUTED_VALUE"""),1018.4)</f>
        <v>1018.4</v>
      </c>
      <c r="D185" s="15">
        <f>IFERROR(__xludf.DUMMYFUNCTION("""COMPUTED_VALUE"""),-0.7026186659230493)</f>
        <v>-0.7026186659</v>
      </c>
      <c r="E185" s="15">
        <f>IFERROR(__xludf.DUMMYFUNCTION("""COMPUTED_VALUE"""),-1.55145875335699)</f>
        <v>-1.551458753</v>
      </c>
      <c r="F185" s="15">
        <f>IFERROR(__xludf.DUMMYFUNCTION("""COMPUTED_VALUE"""),-2.2540774192800392)</f>
        <v>-2.254077419</v>
      </c>
      <c r="G185" s="17">
        <f>IFERROR(__xludf.DUMMYFUNCTION("""COMPUTED_VALUE"""),-0.0796340768579867)</f>
        <v>-0.07963407686</v>
      </c>
      <c r="H185" s="4"/>
      <c r="I185" s="5" t="s">
        <v>2688</v>
      </c>
      <c r="J185" s="5" t="s">
        <v>2226</v>
      </c>
      <c r="K185" s="24">
        <v>1018.0</v>
      </c>
      <c r="L185" s="5">
        <v>-0.702578</v>
      </c>
      <c r="M185" s="5">
        <v>-1.551499</v>
      </c>
      <c r="N185" s="5">
        <v>-2.254077</v>
      </c>
      <c r="O185" s="5">
        <v>-0.079634</v>
      </c>
    </row>
    <row r="186">
      <c r="A186" s="18" t="str">
        <f>IFERROR(__xludf.DUMMYFUNCTION("""COMPUTED_VALUE"""),"Qixin Zhou")</f>
        <v>Qixin Zhou</v>
      </c>
      <c r="B186" s="19" t="str">
        <f>IFERROR(__xludf.DUMMYFUNCTION("""COMPUTED_VALUE"""),"FUJ")</f>
        <v>FUJ</v>
      </c>
      <c r="C186" s="20">
        <f>IFERROR(__xludf.DUMMYFUNCTION("""COMPUTED_VALUE"""),76.8)</f>
        <v>76.8</v>
      </c>
      <c r="D186" s="21">
        <f>IFERROR(__xludf.DUMMYFUNCTION("""COMPUTED_VALUE"""),-1.20447017258535)</f>
        <v>-1.204470173</v>
      </c>
      <c r="E186" s="21">
        <f>IFERROR(__xludf.DUMMYFUNCTION("""COMPUTED_VALUE"""),-1.0680454643058563)</f>
        <v>-1.068045464</v>
      </c>
      <c r="F186" s="21">
        <f>IFERROR(__xludf.DUMMYFUNCTION("""COMPUTED_VALUE"""),-2.2725156368912063)</f>
        <v>-2.272515637</v>
      </c>
      <c r="G186" s="23">
        <f>IFERROR(__xludf.DUMMYFUNCTION("""COMPUTED_VALUE"""),-0.0063530936797987535)</f>
        <v>-0.00635309368</v>
      </c>
      <c r="H186" s="4"/>
      <c r="I186" s="5" t="s">
        <v>2689</v>
      </c>
      <c r="J186" s="5" t="s">
        <v>2198</v>
      </c>
      <c r="K186" s="5">
        <v>77.0</v>
      </c>
      <c r="L186" s="5">
        <v>-1.20446</v>
      </c>
      <c r="M186" s="5">
        <v>-1.068056</v>
      </c>
      <c r="N186" s="5">
        <v>-2.272516</v>
      </c>
      <c r="O186" s="5">
        <v>-0.006353</v>
      </c>
    </row>
    <row r="187">
      <c r="A187" s="12" t="str">
        <f>IFERROR(__xludf.DUMMYFUNCTION("""COMPUTED_VALUE"""),"Yongpeng Zhang")</f>
        <v>Yongpeng Zhang</v>
      </c>
      <c r="B187" s="13" t="str">
        <f>IFERROR(__xludf.DUMMYFUNCTION("""COMPUTED_VALUE"""),"ZCB")</f>
        <v>ZCB</v>
      </c>
      <c r="C187" s="14">
        <f>IFERROR(__xludf.DUMMYFUNCTION("""COMPUTED_VALUE"""),731.2)</f>
        <v>731.2</v>
      </c>
      <c r="D187" s="15">
        <f>IFERROR(__xludf.DUMMYFUNCTION("""COMPUTED_VALUE"""),-3.779085151081896)</f>
        <v>-3.779085151</v>
      </c>
      <c r="E187" s="15">
        <f>IFERROR(__xludf.DUMMYFUNCTION("""COMPUTED_VALUE"""),1.4974759658520824)</f>
        <v>1.497475966</v>
      </c>
      <c r="F187" s="15">
        <f>IFERROR(__xludf.DUMMYFUNCTION("""COMPUTED_VALUE"""),-2.2816091852298137)</f>
        <v>-2.281609185</v>
      </c>
      <c r="G187" s="17">
        <f>IFERROR(__xludf.DUMMYFUNCTION("""COMPUTED_VALUE"""),-0.06289514568994645)</f>
        <v>-0.06289514569</v>
      </c>
      <c r="H187" s="4"/>
      <c r="I187" s="5" t="s">
        <v>2690</v>
      </c>
      <c r="J187" s="5" t="s">
        <v>2223</v>
      </c>
      <c r="K187" s="5">
        <v>731.0</v>
      </c>
      <c r="L187" s="5">
        <v>-3.779849</v>
      </c>
      <c r="M187" s="5">
        <v>1.498239</v>
      </c>
      <c r="N187" s="5">
        <v>-2.281609</v>
      </c>
      <c r="O187" s="5">
        <v>-0.062895</v>
      </c>
    </row>
    <row r="188">
      <c r="A188" s="18" t="str">
        <f>IFERROR(__xludf.DUMMYFUNCTION("""COMPUTED_VALUE"""),"Su Wei")</f>
        <v>Su Wei</v>
      </c>
      <c r="B188" s="19" t="str">
        <f>IFERROR(__xludf.DUMMYFUNCTION("""COMPUTED_VALUE"""),"QIN")</f>
        <v>QIN</v>
      </c>
      <c r="C188" s="20">
        <f>IFERROR(__xludf.DUMMYFUNCTION("""COMPUTED_VALUE"""),970.7)</f>
        <v>970.7</v>
      </c>
      <c r="D188" s="21">
        <f>IFERROR(__xludf.DUMMYFUNCTION("""COMPUTED_VALUE"""),-2.184462341664398)</f>
        <v>-2.184462342</v>
      </c>
      <c r="E188" s="21">
        <f>IFERROR(__xludf.DUMMYFUNCTION("""COMPUTED_VALUE"""),-0.16645752545928527)</f>
        <v>-0.1664575255</v>
      </c>
      <c r="F188" s="21">
        <f>IFERROR(__xludf.DUMMYFUNCTION("""COMPUTED_VALUE"""),-2.3509198671236833)</f>
        <v>-2.350919867</v>
      </c>
      <c r="G188" s="23">
        <f>IFERROR(__xludf.DUMMYFUNCTION("""COMPUTED_VALUE"""),-0.10483528390061475)</f>
        <v>-0.1048352839</v>
      </c>
      <c r="H188" s="4"/>
      <c r="I188" s="5" t="s">
        <v>2691</v>
      </c>
      <c r="J188" s="5" t="s">
        <v>2226</v>
      </c>
      <c r="K188" s="5">
        <v>971.0</v>
      </c>
      <c r="L188" s="5">
        <v>-2.184422</v>
      </c>
      <c r="M188" s="5">
        <v>-0.166498</v>
      </c>
      <c r="N188" s="5">
        <v>-2.35092</v>
      </c>
      <c r="O188" s="5">
        <v>-0.104835</v>
      </c>
    </row>
    <row r="189">
      <c r="A189" s="12" t="str">
        <f>IFERROR(__xludf.DUMMYFUNCTION("""COMPUTED_VALUE"""),"Caiyu Tang")</f>
        <v>Caiyu Tang</v>
      </c>
      <c r="B189" s="13" t="str">
        <f>IFERROR(__xludf.DUMMYFUNCTION("""COMPUTED_VALUE"""),"XIN")</f>
        <v>XIN</v>
      </c>
      <c r="C189" s="14">
        <f>IFERROR(__xludf.DUMMYFUNCTION("""COMPUTED_VALUE"""),44.2)</f>
        <v>44.2</v>
      </c>
      <c r="D189" s="15">
        <f>IFERROR(__xludf.DUMMYFUNCTION("""COMPUTED_VALUE"""),-1.4784342859536943)</f>
        <v>-1.478434286</v>
      </c>
      <c r="E189" s="15">
        <f>IFERROR(__xludf.DUMMYFUNCTION("""COMPUTED_VALUE"""),-0.9151574703746708)</f>
        <v>-0.9151574704</v>
      </c>
      <c r="F189" s="15">
        <f>IFERROR(__xludf.DUMMYFUNCTION("""COMPUTED_VALUE"""),-2.393591756328365)</f>
        <v>-2.393591756</v>
      </c>
      <c r="G189" s="17">
        <f>IFERROR(__xludf.DUMMYFUNCTION("""COMPUTED_VALUE"""),-0.0052546528146250535)</f>
        <v>-0.005254652815</v>
      </c>
      <c r="H189" s="4"/>
      <c r="I189" s="5" t="s">
        <v>2692</v>
      </c>
      <c r="J189" s="5" t="s">
        <v>2208</v>
      </c>
      <c r="K189" s="5">
        <v>44.0</v>
      </c>
      <c r="L189" s="5">
        <v>-1.478428</v>
      </c>
      <c r="M189" s="5">
        <v>-0.915163</v>
      </c>
      <c r="N189" s="5">
        <v>-2.393592</v>
      </c>
      <c r="O189" s="5">
        <v>-0.005255</v>
      </c>
    </row>
    <row r="190">
      <c r="A190" s="18" t="str">
        <f>IFERROR(__xludf.DUMMYFUNCTION("""COMPUTED_VALUE"""),"Mengjun Xu")</f>
        <v>Mengjun Xu</v>
      </c>
      <c r="B190" s="19" t="str">
        <f>IFERROR(__xludf.DUMMYFUNCTION("""COMPUTED_VALUE"""),"BEIK")</f>
        <v>BEIK</v>
      </c>
      <c r="C190" s="20">
        <f>IFERROR(__xludf.DUMMYFUNCTION("""COMPUTED_VALUE"""),916.5)</f>
        <v>916.5</v>
      </c>
      <c r="D190" s="21">
        <f>IFERROR(__xludf.DUMMYFUNCTION("""COMPUTED_VALUE"""),-0.4134078512933512)</f>
        <v>-0.4134078513</v>
      </c>
      <c r="E190" s="21">
        <f>IFERROR(__xludf.DUMMYFUNCTION("""COMPUTED_VALUE"""),-1.9826243275632063)</f>
        <v>-1.982624328</v>
      </c>
      <c r="F190" s="21">
        <f>IFERROR(__xludf.DUMMYFUNCTION("""COMPUTED_VALUE"""),-2.3960321788565575)</f>
        <v>-2.396032179</v>
      </c>
      <c r="G190" s="23">
        <f>IFERROR(__xludf.DUMMYFUNCTION("""COMPUTED_VALUE"""),-0.11076073055842615)</f>
        <v>-0.1107607306</v>
      </c>
      <c r="H190" s="4"/>
      <c r="I190" s="5" t="s">
        <v>2693</v>
      </c>
      <c r="J190" s="5" t="s">
        <v>2256</v>
      </c>
      <c r="K190" s="5">
        <v>917.0</v>
      </c>
      <c r="L190" s="5">
        <v>-0.413368</v>
      </c>
      <c r="M190" s="5">
        <v>-1.982665</v>
      </c>
      <c r="N190" s="5">
        <v>-2.396032</v>
      </c>
      <c r="O190" s="5">
        <v>-0.110761</v>
      </c>
    </row>
    <row r="191">
      <c r="A191" s="12" t="str">
        <f>IFERROR(__xludf.DUMMYFUNCTION("""COMPUTED_VALUE"""),"Mingxuan Hu")</f>
        <v>Mingxuan Hu</v>
      </c>
      <c r="B191" s="13" t="str">
        <f>IFERROR(__xludf.DUMMYFUNCTION("""COMPUTED_VALUE"""),"GST")</f>
        <v>GST</v>
      </c>
      <c r="C191" s="14">
        <f>IFERROR(__xludf.DUMMYFUNCTION("""COMPUTED_VALUE"""),838.5)</f>
        <v>838.5</v>
      </c>
      <c r="D191" s="15">
        <f>IFERROR(__xludf.DUMMYFUNCTION("""COMPUTED_VALUE"""),-3.3455412736063677)</f>
        <v>-3.345541274</v>
      </c>
      <c r="E191" s="15">
        <f>IFERROR(__xludf.DUMMYFUNCTION("""COMPUTED_VALUE"""),0.9270264590812745)</f>
        <v>0.9270264591</v>
      </c>
      <c r="F191" s="15">
        <f>IFERROR(__xludf.DUMMYFUNCTION("""COMPUTED_VALUE"""),-2.418514814525093)</f>
        <v>-2.418514815</v>
      </c>
      <c r="G191" s="17">
        <f>IFERROR(__xludf.DUMMYFUNCTION("""COMPUTED_VALUE"""),-0.1078911615157022)</f>
        <v>-0.1078911615</v>
      </c>
      <c r="H191" s="4"/>
      <c r="I191" s="5" t="s">
        <v>2694</v>
      </c>
      <c r="J191" s="5" t="s">
        <v>2253</v>
      </c>
      <c r="K191" s="5">
        <v>839.0</v>
      </c>
      <c r="L191" s="5">
        <v>-3.345501</v>
      </c>
      <c r="M191" s="5">
        <v>0.926986</v>
      </c>
      <c r="N191" s="5">
        <v>-2.418515</v>
      </c>
      <c r="O191" s="5">
        <v>-0.107891</v>
      </c>
    </row>
    <row r="192">
      <c r="A192" s="18" t="str">
        <f>IFERROR(__xludf.DUMMYFUNCTION("""COMPUTED_VALUE"""),"Yahui Liu")</f>
        <v>Yahui Liu</v>
      </c>
      <c r="B192" s="19" t="str">
        <f>IFERROR(__xludf.DUMMYFUNCTION("""COMPUTED_VALUE"""),"JIA")</f>
        <v>JIA</v>
      </c>
      <c r="C192" s="20">
        <f>IFERROR(__xludf.DUMMYFUNCTION("""COMPUTED_VALUE"""),238.7)</f>
        <v>238.7</v>
      </c>
      <c r="D192" s="21">
        <f>IFERROR(__xludf.DUMMYFUNCTION("""COMPUTED_VALUE"""),-2.256252850004898)</f>
        <v>-2.25625285</v>
      </c>
      <c r="E192" s="21">
        <f>IFERROR(__xludf.DUMMYFUNCTION("""COMPUTED_VALUE"""),-0.21529590835617896)</f>
        <v>-0.2152959084</v>
      </c>
      <c r="F192" s="21">
        <f>IFERROR(__xludf.DUMMYFUNCTION("""COMPUTED_VALUE"""),-2.471548758361077)</f>
        <v>-2.471548758</v>
      </c>
      <c r="G192" s="23">
        <f>IFERROR(__xludf.DUMMYFUNCTION("""COMPUTED_VALUE"""),-0.03728573656246581)</f>
        <v>-0.03728573656</v>
      </c>
      <c r="H192" s="4"/>
      <c r="I192" s="5" t="s">
        <v>2695</v>
      </c>
      <c r="J192" s="5" t="s">
        <v>2190</v>
      </c>
      <c r="K192" s="5">
        <v>239.0</v>
      </c>
      <c r="L192" s="5">
        <v>-2.256221</v>
      </c>
      <c r="M192" s="5">
        <v>-0.215328</v>
      </c>
      <c r="N192" s="5">
        <v>-2.471549</v>
      </c>
      <c r="O192" s="5">
        <v>-0.037286</v>
      </c>
    </row>
    <row r="193">
      <c r="A193" s="12" t="str">
        <f>IFERROR(__xludf.DUMMYFUNCTION("""COMPUTED_VALUE"""),"KangMing Song")</f>
        <v>KangMing Song</v>
      </c>
      <c r="B193" s="13" t="str">
        <f>IFERROR(__xludf.DUMMYFUNCTION("""COMPUTED_VALUE"""),"BEIK")</f>
        <v>BEIK</v>
      </c>
      <c r="C193" s="14">
        <f>IFERROR(__xludf.DUMMYFUNCTION("""COMPUTED_VALUE"""),133.6)</f>
        <v>133.6</v>
      </c>
      <c r="D193" s="15">
        <f>IFERROR(__xludf.DUMMYFUNCTION("""COMPUTED_VALUE"""),-1.7409669373047711)</f>
        <v>-1.740966937</v>
      </c>
      <c r="E193" s="15">
        <f>IFERROR(__xludf.DUMMYFUNCTION("""COMPUTED_VALUE"""),-0.7320728249133277)</f>
        <v>-0.7320728249</v>
      </c>
      <c r="F193" s="15">
        <f>IFERROR(__xludf.DUMMYFUNCTION("""COMPUTED_VALUE"""),-2.473039762218099)</f>
        <v>-2.473039762</v>
      </c>
      <c r="G193" s="17">
        <f>IFERROR(__xludf.DUMMYFUNCTION("""COMPUTED_VALUE"""),-0.0192853254846654)</f>
        <v>-0.01928532548</v>
      </c>
      <c r="H193" s="4"/>
      <c r="I193" s="5" t="s">
        <v>2696</v>
      </c>
      <c r="J193" s="5" t="s">
        <v>2256</v>
      </c>
      <c r="K193" s="5">
        <v>134.0</v>
      </c>
      <c r="L193" s="5">
        <v>-1.740949</v>
      </c>
      <c r="M193" s="5">
        <v>-0.732091</v>
      </c>
      <c r="N193" s="5">
        <v>-2.47304</v>
      </c>
      <c r="O193" s="5">
        <v>-0.019285</v>
      </c>
    </row>
    <row r="194">
      <c r="A194" s="18" t="str">
        <f>IFERROR(__xludf.DUMMYFUNCTION("""COMPUTED_VALUE"""),"Liu Guangcen")</f>
        <v>Liu Guangcen</v>
      </c>
      <c r="B194" s="19" t="str">
        <f>IFERROR(__xludf.DUMMYFUNCTION("""COMPUTED_VALUE"""),"SZD")</f>
        <v>SZD</v>
      </c>
      <c r="C194" s="20">
        <f>IFERROR(__xludf.DUMMYFUNCTION("""COMPUTED_VALUE"""),703.6)</f>
        <v>703.6</v>
      </c>
      <c r="D194" s="21">
        <f>IFERROR(__xludf.DUMMYFUNCTION("""COMPUTED_VALUE"""),-3.1786499854800487)</f>
        <v>-3.178649985</v>
      </c>
      <c r="E194" s="21">
        <f>IFERROR(__xludf.DUMMYFUNCTION("""COMPUTED_VALUE"""),0.6961388497728578)</f>
        <v>0.6961388498</v>
      </c>
      <c r="F194" s="21">
        <f>IFERROR(__xludf.DUMMYFUNCTION("""COMPUTED_VALUE"""),-2.482511135707191)</f>
        <v>-2.482511136</v>
      </c>
      <c r="G194" s="23">
        <f>IFERROR(__xludf.DUMMYFUNCTION("""COMPUTED_VALUE"""),-0.10406443479594385)</f>
        <v>-0.1040644348</v>
      </c>
      <c r="H194" s="4"/>
      <c r="I194" s="5" t="s">
        <v>2697</v>
      </c>
      <c r="J194" s="5" t="s">
        <v>2244</v>
      </c>
      <c r="K194" s="5">
        <v>704.0</v>
      </c>
      <c r="L194" s="5">
        <v>-3.17861</v>
      </c>
      <c r="M194" s="5">
        <v>0.696099</v>
      </c>
      <c r="N194" s="5">
        <v>-2.482511</v>
      </c>
      <c r="O194" s="5">
        <v>-0.104064</v>
      </c>
    </row>
    <row r="195">
      <c r="A195" s="12" t="str">
        <f>IFERROR(__xludf.DUMMYFUNCTION("""COMPUTED_VALUE"""),"Yuchen Shi")</f>
        <v>Yuchen Shi</v>
      </c>
      <c r="B195" s="13" t="str">
        <f>IFERROR(__xludf.DUMMYFUNCTION("""COMPUTED_VALUE"""),"SDS")</f>
        <v>SDS</v>
      </c>
      <c r="C195" s="14">
        <f>IFERROR(__xludf.DUMMYFUNCTION("""COMPUTED_VALUE"""),185.7)</f>
        <v>185.7</v>
      </c>
      <c r="D195" s="15">
        <f>IFERROR(__xludf.DUMMYFUNCTION("""COMPUTED_VALUE"""),-2.6659088218674274)</f>
        <v>-2.665908822</v>
      </c>
      <c r="E195" s="15">
        <f>IFERROR(__xludf.DUMMYFUNCTION("""COMPUTED_VALUE"""),0.17323576157045828)</f>
        <v>0.1732357616</v>
      </c>
      <c r="F195" s="15">
        <f>IFERROR(__xludf.DUMMYFUNCTION("""COMPUTED_VALUE"""),-2.492673060296969)</f>
        <v>-2.49267306</v>
      </c>
      <c r="G195" s="17">
        <f>IFERROR(__xludf.DUMMYFUNCTION("""COMPUTED_VALUE"""),-0.027660811517168114)</f>
        <v>-0.02766081152</v>
      </c>
      <c r="H195" s="4"/>
      <c r="I195" s="5" t="s">
        <v>2698</v>
      </c>
      <c r="J195" s="5" t="s">
        <v>2214</v>
      </c>
      <c r="K195" s="5">
        <v>186.0</v>
      </c>
      <c r="L195" s="5">
        <v>-2.665884</v>
      </c>
      <c r="M195" s="5">
        <v>0.173211</v>
      </c>
      <c r="N195" s="5">
        <v>-2.492673</v>
      </c>
      <c r="O195" s="5">
        <v>-0.027661</v>
      </c>
    </row>
    <row r="196">
      <c r="A196" s="18" t="str">
        <f>IFERROR(__xludf.DUMMYFUNCTION("""COMPUTED_VALUE"""),"Shuaipeng Cheng")</f>
        <v>Shuaipeng Cheng</v>
      </c>
      <c r="B196" s="19" t="str">
        <f>IFERROR(__xludf.DUMMYFUNCTION("""COMPUTED_VALUE"""),"ZCB")</f>
        <v>ZCB</v>
      </c>
      <c r="C196" s="20">
        <f>IFERROR(__xludf.DUMMYFUNCTION("""COMPUTED_VALUE"""),668.6)</f>
        <v>668.6</v>
      </c>
      <c r="D196" s="21">
        <f>IFERROR(__xludf.DUMMYFUNCTION("""COMPUTED_VALUE"""),-3.4609550953590467)</f>
        <v>-3.460955095</v>
      </c>
      <c r="E196" s="21">
        <f>IFERROR(__xludf.DUMMYFUNCTION("""COMPUTED_VALUE"""),0.9353477228576059)</f>
        <v>0.9353477229</v>
      </c>
      <c r="F196" s="21">
        <f>IFERROR(__xludf.DUMMYFUNCTION("""COMPUTED_VALUE"""),-2.5256073725014407)</f>
        <v>-2.525607373</v>
      </c>
      <c r="G196" s="23">
        <f>IFERROR(__xludf.DUMMYFUNCTION("""COMPUTED_VALUE"""),-0.10734008854810276)</f>
        <v>-0.1073400885</v>
      </c>
      <c r="H196" s="4"/>
      <c r="I196" s="5" t="s">
        <v>2699</v>
      </c>
      <c r="J196" s="5" t="s">
        <v>2223</v>
      </c>
      <c r="K196" s="5">
        <v>669.0</v>
      </c>
      <c r="L196" s="5">
        <v>-3.461718</v>
      </c>
      <c r="M196" s="5">
        <v>0.936111</v>
      </c>
      <c r="N196" s="5">
        <v>-2.525607</v>
      </c>
      <c r="O196" s="5">
        <v>-0.10734</v>
      </c>
    </row>
    <row r="197">
      <c r="A197" s="12" t="str">
        <f>IFERROR(__xludf.DUMMYFUNCTION("""COMPUTED_VALUE"""),"Zhang Zuming")</f>
        <v>Zhang Zuming</v>
      </c>
      <c r="B197" s="13" t="str">
        <f>IFERROR(__xludf.DUMMYFUNCTION("""COMPUTED_VALUE"""),"BFT")</f>
        <v>BFT</v>
      </c>
      <c r="C197" s="14">
        <f>IFERROR(__xludf.DUMMYFUNCTION("""COMPUTED_VALUE"""),1053.2)</f>
        <v>1053.2</v>
      </c>
      <c r="D197" s="15">
        <f>IFERROR(__xludf.DUMMYFUNCTION("""COMPUTED_VALUE"""),-1.7681991924499154)</f>
        <v>-1.768199192</v>
      </c>
      <c r="E197" s="15">
        <f>IFERROR(__xludf.DUMMYFUNCTION("""COMPUTED_VALUE"""),-0.7579431010262698)</f>
        <v>-0.757943101</v>
      </c>
      <c r="F197" s="15">
        <f>IFERROR(__xludf.DUMMYFUNCTION("""COMPUTED_VALUE"""),-2.5261422934761852)</f>
        <v>-2.526142293</v>
      </c>
      <c r="G197" s="17">
        <f>IFERROR(__xludf.DUMMYFUNCTION("""COMPUTED_VALUE"""),-0.1695900299931382)</f>
        <v>-0.16959003</v>
      </c>
      <c r="H197" s="4"/>
      <c r="I197" s="5" t="s">
        <v>2700</v>
      </c>
      <c r="J197" s="5" t="s">
        <v>2429</v>
      </c>
      <c r="K197" s="24">
        <v>1053.0</v>
      </c>
      <c r="L197" s="5">
        <v>-1.768159</v>
      </c>
      <c r="M197" s="5">
        <v>-0.757983</v>
      </c>
      <c r="N197" s="5">
        <v>-2.526142</v>
      </c>
      <c r="O197" s="5">
        <v>-0.16959</v>
      </c>
    </row>
    <row r="198">
      <c r="A198" s="18" t="str">
        <f>IFERROR(__xludf.DUMMYFUNCTION("""COMPUTED_VALUE"""),"Long-Mao Hu")</f>
        <v>Long-Mao Hu</v>
      </c>
      <c r="B198" s="19" t="str">
        <f>IFERROR(__xludf.DUMMYFUNCTION("""COMPUTED_VALUE"""),"GFD")</f>
        <v>GFD</v>
      </c>
      <c r="C198" s="20">
        <f>IFERROR(__xludf.DUMMYFUNCTION("""COMPUTED_VALUE"""),692.9)</f>
        <v>692.9</v>
      </c>
      <c r="D198" s="21">
        <f>IFERROR(__xludf.DUMMYFUNCTION("""COMPUTED_VALUE"""),-2.3722440220953227)</f>
        <v>-2.372244022</v>
      </c>
      <c r="E198" s="21">
        <f>IFERROR(__xludf.DUMMYFUNCTION("""COMPUTED_VALUE"""),-0.1672428963174757)</f>
        <v>-0.1672428963</v>
      </c>
      <c r="F198" s="21">
        <f>IFERROR(__xludf.DUMMYFUNCTION("""COMPUTED_VALUE"""),-2.5394869184127984)</f>
        <v>-2.539486918</v>
      </c>
      <c r="G198" s="23">
        <f>IFERROR(__xludf.DUMMYFUNCTION("""COMPUTED_VALUE"""),-0.11281844876013436)</f>
        <v>-0.1128184488</v>
      </c>
      <c r="H198" s="4"/>
      <c r="I198" s="5" t="s">
        <v>2701</v>
      </c>
      <c r="J198" s="5" t="s">
        <v>2219</v>
      </c>
      <c r="K198" s="24">
        <v>693.0</v>
      </c>
      <c r="L198" s="5">
        <v>-2.372204</v>
      </c>
      <c r="M198" s="5">
        <v>-0.167283</v>
      </c>
      <c r="N198" s="5">
        <v>-2.539487</v>
      </c>
      <c r="O198" s="5">
        <v>-0.112818</v>
      </c>
    </row>
    <row r="199">
      <c r="A199" s="12" t="str">
        <f>IFERROR(__xludf.DUMMYFUNCTION("""COMPUTED_VALUE"""),"Shunan Liu")</f>
        <v>Shunan Liu</v>
      </c>
      <c r="B199" s="13" t="str">
        <f>IFERROR(__xludf.DUMMYFUNCTION("""COMPUTED_VALUE"""),"QIN")</f>
        <v>QIN</v>
      </c>
      <c r="C199" s="14">
        <f>IFERROR(__xludf.DUMMYFUNCTION("""COMPUTED_VALUE"""),779.5)</f>
        <v>779.5</v>
      </c>
      <c r="D199" s="15">
        <f>IFERROR(__xludf.DUMMYFUNCTION("""COMPUTED_VALUE"""),-1.6588227680948473)</f>
        <v>-1.658822768</v>
      </c>
      <c r="E199" s="15">
        <f>IFERROR(__xludf.DUMMYFUNCTION("""COMPUTED_VALUE"""),-0.8905097620903837)</f>
        <v>-0.8905097621</v>
      </c>
      <c r="F199" s="15">
        <f>IFERROR(__xludf.DUMMYFUNCTION("""COMPUTED_VALUE"""),-2.549332530185231)</f>
        <v>-2.54933253</v>
      </c>
      <c r="G199" s="17">
        <f>IFERROR(__xludf.DUMMYFUNCTION("""COMPUTED_VALUE"""),-0.13178498363277982)</f>
        <v>-0.1317849836</v>
      </c>
      <c r="H199" s="4"/>
      <c r="I199" s="5" t="s">
        <v>2702</v>
      </c>
      <c r="J199" s="5" t="s">
        <v>2226</v>
      </c>
      <c r="K199" s="5">
        <v>780.0</v>
      </c>
      <c r="L199" s="5">
        <v>-1.658783</v>
      </c>
      <c r="M199" s="5">
        <v>-0.89055</v>
      </c>
      <c r="N199" s="5">
        <v>-2.549333</v>
      </c>
      <c r="O199" s="5">
        <v>-0.131785</v>
      </c>
    </row>
    <row r="200">
      <c r="A200" s="18" t="str">
        <f>IFERROR(__xludf.DUMMYFUNCTION("""COMPUTED_VALUE"""),"Zhijiang Xing")</f>
        <v>Zhijiang Xing</v>
      </c>
      <c r="B200" s="19" t="str">
        <f>IFERROR(__xludf.DUMMYFUNCTION("""COMPUTED_VALUE"""),"SZD")</f>
        <v>SZD</v>
      </c>
      <c r="C200" s="20">
        <f>IFERROR(__xludf.DUMMYFUNCTION("""COMPUTED_VALUE"""),698.3)</f>
        <v>698.3</v>
      </c>
      <c r="D200" s="21">
        <f>IFERROR(__xludf.DUMMYFUNCTION("""COMPUTED_VALUE"""),-3.226076118888962)</f>
        <v>-3.226076119</v>
      </c>
      <c r="E200" s="21">
        <f>IFERROR(__xludf.DUMMYFUNCTION("""COMPUTED_VALUE"""),0.6598427846082227)</f>
        <v>0.6598427846</v>
      </c>
      <c r="F200" s="21">
        <f>IFERROR(__xludf.DUMMYFUNCTION("""COMPUTED_VALUE"""),-2.5662333342807395)</f>
        <v>-2.566233334</v>
      </c>
      <c r="G200" s="23">
        <f>IFERROR(__xludf.DUMMYFUNCTION("""COMPUTED_VALUE"""),-0.1212011200047649)</f>
        <v>-0.12120112</v>
      </c>
      <c r="H200" s="4"/>
      <c r="I200" s="5" t="s">
        <v>2703</v>
      </c>
      <c r="J200" s="5" t="s">
        <v>2244</v>
      </c>
      <c r="K200" s="5">
        <v>698.0</v>
      </c>
      <c r="L200" s="5">
        <v>-3.226036</v>
      </c>
      <c r="M200" s="5">
        <v>0.659803</v>
      </c>
      <c r="N200" s="5">
        <v>-2.566233</v>
      </c>
      <c r="O200" s="5">
        <v>-0.121201</v>
      </c>
    </row>
    <row r="201">
      <c r="A201" s="12" t="str">
        <f>IFERROR(__xludf.DUMMYFUNCTION("""COMPUTED_VALUE"""),"Yacai Xie")</f>
        <v>Yacai Xie</v>
      </c>
      <c r="B201" s="13" t="str">
        <f>IFERROR(__xludf.DUMMYFUNCTION("""COMPUTED_VALUE"""),"FUJ")</f>
        <v>FUJ</v>
      </c>
      <c r="C201" s="14">
        <f>IFERROR(__xludf.DUMMYFUNCTION("""COMPUTED_VALUE"""),134.2)</f>
        <v>134.2</v>
      </c>
      <c r="D201" s="15">
        <f>IFERROR(__xludf.DUMMYFUNCTION("""COMPUTED_VALUE"""),-1.952452405477537)</f>
        <v>-1.952452405</v>
      </c>
      <c r="E201" s="15">
        <f>IFERROR(__xludf.DUMMYFUNCTION("""COMPUTED_VALUE"""),-0.6264987534552997)</f>
        <v>-0.6264987535</v>
      </c>
      <c r="F201" s="15">
        <f>IFERROR(__xludf.DUMMYFUNCTION("""COMPUTED_VALUE"""),-2.5789511589328367)</f>
        <v>-2.578951159</v>
      </c>
      <c r="G201" s="17">
        <f>IFERROR(__xludf.DUMMYFUNCTION("""COMPUTED_VALUE"""),-0.02358452075477848)</f>
        <v>-0.02358452075</v>
      </c>
      <c r="H201" s="4"/>
      <c r="I201" s="5" t="s">
        <v>2704</v>
      </c>
      <c r="J201" s="5" t="s">
        <v>2198</v>
      </c>
      <c r="K201" s="5">
        <v>134.0</v>
      </c>
      <c r="L201" s="5">
        <v>-1.952434</v>
      </c>
      <c r="M201" s="5">
        <v>-0.626517</v>
      </c>
      <c r="N201" s="5">
        <v>-2.578951</v>
      </c>
      <c r="O201" s="5">
        <v>-0.023585</v>
      </c>
    </row>
    <row r="202">
      <c r="A202" s="18" t="str">
        <f>IFERROR(__xludf.DUMMYFUNCTION("""COMPUTED_VALUE"""),"Shuai Yuan")</f>
        <v>Shuai Yuan</v>
      </c>
      <c r="B202" s="19" t="str">
        <f>IFERROR(__xludf.DUMMYFUNCTION("""COMPUTED_VALUE"""),"SZD")</f>
        <v>SZD</v>
      </c>
      <c r="C202" s="20">
        <f>IFERROR(__xludf.DUMMYFUNCTION("""COMPUTED_VALUE"""),450.1)</f>
        <v>450.1</v>
      </c>
      <c r="D202" s="21">
        <f>IFERROR(__xludf.DUMMYFUNCTION("""COMPUTED_VALUE"""),-0.1705458363307636)</f>
        <v>-0.1705458363</v>
      </c>
      <c r="E202" s="21">
        <f>IFERROR(__xludf.DUMMYFUNCTION("""COMPUTED_VALUE"""),-2.4169501696977154)</f>
        <v>-2.41695017</v>
      </c>
      <c r="F202" s="21">
        <f>IFERROR(__xludf.DUMMYFUNCTION("""COMPUTED_VALUE"""),-2.587496006028479)</f>
        <v>-2.587496006</v>
      </c>
      <c r="G202" s="23">
        <f>IFERROR(__xludf.DUMMYFUNCTION("""COMPUTED_VALUE"""),-0.08105561209115085)</f>
        <v>-0.08105561209</v>
      </c>
      <c r="H202" s="4"/>
      <c r="I202" s="5" t="s">
        <v>2705</v>
      </c>
      <c r="J202" s="5" t="s">
        <v>2244</v>
      </c>
      <c r="K202" s="5">
        <v>450.0</v>
      </c>
      <c r="L202" s="5">
        <v>-0.170506</v>
      </c>
      <c r="M202" s="5">
        <v>-2.41699</v>
      </c>
      <c r="N202" s="5">
        <v>-2.587496</v>
      </c>
      <c r="O202" s="5">
        <v>-0.081056</v>
      </c>
    </row>
    <row r="203">
      <c r="A203" s="12" t="str">
        <f>IFERROR(__xludf.DUMMYFUNCTION("""COMPUTED_VALUE"""),"Yang Linyi")</f>
        <v>Yang Linyi</v>
      </c>
      <c r="B203" s="13" t="str">
        <f>IFERROR(__xludf.DUMMYFUNCTION("""COMPUTED_VALUE"""),"DON")</f>
        <v>DON</v>
      </c>
      <c r="C203" s="14">
        <f>IFERROR(__xludf.DUMMYFUNCTION("""COMPUTED_VALUE"""),188.7)</f>
        <v>188.7</v>
      </c>
      <c r="D203" s="15">
        <f>IFERROR(__xludf.DUMMYFUNCTION("""COMPUTED_VALUE"""),-1.989480101435321)</f>
        <v>-1.989480101</v>
      </c>
      <c r="E203" s="15">
        <f>IFERROR(__xludf.DUMMYFUNCTION("""COMPUTED_VALUE"""),-0.6016450294388411)</f>
        <v>-0.6016450294</v>
      </c>
      <c r="F203" s="15">
        <f>IFERROR(__xludf.DUMMYFUNCTION("""COMPUTED_VALUE"""),-2.591125130874162)</f>
        <v>-2.591125131</v>
      </c>
      <c r="G203" s="17">
        <f>IFERROR(__xludf.DUMMYFUNCTION("""COMPUTED_VALUE"""),-0.033866293997792514)</f>
        <v>-0.033866294</v>
      </c>
      <c r="H203" s="4"/>
      <c r="I203" s="5" t="s">
        <v>2706</v>
      </c>
      <c r="J203" s="5" t="s">
        <v>2217</v>
      </c>
      <c r="K203" s="5">
        <v>189.0</v>
      </c>
      <c r="L203" s="5">
        <v>-1.989455</v>
      </c>
      <c r="M203" s="5">
        <v>-0.60167</v>
      </c>
      <c r="N203" s="5">
        <v>-2.591125</v>
      </c>
      <c r="O203" s="5">
        <v>-0.033866</v>
      </c>
    </row>
    <row r="204">
      <c r="A204" s="18" t="str">
        <f>IFERROR(__xludf.DUMMYFUNCTION("""COMPUTED_VALUE"""),"Qing-Ming Wang")</f>
        <v>Qing-Ming Wang</v>
      </c>
      <c r="B204" s="19" t="str">
        <f>IFERROR(__xludf.DUMMYFUNCTION("""COMPUTED_VALUE"""),"QIN")</f>
        <v>QIN</v>
      </c>
      <c r="C204" s="20">
        <f>IFERROR(__xludf.DUMMYFUNCTION("""COMPUTED_VALUE"""),562.0)</f>
        <v>562</v>
      </c>
      <c r="D204" s="21">
        <f>IFERROR(__xludf.DUMMYFUNCTION("""COMPUTED_VALUE"""),-1.7139351746487905)</f>
        <v>-1.713935175</v>
      </c>
      <c r="E204" s="21">
        <f>IFERROR(__xludf.DUMMYFUNCTION("""COMPUTED_VALUE"""),-0.8905738248161656)</f>
        <v>-0.8905738248</v>
      </c>
      <c r="F204" s="21">
        <f>IFERROR(__xludf.DUMMYFUNCTION("""COMPUTED_VALUE"""),-2.604508999464956)</f>
        <v>-2.604508999</v>
      </c>
      <c r="G204" s="23">
        <f>IFERROR(__xludf.DUMMYFUNCTION("""COMPUTED_VALUE"""),-0.10455711128880439)</f>
        <v>-0.1045571113</v>
      </c>
      <c r="H204" s="4"/>
      <c r="I204" s="5" t="s">
        <v>2707</v>
      </c>
      <c r="J204" s="5" t="s">
        <v>2226</v>
      </c>
      <c r="K204" s="5">
        <v>562.0</v>
      </c>
      <c r="L204" s="5">
        <v>-1.713895</v>
      </c>
      <c r="M204" s="5">
        <v>-0.890614</v>
      </c>
      <c r="N204" s="5">
        <v>-2.604509</v>
      </c>
      <c r="O204" s="5">
        <v>-0.104557</v>
      </c>
    </row>
    <row r="205">
      <c r="A205" s="12" t="str">
        <f>IFERROR(__xludf.DUMMYFUNCTION("""COMPUTED_VALUE"""),"Abudurexiti Abudushalamu")</f>
        <v>Abudurexiti Abudushalamu</v>
      </c>
      <c r="B205" s="13" t="str">
        <f>IFERROR(__xludf.DUMMYFUNCTION("""COMPUTED_VALUE"""),"XIN")</f>
        <v>XIN</v>
      </c>
      <c r="C205" s="14">
        <f>IFERROR(__xludf.DUMMYFUNCTION("""COMPUTED_VALUE"""),803.9)</f>
        <v>803.9</v>
      </c>
      <c r="D205" s="15">
        <f>IFERROR(__xludf.DUMMYFUNCTION("""COMPUTED_VALUE"""),-1.6960484118985928)</f>
        <v>-1.696048412</v>
      </c>
      <c r="E205" s="15">
        <f>IFERROR(__xludf.DUMMYFUNCTION("""COMPUTED_VALUE"""),-0.9264190719757992)</f>
        <v>-0.926419072</v>
      </c>
      <c r="F205" s="15">
        <f>IFERROR(__xludf.DUMMYFUNCTION("""COMPUTED_VALUE"""),-2.622467483874392)</f>
        <v>-2.622467484</v>
      </c>
      <c r="G205" s="17">
        <f>IFERROR(__xludf.DUMMYFUNCTION("""COMPUTED_VALUE"""),-0.1511452356923625)</f>
        <v>-0.1511452357</v>
      </c>
      <c r="H205" s="4"/>
      <c r="I205" s="5" t="s">
        <v>2708</v>
      </c>
      <c r="J205" s="5" t="s">
        <v>2208</v>
      </c>
      <c r="K205" s="5">
        <v>804.0</v>
      </c>
      <c r="L205" s="5">
        <v>-1.696008</v>
      </c>
      <c r="M205" s="5">
        <v>-0.926459</v>
      </c>
      <c r="N205" s="5">
        <v>-2.622467</v>
      </c>
      <c r="O205" s="5">
        <v>-0.151145</v>
      </c>
    </row>
    <row r="206">
      <c r="A206" s="18" t="str">
        <f>IFERROR(__xludf.DUMMYFUNCTION("""COMPUTED_VALUE"""),"Da Meng")</f>
        <v>Da Meng</v>
      </c>
      <c r="B206" s="19" t="str">
        <f>IFERROR(__xludf.DUMMYFUNCTION("""COMPUTED_VALUE"""),"SICH")</f>
        <v>SICH</v>
      </c>
      <c r="C206" s="20">
        <f>IFERROR(__xludf.DUMMYFUNCTION("""COMPUTED_VALUE"""),1087.8)</f>
        <v>1087.8</v>
      </c>
      <c r="D206" s="21">
        <f>IFERROR(__xludf.DUMMYFUNCTION("""COMPUTED_VALUE"""),-1.0080947243628149)</f>
        <v>-1.008094724</v>
      </c>
      <c r="E206" s="21">
        <f>IFERROR(__xludf.DUMMYFUNCTION("""COMPUTED_VALUE"""),-1.7145762519707475)</f>
        <v>-1.714576252</v>
      </c>
      <c r="F206" s="21">
        <f>IFERROR(__xludf.DUMMYFUNCTION("""COMPUTED_VALUE"""),-2.7226709763335624)</f>
        <v>-2.722670976</v>
      </c>
      <c r="G206" s="23">
        <f>IFERROR(__xludf.DUMMYFUNCTION("""COMPUTED_VALUE"""),-0.2699264158165144)</f>
        <v>-0.2699264158</v>
      </c>
      <c r="H206" s="4"/>
      <c r="I206" s="5" t="s">
        <v>2709</v>
      </c>
      <c r="J206" s="5" t="s">
        <v>2186</v>
      </c>
      <c r="K206" s="24">
        <v>1088.0</v>
      </c>
      <c r="L206" s="5">
        <v>-1.008055</v>
      </c>
      <c r="M206" s="5">
        <v>-1.714616</v>
      </c>
      <c r="N206" s="5">
        <v>-2.722671</v>
      </c>
      <c r="O206" s="5">
        <v>-0.269926</v>
      </c>
    </row>
    <row r="207">
      <c r="A207" s="12" t="str">
        <f>IFERROR(__xludf.DUMMYFUNCTION("""COMPUTED_VALUE"""),"Liu Hang")</f>
        <v>Liu Hang</v>
      </c>
      <c r="B207" s="13" t="str">
        <f>IFERROR(__xludf.DUMMYFUNCTION("""COMPUTED_VALUE"""),"BFT")</f>
        <v>BFT</v>
      </c>
      <c r="C207" s="14">
        <f>IFERROR(__xludf.DUMMYFUNCTION("""COMPUTED_VALUE"""),1010.3)</f>
        <v>1010.3</v>
      </c>
      <c r="D207" s="15">
        <f>IFERROR(__xludf.DUMMYFUNCTION("""COMPUTED_VALUE"""),-2.4359413150144724)</f>
        <v>-2.435941315</v>
      </c>
      <c r="E207" s="15">
        <f>IFERROR(__xludf.DUMMYFUNCTION("""COMPUTED_VALUE"""),-0.31953615246654543)</f>
        <v>-0.3195361525</v>
      </c>
      <c r="F207" s="15">
        <f>IFERROR(__xludf.DUMMYFUNCTION("""COMPUTED_VALUE"""),-2.755477467481018)</f>
        <v>-2.755477467</v>
      </c>
      <c r="G207" s="17">
        <f>IFERROR(__xludf.DUMMYFUNCTION("""COMPUTED_VALUE"""),-0.23359208427632655)</f>
        <v>-0.2335920843</v>
      </c>
      <c r="H207" s="4"/>
      <c r="I207" s="5" t="s">
        <v>2710</v>
      </c>
      <c r="J207" s="5" t="s">
        <v>2429</v>
      </c>
      <c r="K207" s="24">
        <v>1010.0</v>
      </c>
      <c r="L207" s="5">
        <v>-2.435901</v>
      </c>
      <c r="M207" s="5">
        <v>-0.319576</v>
      </c>
      <c r="N207" s="5">
        <v>-2.755477</v>
      </c>
      <c r="O207" s="5">
        <v>-0.233592</v>
      </c>
    </row>
    <row r="208">
      <c r="A208" s="18" t="str">
        <f>IFERROR(__xludf.DUMMYFUNCTION("""COMPUTED_VALUE"""),"Zhang Fan")</f>
        <v>Zhang Fan</v>
      </c>
      <c r="B208" s="19" t="str">
        <f>IFERROR(__xludf.DUMMYFUNCTION("""COMPUTED_VALUE"""),"GFD")</f>
        <v>GFD</v>
      </c>
      <c r="C208" s="20">
        <f>IFERROR(__xludf.DUMMYFUNCTION("""COMPUTED_VALUE"""),117.0)</f>
        <v>117</v>
      </c>
      <c r="D208" s="21">
        <f>IFERROR(__xludf.DUMMYFUNCTION("""COMPUTED_VALUE"""),-1.7233600992509905)</f>
        <v>-1.723360099</v>
      </c>
      <c r="E208" s="21">
        <f>IFERROR(__xludf.DUMMYFUNCTION("""COMPUTED_VALUE"""),-1.0579591395891903)</f>
        <v>-1.05795914</v>
      </c>
      <c r="F208" s="21">
        <f>IFERROR(__xludf.DUMMYFUNCTION("""COMPUTED_VALUE"""),-2.781319238840181)</f>
        <v>-2.781319239</v>
      </c>
      <c r="G208" s="23">
        <f>IFERROR(__xludf.DUMMYFUNCTION("""COMPUTED_VALUE"""),-0.027589448826604197)</f>
        <v>-0.02758944883</v>
      </c>
      <c r="H208" s="4"/>
      <c r="I208" s="5" t="s">
        <v>2711</v>
      </c>
      <c r="J208" s="5" t="s">
        <v>2219</v>
      </c>
      <c r="K208" s="5">
        <v>117.0</v>
      </c>
      <c r="L208" s="5">
        <v>-1.723344</v>
      </c>
      <c r="M208" s="5">
        <v>-1.057975</v>
      </c>
      <c r="N208" s="5">
        <v>-2.781319</v>
      </c>
      <c r="O208" s="5">
        <v>-0.027589</v>
      </c>
    </row>
    <row r="209">
      <c r="A209" s="12" t="str">
        <f>IFERROR(__xludf.DUMMYFUNCTION("""COMPUTED_VALUE"""),"Tian Lei")</f>
        <v>Tian Lei</v>
      </c>
      <c r="B209" s="13" t="str">
        <f>IFERROR(__xludf.DUMMYFUNCTION("""COMPUTED_VALUE"""),"TIA")</f>
        <v>TIA</v>
      </c>
      <c r="C209" s="14">
        <f>IFERROR(__xludf.DUMMYFUNCTION("""COMPUTED_VALUE"""),725.7)</f>
        <v>725.7</v>
      </c>
      <c r="D209" s="15">
        <f>IFERROR(__xludf.DUMMYFUNCTION("""COMPUTED_VALUE"""),-1.4514063662480443)</f>
        <v>-1.451406366</v>
      </c>
      <c r="E209" s="15">
        <f>IFERROR(__xludf.DUMMYFUNCTION("""COMPUTED_VALUE"""),-1.3536591168984713)</f>
        <v>-1.353659117</v>
      </c>
      <c r="F209" s="15">
        <f>IFERROR(__xludf.DUMMYFUNCTION("""COMPUTED_VALUE"""),-2.8050654831465156)</f>
        <v>-2.805065483</v>
      </c>
      <c r="G209" s="17">
        <f>IFERROR(__xludf.DUMMYFUNCTION("""COMPUTED_VALUE"""),-0.16960017293626015)</f>
        <v>-0.1696001729</v>
      </c>
      <c r="H209" s="4"/>
      <c r="I209" s="5" t="s">
        <v>2712</v>
      </c>
      <c r="J209" s="5" t="s">
        <v>2229</v>
      </c>
      <c r="K209" s="5">
        <v>726.0</v>
      </c>
      <c r="L209" s="5">
        <v>-1.451366</v>
      </c>
      <c r="M209" s="5">
        <v>-1.353699</v>
      </c>
      <c r="N209" s="5">
        <v>-2.805065</v>
      </c>
      <c r="O209" s="5">
        <v>-0.1696</v>
      </c>
    </row>
    <row r="210">
      <c r="A210" s="18" t="str">
        <f>IFERROR(__xludf.DUMMYFUNCTION("""COMPUTED_VALUE"""),"Pengfei Yan")</f>
        <v>Pengfei Yan</v>
      </c>
      <c r="B210" s="19" t="str">
        <f>IFERROR(__xludf.DUMMYFUNCTION("""COMPUTED_VALUE"""),"SZD")</f>
        <v>SZD</v>
      </c>
      <c r="C210" s="20">
        <f>IFERROR(__xludf.DUMMYFUNCTION("""COMPUTED_VALUE"""),779.4)</f>
        <v>779.4</v>
      </c>
      <c r="D210" s="21">
        <f>IFERROR(__xludf.DUMMYFUNCTION("""COMPUTED_VALUE"""),-1.8552916459272135)</f>
        <v>-1.855291646</v>
      </c>
      <c r="E210" s="21">
        <f>IFERROR(__xludf.DUMMYFUNCTION("""COMPUTED_VALUE"""),-0.9970659263593069)</f>
        <v>-0.9970659264</v>
      </c>
      <c r="F210" s="21">
        <f>IFERROR(__xludf.DUMMYFUNCTION("""COMPUTED_VALUE"""),-2.8523575722865204)</f>
        <v>-2.852357572</v>
      </c>
      <c r="G210" s="23">
        <f>IFERROR(__xludf.DUMMYFUNCTION("""COMPUTED_VALUE"""),-0.20363451167299432)</f>
        <v>-0.2036345117</v>
      </c>
      <c r="H210" s="4"/>
      <c r="I210" s="5" t="s">
        <v>2713</v>
      </c>
      <c r="J210" s="5" t="s">
        <v>2244</v>
      </c>
      <c r="K210" s="5">
        <v>779.0</v>
      </c>
      <c r="L210" s="5">
        <v>-1.855251</v>
      </c>
      <c r="M210" s="5">
        <v>-0.997106</v>
      </c>
      <c r="N210" s="5">
        <v>-2.852358</v>
      </c>
      <c r="O210" s="5">
        <v>-0.203635</v>
      </c>
    </row>
    <row r="211">
      <c r="A211" s="12" t="str">
        <f>IFERROR(__xludf.DUMMYFUNCTION("""COMPUTED_VALUE"""),"Zhang Hui")</f>
        <v>Zhang Hui</v>
      </c>
      <c r="B211" s="13" t="str">
        <f>IFERROR(__xludf.DUMMYFUNCTION("""COMPUTED_VALUE"""),"SHA")</f>
        <v>SHA</v>
      </c>
      <c r="C211" s="14">
        <f>IFERROR(__xludf.DUMMYFUNCTION("""COMPUTED_VALUE"""),643.7)</f>
        <v>643.7</v>
      </c>
      <c r="D211" s="15">
        <f>IFERROR(__xludf.DUMMYFUNCTION("""COMPUTED_VALUE"""),-2.795072261895454)</f>
        <v>-2.795072262</v>
      </c>
      <c r="E211" s="15">
        <f>IFERROR(__xludf.DUMMYFUNCTION("""COMPUTED_VALUE"""),-0.09955668108126048)</f>
        <v>-0.09955668108</v>
      </c>
      <c r="F211" s="15">
        <f>IFERROR(__xludf.DUMMYFUNCTION("""COMPUTED_VALUE"""),-2.8946289429767145)</f>
        <v>-2.894628943</v>
      </c>
      <c r="G211" s="17">
        <f>IFERROR(__xludf.DUMMYFUNCTION("""COMPUTED_VALUE"""),-0.17562240559185363)</f>
        <v>-0.1756224056</v>
      </c>
      <c r="H211" s="4"/>
      <c r="I211" s="5" t="s">
        <v>2714</v>
      </c>
      <c r="J211" s="5" t="s">
        <v>2201</v>
      </c>
      <c r="K211" s="5">
        <v>644.0</v>
      </c>
      <c r="L211" s="5">
        <v>-2.795032</v>
      </c>
      <c r="M211" s="5">
        <v>-0.099597</v>
      </c>
      <c r="N211" s="5">
        <v>-2.894629</v>
      </c>
      <c r="O211" s="5">
        <v>-0.175622</v>
      </c>
    </row>
    <row r="212">
      <c r="A212" s="18" t="str">
        <f>IFERROR(__xludf.DUMMYFUNCTION("""COMPUTED_VALUE"""),"Qiao Wenhan")</f>
        <v>Qiao Wenhan</v>
      </c>
      <c r="B212" s="19" t="str">
        <f>IFERROR(__xludf.DUMMYFUNCTION("""COMPUTED_VALUE"""),"TONG")</f>
        <v>TONG</v>
      </c>
      <c r="C212" s="20">
        <f>IFERROR(__xludf.DUMMYFUNCTION("""COMPUTED_VALUE"""),129.4)</f>
        <v>129.4</v>
      </c>
      <c r="D212" s="21">
        <f>IFERROR(__xludf.DUMMYFUNCTION("""COMPUTED_VALUE"""),-2.863650765589734)</f>
        <v>-2.863650766</v>
      </c>
      <c r="E212" s="21">
        <f>IFERROR(__xludf.DUMMYFUNCTION("""COMPUTED_VALUE"""),-0.06327146566267805)</f>
        <v>-0.06327146566</v>
      </c>
      <c r="F212" s="21">
        <f>IFERROR(__xludf.DUMMYFUNCTION("""COMPUTED_VALUE"""),-2.926922231252412)</f>
        <v>-2.926922231</v>
      </c>
      <c r="G212" s="23">
        <f>IFERROR(__xludf.DUMMYFUNCTION("""COMPUTED_VALUE"""),-0.036678247157344634)</f>
        <v>-0.03667824716</v>
      </c>
      <c r="H212" s="4"/>
      <c r="I212" s="5" t="s">
        <v>2715</v>
      </c>
      <c r="J212" s="5" t="s">
        <v>2236</v>
      </c>
      <c r="K212" s="5">
        <v>129.0</v>
      </c>
      <c r="L212" s="5">
        <v>-2.863633</v>
      </c>
      <c r="M212" s="5">
        <v>-0.063289</v>
      </c>
      <c r="N212" s="5">
        <v>-2.926922</v>
      </c>
      <c r="O212" s="5">
        <v>-0.036678</v>
      </c>
    </row>
    <row r="213">
      <c r="A213" s="12" t="str">
        <f>IFERROR(__xludf.DUMMYFUNCTION("""COMPUTED_VALUE"""),"Ming Yang")</f>
        <v>Ming Yang</v>
      </c>
      <c r="B213" s="13" t="str">
        <f>IFERROR(__xludf.DUMMYFUNCTION("""COMPUTED_VALUE"""),"LIA")</f>
        <v>LIA</v>
      </c>
      <c r="C213" s="14">
        <f>IFERROR(__xludf.DUMMYFUNCTION("""COMPUTED_VALUE"""),240.5)</f>
        <v>240.5</v>
      </c>
      <c r="D213" s="15">
        <f>IFERROR(__xludf.DUMMYFUNCTION("""COMPUTED_VALUE"""),-3.651269910000188)</f>
        <v>-3.65126991</v>
      </c>
      <c r="E213" s="15">
        <f>IFERROR(__xludf.DUMMYFUNCTION("""COMPUTED_VALUE"""),0.6343709991454287)</f>
        <v>0.6343709991</v>
      </c>
      <c r="F213" s="15">
        <f>IFERROR(__xludf.DUMMYFUNCTION("""COMPUTED_VALUE"""),-3.0168989108547595)</f>
        <v>-3.016898911</v>
      </c>
      <c r="G213" s="17">
        <f>IFERROR(__xludf.DUMMYFUNCTION("""COMPUTED_VALUE"""),-0.07475819126524239)</f>
        <v>-0.07475819127</v>
      </c>
      <c r="H213" s="4"/>
      <c r="I213" s="5" t="s">
        <v>2716</v>
      </c>
      <c r="J213" s="5" t="s">
        <v>2205</v>
      </c>
      <c r="K213" s="5">
        <v>241.0</v>
      </c>
      <c r="L213" s="5">
        <v>-3.651238</v>
      </c>
      <c r="M213" s="5">
        <v>0.634339</v>
      </c>
      <c r="N213" s="5">
        <v>-3.016899</v>
      </c>
      <c r="O213" s="5">
        <v>-0.074758</v>
      </c>
    </row>
    <row r="214">
      <c r="A214" s="18" t="str">
        <f>IFERROR(__xludf.DUMMYFUNCTION("""COMPUTED_VALUE"""),"Mingxin Ju")</f>
        <v>Mingxin Ju</v>
      </c>
      <c r="B214" s="19" t="str">
        <f>IFERROR(__xludf.DUMMYFUNCTION("""COMPUTED_VALUE"""),"GFD")</f>
        <v>GFD</v>
      </c>
      <c r="C214" s="20">
        <f>IFERROR(__xludf.DUMMYFUNCTION("""COMPUTED_VALUE"""),757.5)</f>
        <v>757.5</v>
      </c>
      <c r="D214" s="21">
        <f>IFERROR(__xludf.DUMMYFUNCTION("""COMPUTED_VALUE"""),-1.644463599133433)</f>
        <v>-1.644463599</v>
      </c>
      <c r="E214" s="21">
        <f>IFERROR(__xludf.DUMMYFUNCTION("""COMPUTED_VALUE"""),-1.374277327775923)</f>
        <v>-1.374277328</v>
      </c>
      <c r="F214" s="21">
        <f>IFERROR(__xludf.DUMMYFUNCTION("""COMPUTED_VALUE"""),-3.018740926909356)</f>
        <v>-3.018740927</v>
      </c>
      <c r="G214" s="23">
        <f>IFERROR(__xludf.DUMMYFUNCTION("""COMPUTED_VALUE"""),-0.23290297462048576)</f>
        <v>-0.2329029746</v>
      </c>
      <c r="H214" s="4"/>
      <c r="I214" s="5" t="s">
        <v>2717</v>
      </c>
      <c r="J214" s="5" t="s">
        <v>2219</v>
      </c>
      <c r="K214" s="5">
        <v>758.0</v>
      </c>
      <c r="L214" s="5">
        <v>-1.644423</v>
      </c>
      <c r="M214" s="5">
        <v>-1.374318</v>
      </c>
      <c r="N214" s="5">
        <v>-3.018741</v>
      </c>
      <c r="O214" s="5">
        <v>-0.232903</v>
      </c>
    </row>
    <row r="215">
      <c r="A215" s="12" t="str">
        <f>IFERROR(__xludf.DUMMYFUNCTION("""COMPUTED_VALUE"""),"ZhongHao Xu")</f>
        <v>ZhongHao Xu</v>
      </c>
      <c r="B215" s="13" t="str">
        <f>IFERROR(__xludf.DUMMYFUNCTION("""COMPUTED_VALUE"""),"BFT")</f>
        <v>BFT</v>
      </c>
      <c r="C215" s="14">
        <f>IFERROR(__xludf.DUMMYFUNCTION("""COMPUTED_VALUE"""),696.2)</f>
        <v>696.2</v>
      </c>
      <c r="D215" s="15">
        <f>IFERROR(__xludf.DUMMYFUNCTION("""COMPUTED_VALUE"""),-6.302751700131516)</f>
        <v>-6.3027517</v>
      </c>
      <c r="E215" s="15">
        <f>IFERROR(__xludf.DUMMYFUNCTION("""COMPUTED_VALUE"""),3.2370627436679458)</f>
        <v>3.237062744</v>
      </c>
      <c r="F215" s="15">
        <f>IFERROR(__xludf.DUMMYFUNCTION("""COMPUTED_VALUE"""),-3.0656889564635703)</f>
        <v>-3.065688956</v>
      </c>
      <c r="G215" s="17">
        <f>IFERROR(__xludf.DUMMYFUNCTION("""COMPUTED_VALUE"""),-0.22706528252764677)</f>
        <v>-0.2270652825</v>
      </c>
      <c r="H215" s="4"/>
      <c r="I215" s="5" t="s">
        <v>2718</v>
      </c>
      <c r="J215" s="5" t="s">
        <v>2429</v>
      </c>
      <c r="K215" s="5">
        <v>696.0</v>
      </c>
      <c r="L215" s="5">
        <v>-6.302712</v>
      </c>
      <c r="M215" s="5">
        <v>3.237023</v>
      </c>
      <c r="N215" s="5">
        <v>-3.065689</v>
      </c>
      <c r="O215" s="5">
        <v>-0.227065</v>
      </c>
    </row>
    <row r="216">
      <c r="A216" s="18" t="str">
        <f>IFERROR(__xludf.DUMMYFUNCTION("""COMPUTED_VALUE"""),"Tianyi Hou")</f>
        <v>Tianyi Hou</v>
      </c>
      <c r="B216" s="19" t="str">
        <f>IFERROR(__xludf.DUMMYFUNCTION("""COMPUTED_VALUE"""),"SICH")</f>
        <v>SICH</v>
      </c>
      <c r="C216" s="20">
        <f>IFERROR(__xludf.DUMMYFUNCTION("""COMPUTED_VALUE"""),98.3)</f>
        <v>98.3</v>
      </c>
      <c r="D216" s="21">
        <f>IFERROR(__xludf.DUMMYFUNCTION("""COMPUTED_VALUE"""),-1.982969720388776)</f>
        <v>-1.98296972</v>
      </c>
      <c r="E216" s="21">
        <f>IFERROR(__xludf.DUMMYFUNCTION("""COMPUTED_VALUE"""),-1.1026714461806755)</f>
        <v>-1.102671446</v>
      </c>
      <c r="F216" s="21">
        <f>IFERROR(__xludf.DUMMYFUNCTION("""COMPUTED_VALUE"""),-3.0856411665694514)</f>
        <v>-3.085641167</v>
      </c>
      <c r="G216" s="23">
        <f>IFERROR(__xludf.DUMMYFUNCTION("""COMPUTED_VALUE"""),-0.036643381263523685)</f>
        <v>-0.03664338126</v>
      </c>
      <c r="H216" s="4"/>
      <c r="I216" s="5" t="s">
        <v>2719</v>
      </c>
      <c r="J216" s="5" t="s">
        <v>2186</v>
      </c>
      <c r="K216" s="5">
        <v>98.0</v>
      </c>
      <c r="L216" s="5">
        <v>-1.982957</v>
      </c>
      <c r="M216" s="5">
        <v>-1.102685</v>
      </c>
      <c r="N216" s="5">
        <v>-3.085641</v>
      </c>
      <c r="O216" s="5">
        <v>-0.036643</v>
      </c>
    </row>
    <row r="217">
      <c r="A217" s="12" t="str">
        <f>IFERROR(__xludf.DUMMYFUNCTION("""COMPUTED_VALUE"""),"Ke Wu")</f>
        <v>Ke Wu</v>
      </c>
      <c r="B217" s="13" t="str">
        <f>IFERROR(__xludf.DUMMYFUNCTION("""COMPUTED_VALUE"""),"SHA")</f>
        <v>SHA</v>
      </c>
      <c r="C217" s="14">
        <f>IFERROR(__xludf.DUMMYFUNCTION("""COMPUTED_VALUE"""),655.0)</f>
        <v>655</v>
      </c>
      <c r="D217" s="15">
        <f>IFERROR(__xludf.DUMMYFUNCTION("""COMPUTED_VALUE"""),-4.2915039651985785)</f>
        <v>-4.291503965</v>
      </c>
      <c r="E217" s="15">
        <f>IFERROR(__xludf.DUMMYFUNCTION("""COMPUTED_VALUE"""),1.197428268415024)</f>
        <v>1.197428268</v>
      </c>
      <c r="F217" s="15">
        <f>IFERROR(__xludf.DUMMYFUNCTION("""COMPUTED_VALUE"""),-3.0940756967835545)</f>
        <v>-3.094075697</v>
      </c>
      <c r="G217" s="17">
        <f>IFERROR(__xludf.DUMMYFUNCTION("""COMPUTED_VALUE"""),-0.21854563617262515)</f>
        <v>-0.2185456362</v>
      </c>
      <c r="H217" s="4"/>
      <c r="I217" s="5" t="s">
        <v>2720</v>
      </c>
      <c r="J217" s="5" t="s">
        <v>2201</v>
      </c>
      <c r="K217" s="5">
        <v>655.0</v>
      </c>
      <c r="L217" s="5">
        <v>-4.291464</v>
      </c>
      <c r="M217" s="5">
        <v>1.197388</v>
      </c>
      <c r="N217" s="5">
        <v>-3.094076</v>
      </c>
      <c r="O217" s="5">
        <v>-0.218546</v>
      </c>
    </row>
    <row r="218">
      <c r="A218" s="18" t="str">
        <f>IFERROR(__xludf.DUMMYFUNCTION("""COMPUTED_VALUE"""),"Lu Yiwen")</f>
        <v>Lu Yiwen</v>
      </c>
      <c r="B218" s="19" t="str">
        <f>IFERROR(__xludf.DUMMYFUNCTION("""COMPUTED_VALUE"""),"DON")</f>
        <v>DON</v>
      </c>
      <c r="C218" s="20">
        <f>IFERROR(__xludf.DUMMYFUNCTION("""COMPUTED_VALUE"""),439.6)</f>
        <v>439.6</v>
      </c>
      <c r="D218" s="21">
        <f>IFERROR(__xludf.DUMMYFUNCTION("""COMPUTED_VALUE"""),-3.455977548959399)</f>
        <v>-3.455977549</v>
      </c>
      <c r="E218" s="21">
        <f>IFERROR(__xludf.DUMMYFUNCTION("""COMPUTED_VALUE"""),0.3107061217381255)</f>
        <v>0.3107061217</v>
      </c>
      <c r="F218" s="21">
        <f>IFERROR(__xludf.DUMMYFUNCTION("""COMPUTED_VALUE"""),-3.1452714272212736)</f>
        <v>-3.145271427</v>
      </c>
      <c r="G218" s="23">
        <f>IFERROR(__xludf.DUMMYFUNCTION("""COMPUTED_VALUE"""),-0.15285598940799322)</f>
        <v>-0.1528559894</v>
      </c>
      <c r="H218" s="4"/>
      <c r="I218" s="5" t="s">
        <v>2721</v>
      </c>
      <c r="J218" s="5" t="s">
        <v>2217</v>
      </c>
      <c r="K218" s="5">
        <v>440.0</v>
      </c>
      <c r="L218" s="5">
        <v>-3.455937</v>
      </c>
      <c r="M218" s="5">
        <v>0.310666</v>
      </c>
      <c r="N218" s="5">
        <v>-3.145271</v>
      </c>
      <c r="O218" s="5">
        <v>-0.152856</v>
      </c>
    </row>
    <row r="219">
      <c r="A219" s="12" t="str">
        <f>IFERROR(__xludf.DUMMYFUNCTION("""COMPUTED_VALUE"""),"He Zhongda")</f>
        <v>He Zhongda</v>
      </c>
      <c r="B219" s="13" t="str">
        <f>IFERROR(__xludf.DUMMYFUNCTION("""COMPUTED_VALUE"""),"FUJ")</f>
        <v>FUJ</v>
      </c>
      <c r="C219" s="14">
        <f>IFERROR(__xludf.DUMMYFUNCTION("""COMPUTED_VALUE"""),215.2)</f>
        <v>215.2</v>
      </c>
      <c r="D219" s="15">
        <f>IFERROR(__xludf.DUMMYFUNCTION("""COMPUTED_VALUE"""),-3.2282855410966156)</f>
        <v>-3.228285541</v>
      </c>
      <c r="E219" s="15">
        <f>IFERROR(__xludf.DUMMYFUNCTION("""COMPUTED_VALUE"""),0.0750601394528192)</f>
        <v>0.07506013945</v>
      </c>
      <c r="F219" s="15">
        <f>IFERROR(__xludf.DUMMYFUNCTION("""COMPUTED_VALUE"""),-3.1532254016437964)</f>
        <v>-3.153225402</v>
      </c>
      <c r="G219" s="17">
        <f>IFERROR(__xludf.DUMMYFUNCTION("""COMPUTED_VALUE"""),-0.07533366197828226)</f>
        <v>-0.07533366198</v>
      </c>
      <c r="H219" s="4"/>
      <c r="I219" s="5" t="s">
        <v>2722</v>
      </c>
      <c r="J219" s="5" t="s">
        <v>2198</v>
      </c>
      <c r="K219" s="5">
        <v>215.0</v>
      </c>
      <c r="L219" s="5">
        <v>-3.228257</v>
      </c>
      <c r="M219" s="5">
        <v>0.075031</v>
      </c>
      <c r="N219" s="5">
        <v>-3.153225</v>
      </c>
      <c r="O219" s="5">
        <v>-0.075334</v>
      </c>
    </row>
    <row r="220">
      <c r="A220" s="18" t="str">
        <f>IFERROR(__xludf.DUMMYFUNCTION("""COMPUTED_VALUE"""),"Wei Lu")</f>
        <v>Wei Lu</v>
      </c>
      <c r="B220" s="19" t="str">
        <f>IFERROR(__xludf.DUMMYFUNCTION("""COMPUTED_VALUE"""),"SDS")</f>
        <v>SDS</v>
      </c>
      <c r="C220" s="20">
        <f>IFERROR(__xludf.DUMMYFUNCTION("""COMPUTED_VALUE"""),899.8)</f>
        <v>899.8</v>
      </c>
      <c r="D220" s="21">
        <f>IFERROR(__xludf.DUMMYFUNCTION("""COMPUTED_VALUE"""),-2.204122929953214)</f>
        <v>-2.20412293</v>
      </c>
      <c r="E220" s="21">
        <f>IFERROR(__xludf.DUMMYFUNCTION("""COMPUTED_VALUE"""),-0.9653821939576828)</f>
        <v>-0.965382194</v>
      </c>
      <c r="F220" s="21">
        <f>IFERROR(__xludf.DUMMYFUNCTION("""COMPUTED_VALUE"""),-3.1695051239108967)</f>
        <v>-3.169505124</v>
      </c>
      <c r="G220" s="23">
        <f>IFERROR(__xludf.DUMMYFUNCTION("""COMPUTED_VALUE"""),-0.3181576102818973)</f>
        <v>-0.3181576103</v>
      </c>
      <c r="H220" s="4"/>
      <c r="I220" s="5" t="s">
        <v>2723</v>
      </c>
      <c r="J220" s="5" t="s">
        <v>2214</v>
      </c>
      <c r="K220" s="5">
        <v>900.0</v>
      </c>
      <c r="L220" s="5">
        <v>-2.204083</v>
      </c>
      <c r="M220" s="5">
        <v>-0.965422</v>
      </c>
      <c r="N220" s="5">
        <v>-3.169505</v>
      </c>
      <c r="O220" s="5">
        <v>-0.318158</v>
      </c>
    </row>
    <row r="221">
      <c r="A221" s="12" t="str">
        <f>IFERROR(__xludf.DUMMYFUNCTION("""COMPUTED_VALUE"""),"Cairen Zhang")</f>
        <v>Cairen Zhang</v>
      </c>
      <c r="B221" s="13" t="str">
        <f>IFERROR(__xludf.DUMMYFUNCTION("""COMPUTED_VALUE"""),"BSD")</f>
        <v>BSD</v>
      </c>
      <c r="C221" s="14">
        <f>IFERROR(__xludf.DUMMYFUNCTION("""COMPUTED_VALUE"""),232.8)</f>
        <v>232.8</v>
      </c>
      <c r="D221" s="15">
        <f>IFERROR(__xludf.DUMMYFUNCTION("""COMPUTED_VALUE"""),-1.6580971278177394)</f>
        <v>-1.658097128</v>
      </c>
      <c r="E221" s="15">
        <f>IFERROR(__xludf.DUMMYFUNCTION("""COMPUTED_VALUE"""),-1.5247619030434574)</f>
        <v>-1.524761903</v>
      </c>
      <c r="F221" s="15">
        <f>IFERROR(__xludf.DUMMYFUNCTION("""COMPUTED_VALUE"""),-3.182859030861197)</f>
        <v>-3.182859031</v>
      </c>
      <c r="G221" s="17">
        <f>IFERROR(__xludf.DUMMYFUNCTION("""COMPUTED_VALUE"""),-0.08342577771203717)</f>
        <v>-0.08342577771</v>
      </c>
      <c r="H221" s="4"/>
      <c r="I221" s="5" t="s">
        <v>2724</v>
      </c>
      <c r="J221" s="5" t="s">
        <v>2211</v>
      </c>
      <c r="K221" s="5">
        <v>233.0</v>
      </c>
      <c r="L221" s="5">
        <v>-1.658066</v>
      </c>
      <c r="M221" s="5">
        <v>-1.524793</v>
      </c>
      <c r="N221" s="5">
        <v>-3.182859</v>
      </c>
      <c r="O221" s="5">
        <v>-0.083426</v>
      </c>
    </row>
    <row r="222">
      <c r="A222" s="18" t="str">
        <f>IFERROR(__xludf.DUMMYFUNCTION("""COMPUTED_VALUE"""),"Peng Ju")</f>
        <v>Peng Ju</v>
      </c>
      <c r="B222" s="19" t="str">
        <f>IFERROR(__xludf.DUMMYFUNCTION("""COMPUTED_VALUE"""),"ZGL")</f>
        <v>ZGL</v>
      </c>
      <c r="C222" s="20">
        <f>IFERROR(__xludf.DUMMYFUNCTION("""COMPUTED_VALUE"""),271.4)</f>
        <v>271.4</v>
      </c>
      <c r="D222" s="21">
        <f>IFERROR(__xludf.DUMMYFUNCTION("""COMPUTED_VALUE"""),-1.789905802554539)</f>
        <v>-1.789905803</v>
      </c>
      <c r="E222" s="21">
        <f>IFERROR(__xludf.DUMMYFUNCTION("""COMPUTED_VALUE"""),-1.3944811901245906)</f>
        <v>-1.39448119</v>
      </c>
      <c r="F222" s="21">
        <f>IFERROR(__xludf.DUMMYFUNCTION("""COMPUTED_VALUE"""),-3.1843869926791295)</f>
        <v>-3.184386993</v>
      </c>
      <c r="G222" s="23">
        <f>IFERROR(__xludf.DUMMYFUNCTION("""COMPUTED_VALUE"""),-0.10653062714082062)</f>
        <v>-0.1065306271</v>
      </c>
      <c r="H222" s="4"/>
      <c r="I222" s="5" t="s">
        <v>2725</v>
      </c>
      <c r="J222" s="5" t="s">
        <v>2194</v>
      </c>
      <c r="K222" s="5">
        <v>271.0</v>
      </c>
      <c r="L222" s="5">
        <v>-1.789869</v>
      </c>
      <c r="M222" s="5">
        <v>-1.394518</v>
      </c>
      <c r="N222" s="5">
        <v>-3.184387</v>
      </c>
      <c r="O222" s="5">
        <v>-0.106531</v>
      </c>
    </row>
    <row r="223">
      <c r="A223" s="12" t="str">
        <f>IFERROR(__xludf.DUMMYFUNCTION("""COMPUTED_VALUE"""),"Kai Jiang")</f>
        <v>Kai Jiang</v>
      </c>
      <c r="B223" s="13" t="str">
        <f>IFERROR(__xludf.DUMMYFUNCTION("""COMPUTED_VALUE"""),"ZCB")</f>
        <v>ZCB</v>
      </c>
      <c r="C223" s="14">
        <f>IFERROR(__xludf.DUMMYFUNCTION("""COMPUTED_VALUE"""),619.4)</f>
        <v>619.4</v>
      </c>
      <c r="D223" s="15">
        <f>IFERROR(__xludf.DUMMYFUNCTION("""COMPUTED_VALUE"""),-4.018218362847991)</f>
        <v>-4.018218363</v>
      </c>
      <c r="E223" s="15">
        <f>IFERROR(__xludf.DUMMYFUNCTION("""COMPUTED_VALUE"""),0.8265662341878128)</f>
        <v>0.8265662342</v>
      </c>
      <c r="F223" s="15">
        <f>IFERROR(__xludf.DUMMYFUNCTION("""COMPUTED_VALUE"""),-3.191652128660178)</f>
        <v>-3.191652129</v>
      </c>
      <c r="G223" s="17">
        <f>IFERROR(__xludf.DUMMYFUNCTION("""COMPUTED_VALUE"""),-0.22545237921436992)</f>
        <v>-0.2254523792</v>
      </c>
      <c r="H223" s="4"/>
      <c r="I223" s="5" t="s">
        <v>2726</v>
      </c>
      <c r="J223" s="5" t="s">
        <v>2223</v>
      </c>
      <c r="K223" s="5">
        <v>619.0</v>
      </c>
      <c r="L223" s="5">
        <v>-4.018982</v>
      </c>
      <c r="M223" s="5">
        <v>0.82733</v>
      </c>
      <c r="N223" s="5">
        <v>-3.191652</v>
      </c>
      <c r="O223" s="5">
        <v>-0.225452</v>
      </c>
    </row>
    <row r="224">
      <c r="A224" s="18" t="str">
        <f>IFERROR(__xludf.DUMMYFUNCTION("""COMPUTED_VALUE"""),"Liu Zeyi")</f>
        <v>Liu Zeyi</v>
      </c>
      <c r="B224" s="19" t="str">
        <f>IFERROR(__xludf.DUMMYFUNCTION("""COMPUTED_VALUE"""),"ZCB")</f>
        <v>ZCB</v>
      </c>
      <c r="C224" s="20">
        <f>IFERROR(__xludf.DUMMYFUNCTION("""COMPUTED_VALUE"""),197.4)</f>
        <v>197.4</v>
      </c>
      <c r="D224" s="21">
        <f>IFERROR(__xludf.DUMMYFUNCTION("""COMPUTED_VALUE"""),-3.381791888771044)</f>
        <v>-3.381791889</v>
      </c>
      <c r="E224" s="21">
        <f>IFERROR(__xludf.DUMMYFUNCTION("""COMPUTED_VALUE"""),0.1479791669238688)</f>
        <v>0.1479791669</v>
      </c>
      <c r="F224" s="21">
        <f>IFERROR(__xludf.DUMMYFUNCTION("""COMPUTED_VALUE"""),-3.2338127218471753)</f>
        <v>-3.233812722</v>
      </c>
      <c r="G224" s="23">
        <f>IFERROR(__xludf.DUMMYFUNCTION("""COMPUTED_VALUE"""),-0.07439273421158131)</f>
        <v>-0.07439273421</v>
      </c>
      <c r="H224" s="4"/>
      <c r="I224" s="5" t="s">
        <v>2727</v>
      </c>
      <c r="J224" s="5" t="s">
        <v>2223</v>
      </c>
      <c r="K224" s="5">
        <v>197.0</v>
      </c>
      <c r="L224" s="5">
        <v>-3.382294</v>
      </c>
      <c r="M224" s="5">
        <v>0.148481</v>
      </c>
      <c r="N224" s="5">
        <v>-3.233813</v>
      </c>
      <c r="O224" s="5">
        <v>-0.074393</v>
      </c>
    </row>
    <row r="225">
      <c r="A225" s="12" t="str">
        <f>IFERROR(__xludf.DUMMYFUNCTION("""COMPUTED_VALUE"""),"Tian Guisen")</f>
        <v>Tian Guisen</v>
      </c>
      <c r="B225" s="13" t="str">
        <f>IFERROR(__xludf.DUMMYFUNCTION("""COMPUTED_VALUE"""),"FUJ")</f>
        <v>FUJ</v>
      </c>
      <c r="C225" s="14">
        <f>IFERROR(__xludf.DUMMYFUNCTION("""COMPUTED_VALUE"""),189.1)</f>
        <v>189.1</v>
      </c>
      <c r="D225" s="15">
        <f>IFERROR(__xludf.DUMMYFUNCTION("""COMPUTED_VALUE"""),-1.8215619847221016)</f>
        <v>-1.821561985</v>
      </c>
      <c r="E225" s="15">
        <f>IFERROR(__xludf.DUMMYFUNCTION("""COMPUTED_VALUE"""),-1.4201118750089514)</f>
        <v>-1.420111875</v>
      </c>
      <c r="F225" s="15">
        <f>IFERROR(__xludf.DUMMYFUNCTION("""COMPUTED_VALUE"""),-3.241673859731053)</f>
        <v>-3.24167386</v>
      </c>
      <c r="G225" s="17">
        <f>IFERROR(__xludf.DUMMYFUNCTION("""COMPUTED_VALUE"""),-0.07127408970305611)</f>
        <v>-0.0712740897</v>
      </c>
      <c r="H225" s="4"/>
      <c r="I225" s="5" t="s">
        <v>2728</v>
      </c>
      <c r="J225" s="5" t="s">
        <v>2198</v>
      </c>
      <c r="K225" s="5">
        <v>189.0</v>
      </c>
      <c r="L225" s="5">
        <v>-1.821537</v>
      </c>
      <c r="M225" s="5">
        <v>-1.420137</v>
      </c>
      <c r="N225" s="5">
        <v>-3.241674</v>
      </c>
      <c r="O225" s="5">
        <v>-0.071274</v>
      </c>
    </row>
    <row r="226">
      <c r="A226" s="18" t="str">
        <f>IFERROR(__xludf.DUMMYFUNCTION("""COMPUTED_VALUE"""),"HanJun Chang")</f>
        <v>HanJun Chang</v>
      </c>
      <c r="B226" s="19" t="str">
        <f>IFERROR(__xludf.DUMMYFUNCTION("""COMPUTED_VALUE"""),"QIN")</f>
        <v>QIN</v>
      </c>
      <c r="C226" s="20">
        <f>IFERROR(__xludf.DUMMYFUNCTION("""COMPUTED_VALUE"""),275.6)</f>
        <v>275.6</v>
      </c>
      <c r="D226" s="21">
        <f>IFERROR(__xludf.DUMMYFUNCTION("""COMPUTED_VALUE"""),-3.1915826739737767)</f>
        <v>-3.191582674</v>
      </c>
      <c r="E226" s="21">
        <f>IFERROR(__xludf.DUMMYFUNCTION("""COMPUTED_VALUE"""),-0.08079952035608695)</f>
        <v>-0.08079952036</v>
      </c>
      <c r="F226" s="21">
        <f>IFERROR(__xludf.DUMMYFUNCTION("""COMPUTED_VALUE"""),-3.2723821943298637)</f>
        <v>-3.272382194</v>
      </c>
      <c r="G226" s="23">
        <f>IFERROR(__xludf.DUMMYFUNCTION("""COMPUTED_VALUE"""),-0.10792232328217008)</f>
        <v>-0.1079223233</v>
      </c>
      <c r="H226" s="4"/>
      <c r="I226" s="5" t="s">
        <v>2729</v>
      </c>
      <c r="J226" s="5" t="s">
        <v>2226</v>
      </c>
      <c r="K226" s="5">
        <v>276.0</v>
      </c>
      <c r="L226" s="5">
        <v>-3.191546</v>
      </c>
      <c r="M226" s="5">
        <v>-0.080836</v>
      </c>
      <c r="N226" s="5">
        <v>-3.272382</v>
      </c>
      <c r="O226" s="5">
        <v>-0.107922</v>
      </c>
    </row>
    <row r="227">
      <c r="A227" s="12" t="str">
        <f>IFERROR(__xludf.DUMMYFUNCTION("""COMPUTED_VALUE"""),"ShiYan Gao")</f>
        <v>ShiYan Gao</v>
      </c>
      <c r="B227" s="13" t="str">
        <f>IFERROR(__xludf.DUMMYFUNCTION("""COMPUTED_VALUE"""),"JIL")</f>
        <v>JIL</v>
      </c>
      <c r="C227" s="14">
        <f>IFERROR(__xludf.DUMMYFUNCTION("""COMPUTED_VALUE"""),1222.1)</f>
        <v>1222.1</v>
      </c>
      <c r="D227" s="15">
        <f>IFERROR(__xludf.DUMMYFUNCTION("""COMPUTED_VALUE"""),-3.5384513373737603)</f>
        <v>-3.538451337</v>
      </c>
      <c r="E227" s="15">
        <f>IFERROR(__xludf.DUMMYFUNCTION("""COMPUTED_VALUE"""),0.25421031472822664)</f>
        <v>0.2542103147</v>
      </c>
      <c r="F227" s="15">
        <f>IFERROR(__xludf.DUMMYFUNCTION("""COMPUTED_VALUE"""),-3.2842410226455336)</f>
        <v>-3.284241023</v>
      </c>
      <c r="G227" s="17">
        <f>IFERROR(__xludf.DUMMYFUNCTION("""COMPUTED_VALUE"""),-0.48267870864361606)</f>
        <v>-0.4826787086</v>
      </c>
      <c r="H227" s="4"/>
      <c r="I227" s="5" t="s">
        <v>2730</v>
      </c>
      <c r="J227" s="5" t="s">
        <v>2221</v>
      </c>
      <c r="K227" s="24">
        <v>1222.0</v>
      </c>
      <c r="L227" s="5">
        <v>-3.538411</v>
      </c>
      <c r="M227" s="5">
        <v>0.25417</v>
      </c>
      <c r="N227" s="5">
        <v>-3.284241</v>
      </c>
      <c r="O227" s="5">
        <v>-0.482679</v>
      </c>
    </row>
    <row r="228">
      <c r="A228" s="18" t="str">
        <f>IFERROR(__xludf.DUMMYFUNCTION("""COMPUTED_VALUE"""),"Li Bin")</f>
        <v>Li Bin</v>
      </c>
      <c r="B228" s="19" t="str">
        <f>IFERROR(__xludf.DUMMYFUNCTION("""COMPUTED_VALUE"""),"ZGL")</f>
        <v>ZGL</v>
      </c>
      <c r="C228" s="20">
        <f>IFERROR(__xludf.DUMMYFUNCTION("""COMPUTED_VALUE"""),60.5)</f>
        <v>60.5</v>
      </c>
      <c r="D228" s="21">
        <f>IFERROR(__xludf.DUMMYFUNCTION("""COMPUTED_VALUE"""),-2.1302079978977884)</f>
        <v>-2.130207998</v>
      </c>
      <c r="E228" s="21">
        <f>IFERROR(__xludf.DUMMYFUNCTION("""COMPUTED_VALUE"""),-1.1635027772513733)</f>
        <v>-1.163502777</v>
      </c>
      <c r="F228" s="21">
        <f>IFERROR(__xludf.DUMMYFUNCTION("""COMPUTED_VALUE"""),-3.2937107751491617)</f>
        <v>-3.293710775</v>
      </c>
      <c r="G228" s="23">
        <f>IFERROR(__xludf.DUMMYFUNCTION("""COMPUTED_VALUE"""),-0.025939618301045155)</f>
        <v>-0.0259396183</v>
      </c>
      <c r="H228" s="4"/>
      <c r="I228" s="5" t="s">
        <v>2731</v>
      </c>
      <c r="J228" s="5" t="s">
        <v>2194</v>
      </c>
      <c r="K228" s="5">
        <v>61.0</v>
      </c>
      <c r="L228" s="5">
        <v>-2.1302</v>
      </c>
      <c r="M228" s="5">
        <v>-1.163511</v>
      </c>
      <c r="N228" s="5">
        <v>-3.293711</v>
      </c>
      <c r="O228" s="5">
        <v>-0.02594</v>
      </c>
    </row>
    <row r="229">
      <c r="A229" s="12" t="str">
        <f>IFERROR(__xludf.DUMMYFUNCTION("""COMPUTED_VALUE"""),"GengLin Yang")</f>
        <v>GengLin Yang</v>
      </c>
      <c r="B229" s="13" t="str">
        <f>IFERROR(__xludf.DUMMYFUNCTION("""COMPUTED_VALUE"""),"BEIK")</f>
        <v>BEIK</v>
      </c>
      <c r="C229" s="14">
        <f>IFERROR(__xludf.DUMMYFUNCTION("""COMPUTED_VALUE"""),212.5)</f>
        <v>212.5</v>
      </c>
      <c r="D229" s="15">
        <f>IFERROR(__xludf.DUMMYFUNCTION("""COMPUTED_VALUE"""),-1.7735680192318493)</f>
        <v>-1.773568019</v>
      </c>
      <c r="E229" s="15">
        <f>IFERROR(__xludf.DUMMYFUNCTION("""COMPUTED_VALUE"""),-1.523970397066426)</f>
        <v>-1.523970397</v>
      </c>
      <c r="F229" s="15">
        <f>IFERROR(__xludf.DUMMYFUNCTION("""COMPUTED_VALUE"""),-3.2975384162982753)</f>
        <v>-3.297538416</v>
      </c>
      <c r="G229" s="17">
        <f>IFERROR(__xludf.DUMMYFUNCTION("""COMPUTED_VALUE"""),-0.08413990676611706)</f>
        <v>-0.08413990677</v>
      </c>
      <c r="H229" s="4"/>
      <c r="I229" s="5" t="s">
        <v>2732</v>
      </c>
      <c r="J229" s="5" t="s">
        <v>2256</v>
      </c>
      <c r="K229" s="24">
        <v>213.0</v>
      </c>
      <c r="L229" s="5">
        <v>-1.77354</v>
      </c>
      <c r="M229" s="5">
        <v>-1.523999</v>
      </c>
      <c r="N229" s="5">
        <v>-3.297538</v>
      </c>
      <c r="O229" s="5">
        <v>-0.08414</v>
      </c>
    </row>
    <row r="230">
      <c r="A230" s="18" t="str">
        <f>IFERROR(__xludf.DUMMYFUNCTION("""COMPUTED_VALUE"""),"Jingyu Li")</f>
        <v>Jingyu Li</v>
      </c>
      <c r="B230" s="19" t="str">
        <f>IFERROR(__xludf.DUMMYFUNCTION("""COMPUTED_VALUE"""),"SZD")</f>
        <v>SZD</v>
      </c>
      <c r="C230" s="20">
        <f>IFERROR(__xludf.DUMMYFUNCTION("""COMPUTED_VALUE"""),1018.6)</f>
        <v>1018.6</v>
      </c>
      <c r="D230" s="21">
        <f>IFERROR(__xludf.DUMMYFUNCTION("""COMPUTED_VALUE"""),-1.8048279067086586)</f>
        <v>-1.804827907</v>
      </c>
      <c r="E230" s="21">
        <f>IFERROR(__xludf.DUMMYFUNCTION("""COMPUTED_VALUE"""),-1.4994405023288986)</f>
        <v>-1.499440502</v>
      </c>
      <c r="F230" s="21">
        <f>IFERROR(__xludf.DUMMYFUNCTION("""COMPUTED_VALUE"""),-3.304268409037557)</f>
        <v>-3.304268409</v>
      </c>
      <c r="G230" s="23">
        <f>IFERROR(__xludf.DUMMYFUNCTION("""COMPUTED_VALUE"""),-0.4072300385191544)</f>
        <v>-0.4072300385</v>
      </c>
      <c r="H230" s="4"/>
      <c r="I230" s="5" t="s">
        <v>2733</v>
      </c>
      <c r="J230" s="5" t="s">
        <v>2244</v>
      </c>
      <c r="K230" s="24">
        <v>1019.0</v>
      </c>
      <c r="L230" s="5">
        <v>-1.804788</v>
      </c>
      <c r="M230" s="5">
        <v>-1.499481</v>
      </c>
      <c r="N230" s="5">
        <v>-3.304268</v>
      </c>
      <c r="O230" s="5">
        <v>-0.40723</v>
      </c>
    </row>
    <row r="231">
      <c r="A231" s="12" t="str">
        <f>IFERROR(__xludf.DUMMYFUNCTION("""COMPUTED_VALUE"""),"Chenhao Diao")</f>
        <v>Chenhao Diao</v>
      </c>
      <c r="B231" s="13" t="str">
        <f>IFERROR(__xludf.DUMMYFUNCTION("""COMPUTED_VALUE"""),"QIN")</f>
        <v>QIN</v>
      </c>
      <c r="C231" s="14">
        <f>IFERROR(__xludf.DUMMYFUNCTION("""COMPUTED_VALUE"""),160.0)</f>
        <v>160</v>
      </c>
      <c r="D231" s="15">
        <f>IFERROR(__xludf.DUMMYFUNCTION("""COMPUTED_VALUE"""),-2.390202927244043)</f>
        <v>-2.390202927</v>
      </c>
      <c r="E231" s="15">
        <f>IFERROR(__xludf.DUMMYFUNCTION("""COMPUTED_VALUE"""),-0.931456331260589)</f>
        <v>-0.9314563313</v>
      </c>
      <c r="F231" s="15">
        <f>IFERROR(__xludf.DUMMYFUNCTION("""COMPUTED_VALUE"""),-3.321659258504632)</f>
        <v>-3.321659259</v>
      </c>
      <c r="G231" s="17">
        <f>IFERROR(__xludf.DUMMYFUNCTION("""COMPUTED_VALUE"""),-0.06508096367525534)</f>
        <v>-0.06508096368</v>
      </c>
      <c r="H231" s="4"/>
      <c r="I231" s="5" t="s">
        <v>2734</v>
      </c>
      <c r="J231" s="5" t="s">
        <v>2226</v>
      </c>
      <c r="K231" s="5">
        <v>160.0</v>
      </c>
      <c r="L231" s="5">
        <v>-2.390181</v>
      </c>
      <c r="M231" s="5">
        <v>-0.931478</v>
      </c>
      <c r="N231" s="5">
        <v>-3.321659</v>
      </c>
      <c r="O231" s="5">
        <v>-0.065081</v>
      </c>
    </row>
    <row r="232">
      <c r="A232" s="18" t="str">
        <f>IFERROR(__xludf.DUMMYFUNCTION("""COMPUTED_VALUE"""),"Yifan Hou")</f>
        <v>Yifan Hou</v>
      </c>
      <c r="B232" s="19" t="str">
        <f>IFERROR(__xludf.DUMMYFUNCTION("""COMPUTED_VALUE"""),"JIA")</f>
        <v>JIA</v>
      </c>
      <c r="C232" s="20">
        <f>IFERROR(__xludf.DUMMYFUNCTION("""COMPUTED_VALUE"""),747.0)</f>
        <v>747</v>
      </c>
      <c r="D232" s="21">
        <f>IFERROR(__xludf.DUMMYFUNCTION("""COMPUTED_VALUE"""),-1.7572937446172419)</f>
        <v>-1.757293745</v>
      </c>
      <c r="E232" s="21">
        <f>IFERROR(__xludf.DUMMYFUNCTION("""COMPUTED_VALUE"""),-1.5816656759615628)</f>
        <v>-1.581665676</v>
      </c>
      <c r="F232" s="21">
        <f>IFERROR(__xludf.DUMMYFUNCTION("""COMPUTED_VALUE"""),-3.3389594205788047)</f>
        <v>-3.338959421</v>
      </c>
      <c r="G232" s="23">
        <f>IFERROR(__xludf.DUMMYFUNCTION("""COMPUTED_VALUE"""),-0.33132310228507217)</f>
        <v>-0.3313231023</v>
      </c>
      <c r="H232" s="4"/>
      <c r="I232" s="5" t="s">
        <v>2735</v>
      </c>
      <c r="J232" s="5" t="s">
        <v>2190</v>
      </c>
      <c r="K232" s="5">
        <v>747.0</v>
      </c>
      <c r="L232" s="5">
        <v>-1.757254</v>
      </c>
      <c r="M232" s="5">
        <v>-1.581706</v>
      </c>
      <c r="N232" s="5">
        <v>-3.338959</v>
      </c>
      <c r="O232" s="5">
        <v>-0.331323</v>
      </c>
    </row>
    <row r="233">
      <c r="A233" s="12" t="str">
        <f>IFERROR(__xludf.DUMMYFUNCTION("""COMPUTED_VALUE"""),"Zhai Yi")</f>
        <v>Zhai Yi</v>
      </c>
      <c r="B233" s="13" t="str">
        <f>IFERROR(__xludf.DUMMYFUNCTION("""COMPUTED_VALUE"""),"SDS")</f>
        <v>SDS</v>
      </c>
      <c r="C233" s="14">
        <f>IFERROR(__xludf.DUMMYFUNCTION("""COMPUTED_VALUE"""),597.1)</f>
        <v>597.1</v>
      </c>
      <c r="D233" s="15">
        <f>IFERROR(__xludf.DUMMYFUNCTION("""COMPUTED_VALUE"""),-4.0171017900847605)</f>
        <v>-4.01710179</v>
      </c>
      <c r="E233" s="15">
        <f>IFERROR(__xludf.DUMMYFUNCTION("""COMPUTED_VALUE"""),0.591281762617907)</f>
        <v>0.5912817626</v>
      </c>
      <c r="F233" s="15">
        <f>IFERROR(__xludf.DUMMYFUNCTION("""COMPUTED_VALUE"""),-3.4258200274668535)</f>
        <v>-3.425820027</v>
      </c>
      <c r="G233" s="17">
        <f>IFERROR(__xludf.DUMMYFUNCTION("""COMPUTED_VALUE"""),-0.25739848123154935)</f>
        <v>-0.2573984812</v>
      </c>
      <c r="H233" s="4"/>
      <c r="I233" s="5" t="s">
        <v>2736</v>
      </c>
      <c r="J233" s="5" t="s">
        <v>2214</v>
      </c>
      <c r="K233" s="24">
        <v>597.0</v>
      </c>
      <c r="L233" s="5">
        <v>-4.017062</v>
      </c>
      <c r="M233" s="5">
        <v>0.591242</v>
      </c>
      <c r="N233" s="5">
        <v>-3.42582</v>
      </c>
      <c r="O233" s="5">
        <v>-0.257398</v>
      </c>
    </row>
    <row r="234">
      <c r="A234" s="18" t="str">
        <f>IFERROR(__xludf.DUMMYFUNCTION("""COMPUTED_VALUE"""),"Jianghuai Li")</f>
        <v>Jianghuai Li</v>
      </c>
      <c r="B234" s="19" t="str">
        <f>IFERROR(__xludf.DUMMYFUNCTION("""COMPUTED_VALUE"""),"FUJ")</f>
        <v>FUJ</v>
      </c>
      <c r="C234" s="20">
        <f>IFERROR(__xludf.DUMMYFUNCTION("""COMPUTED_VALUE"""),710.0)</f>
        <v>710</v>
      </c>
      <c r="D234" s="21">
        <f>IFERROR(__xludf.DUMMYFUNCTION("""COMPUTED_VALUE"""),-2.2375010976720215)</f>
        <v>-2.237501098</v>
      </c>
      <c r="E234" s="21">
        <f>IFERROR(__xludf.DUMMYFUNCTION("""COMPUTED_VALUE"""),-1.2179904085254472)</f>
        <v>-1.217990409</v>
      </c>
      <c r="F234" s="21">
        <f>IFERROR(__xludf.DUMMYFUNCTION("""COMPUTED_VALUE"""),-3.4554915061974687)</f>
        <v>-3.455491506</v>
      </c>
      <c r="G234" s="23">
        <f>IFERROR(__xludf.DUMMYFUNCTION("""COMPUTED_VALUE"""),-0.31368997260914355)</f>
        <v>-0.3136899726</v>
      </c>
      <c r="H234" s="4"/>
      <c r="I234" s="5" t="s">
        <v>2737</v>
      </c>
      <c r="J234" s="5" t="s">
        <v>2198</v>
      </c>
      <c r="K234" s="5">
        <v>710.0</v>
      </c>
      <c r="L234" s="5">
        <v>-2.237461</v>
      </c>
      <c r="M234" s="5">
        <v>-1.218031</v>
      </c>
      <c r="N234" s="5">
        <v>-3.455492</v>
      </c>
      <c r="O234" s="5">
        <v>-0.31369</v>
      </c>
    </row>
    <row r="235">
      <c r="A235" s="12" t="str">
        <f>IFERROR(__xludf.DUMMYFUNCTION("""COMPUTED_VALUE"""),"Li Yang")</f>
        <v>Li Yang</v>
      </c>
      <c r="B235" s="13" t="str">
        <f>IFERROR(__xludf.DUMMYFUNCTION("""COMPUTED_VALUE"""),"TONG")</f>
        <v>TONG</v>
      </c>
      <c r="C235" s="14">
        <f>IFERROR(__xludf.DUMMYFUNCTION("""COMPUTED_VALUE"""),605.2)</f>
        <v>605.2</v>
      </c>
      <c r="D235" s="15">
        <f>IFERROR(__xludf.DUMMYFUNCTION("""COMPUTED_VALUE"""),-3.674444807740713)</f>
        <v>-3.674444808</v>
      </c>
      <c r="E235" s="15">
        <f>IFERROR(__xludf.DUMMYFUNCTION("""COMPUTED_VALUE"""),0.20398009062060707)</f>
        <v>0.2039800906</v>
      </c>
      <c r="F235" s="15">
        <f>IFERROR(__xludf.DUMMYFUNCTION("""COMPUTED_VALUE"""),-3.4704647171201057)</f>
        <v>-3.470464717</v>
      </c>
      <c r="G235" s="17">
        <f>IFERROR(__xludf.DUMMYFUNCTION("""COMPUTED_VALUE"""),-0.2721350780393278)</f>
        <v>-0.272135078</v>
      </c>
      <c r="H235" s="4"/>
      <c r="I235" s="5" t="s">
        <v>2738</v>
      </c>
      <c r="J235" s="5" t="s">
        <v>2236</v>
      </c>
      <c r="K235" s="5">
        <v>605.0</v>
      </c>
      <c r="L235" s="5">
        <v>-3.674405</v>
      </c>
      <c r="M235" s="5">
        <v>0.20394</v>
      </c>
      <c r="N235" s="5">
        <v>-3.470465</v>
      </c>
      <c r="O235" s="5">
        <v>-0.272135</v>
      </c>
    </row>
    <row r="236">
      <c r="A236" s="18" t="str">
        <f>IFERROR(__xludf.DUMMYFUNCTION("""COMPUTED_VALUE"""),"Zhengdong Tang")</f>
        <v>Zhengdong Tang</v>
      </c>
      <c r="B236" s="19" t="str">
        <f>IFERROR(__xludf.DUMMYFUNCTION("""COMPUTED_VALUE"""),"TONG")</f>
        <v>TONG</v>
      </c>
      <c r="C236" s="20">
        <f>IFERROR(__xludf.DUMMYFUNCTION("""COMPUTED_VALUE"""),224.7)</f>
        <v>224.7</v>
      </c>
      <c r="D236" s="21">
        <f>IFERROR(__xludf.DUMMYFUNCTION("""COMPUTED_VALUE"""),-2.462638875639803)</f>
        <v>-2.462638876</v>
      </c>
      <c r="E236" s="21">
        <f>IFERROR(__xludf.DUMMYFUNCTION("""COMPUTED_VALUE"""),-1.0182594424525564)</f>
        <v>-1.018259442</v>
      </c>
      <c r="F236" s="21">
        <f>IFERROR(__xludf.DUMMYFUNCTION("""COMPUTED_VALUE"""),-3.4808983180923594)</f>
        <v>-3.480898318</v>
      </c>
      <c r="G236" s="23">
        <f>IFERROR(__xludf.DUMMYFUNCTION("""COMPUTED_VALUE"""),-0.10175583215358062)</f>
        <v>-0.1017558322</v>
      </c>
      <c r="H236" s="4"/>
      <c r="I236" s="5" t="s">
        <v>2739</v>
      </c>
      <c r="J236" s="5" t="s">
        <v>2236</v>
      </c>
      <c r="K236" s="5">
        <v>225.0</v>
      </c>
      <c r="L236" s="5">
        <v>-2.462609</v>
      </c>
      <c r="M236" s="5">
        <v>-1.01829</v>
      </c>
      <c r="N236" s="5">
        <v>-3.480898</v>
      </c>
      <c r="O236" s="5">
        <v>-0.101756</v>
      </c>
    </row>
    <row r="237">
      <c r="A237" s="12" t="str">
        <f>IFERROR(__xludf.DUMMYFUNCTION("""COMPUTED_VALUE"""),"Wang Xu")</f>
        <v>Wang Xu</v>
      </c>
      <c r="B237" s="13" t="str">
        <f>IFERROR(__xludf.DUMMYFUNCTION("""COMPUTED_VALUE"""),"BSD")</f>
        <v>BSD</v>
      </c>
      <c r="C237" s="14">
        <f>IFERROR(__xludf.DUMMYFUNCTION("""COMPUTED_VALUE"""),143.1)</f>
        <v>143.1</v>
      </c>
      <c r="D237" s="15">
        <f>IFERROR(__xludf.DUMMYFUNCTION("""COMPUTED_VALUE"""),-2.669569520497009)</f>
        <v>-2.66956952</v>
      </c>
      <c r="E237" s="15">
        <f>IFERROR(__xludf.DUMMYFUNCTION("""COMPUTED_VALUE"""),-0.827994910339025)</f>
        <v>-0.8279949103</v>
      </c>
      <c r="F237" s="15">
        <f>IFERROR(__xludf.DUMMYFUNCTION("""COMPUTED_VALUE"""),-3.497564430836034)</f>
        <v>-3.497564431</v>
      </c>
      <c r="G237" s="17">
        <f>IFERROR(__xludf.DUMMYFUNCTION("""COMPUTED_VALUE"""),-0.06492462475035239)</f>
        <v>-0.06492462475</v>
      </c>
      <c r="H237" s="4"/>
      <c r="I237" s="5" t="s">
        <v>2740</v>
      </c>
      <c r="J237" s="5" t="s">
        <v>2211</v>
      </c>
      <c r="K237" s="5">
        <v>143.0</v>
      </c>
      <c r="L237" s="5">
        <v>-2.66955</v>
      </c>
      <c r="M237" s="5">
        <v>-0.828014</v>
      </c>
      <c r="N237" s="5">
        <v>-3.497564</v>
      </c>
      <c r="O237" s="5">
        <v>-0.064925</v>
      </c>
    </row>
    <row r="238">
      <c r="A238" s="18" t="str">
        <f>IFERROR(__xludf.DUMMYFUNCTION("""COMPUTED_VALUE"""),"Zhang Zelong")</f>
        <v>Zhang Zelong</v>
      </c>
      <c r="B238" s="19" t="str">
        <f>IFERROR(__xludf.DUMMYFUNCTION("""COMPUTED_VALUE"""),"SZD")</f>
        <v>SZD</v>
      </c>
      <c r="C238" s="20">
        <f>IFERROR(__xludf.DUMMYFUNCTION("""COMPUTED_VALUE"""),126.0)</f>
        <v>126</v>
      </c>
      <c r="D238" s="21">
        <f>IFERROR(__xludf.DUMMYFUNCTION("""COMPUTED_VALUE"""),-2.295007951392364)</f>
        <v>-2.295007951</v>
      </c>
      <c r="E238" s="21">
        <f>IFERROR(__xludf.DUMMYFUNCTION("""COMPUTED_VALUE"""),-1.226679739169954)</f>
        <v>-1.226679739</v>
      </c>
      <c r="F238" s="21">
        <f>IFERROR(__xludf.DUMMYFUNCTION("""COMPUTED_VALUE"""),-3.521687690562318)</f>
        <v>-3.521687691</v>
      </c>
      <c r="G238" s="23">
        <f>IFERROR(__xludf.DUMMYFUNCTION("""COMPUTED_VALUE"""),-0.058771291016345886)</f>
        <v>-0.05877129102</v>
      </c>
      <c r="H238" s="4"/>
      <c r="I238" s="5" t="s">
        <v>2741</v>
      </c>
      <c r="J238" s="5" t="s">
        <v>2244</v>
      </c>
      <c r="K238" s="5">
        <v>126.0</v>
      </c>
      <c r="L238" s="5">
        <v>-2.294991</v>
      </c>
      <c r="M238" s="5">
        <v>-1.226697</v>
      </c>
      <c r="N238" s="5">
        <v>-3.521688</v>
      </c>
      <c r="O238" s="5">
        <v>-0.058771</v>
      </c>
    </row>
    <row r="239">
      <c r="A239" s="12" t="str">
        <f>IFERROR(__xludf.DUMMYFUNCTION("""COMPUTED_VALUE"""),"Li Rongpei")</f>
        <v>Li Rongpei</v>
      </c>
      <c r="B239" s="13" t="str">
        <f>IFERROR(__xludf.DUMMYFUNCTION("""COMPUTED_VALUE"""),"TIA")</f>
        <v>TIA</v>
      </c>
      <c r="C239" s="14">
        <f>IFERROR(__xludf.DUMMYFUNCTION("""COMPUTED_VALUE"""),1098.5)</f>
        <v>1098.5</v>
      </c>
      <c r="D239" s="15">
        <f>IFERROR(__xludf.DUMMYFUNCTION("""COMPUTED_VALUE"""),-2.377235999294263)</f>
        <v>-2.377235999</v>
      </c>
      <c r="E239" s="15">
        <f>IFERROR(__xludf.DUMMYFUNCTION("""COMPUTED_VALUE"""),-1.1731104783641566)</f>
        <v>-1.173110478</v>
      </c>
      <c r="F239" s="15">
        <f>IFERROR(__xludf.DUMMYFUNCTION("""COMPUTED_VALUE"""),-3.5503464776584197)</f>
        <v>-3.550346478</v>
      </c>
      <c r="G239" s="17">
        <f>IFERROR(__xludf.DUMMYFUNCTION("""COMPUTED_VALUE"""),-0.4943867115462622)</f>
        <v>-0.4943867115</v>
      </c>
      <c r="H239" s="4"/>
      <c r="I239" s="5" t="s">
        <v>2742</v>
      </c>
      <c r="J239" s="5" t="s">
        <v>2229</v>
      </c>
      <c r="K239" s="24">
        <v>1099.0</v>
      </c>
      <c r="L239" s="5">
        <v>-2.377196</v>
      </c>
      <c r="M239" s="5">
        <v>-1.173151</v>
      </c>
      <c r="N239" s="5">
        <v>-3.550346</v>
      </c>
      <c r="O239" s="5">
        <v>-0.494387</v>
      </c>
    </row>
    <row r="240">
      <c r="A240" s="18" t="str">
        <f>IFERROR(__xludf.DUMMYFUNCTION("""COMPUTED_VALUE"""),"Jin Xin")</f>
        <v>Jin Xin</v>
      </c>
      <c r="B240" s="19" t="str">
        <f>IFERROR(__xludf.DUMMYFUNCTION("""COMPUTED_VALUE"""),"TIA")</f>
        <v>TIA</v>
      </c>
      <c r="C240" s="20">
        <f>IFERROR(__xludf.DUMMYFUNCTION("""COMPUTED_VALUE"""),246.2)</f>
        <v>246.2</v>
      </c>
      <c r="D240" s="21">
        <f>IFERROR(__xludf.DUMMYFUNCTION("""COMPUTED_VALUE"""),-1.139168612216861)</f>
        <v>-1.139168612</v>
      </c>
      <c r="E240" s="21">
        <f>IFERROR(__xludf.DUMMYFUNCTION("""COMPUTED_VALUE"""),-2.499698455141259)</f>
        <v>-2.499698455</v>
      </c>
      <c r="F240" s="21">
        <f>IFERROR(__xludf.DUMMYFUNCTION("""COMPUTED_VALUE"""),-3.63886706735812)</f>
        <v>-3.638867067</v>
      </c>
      <c r="G240" s="23">
        <f>IFERROR(__xludf.DUMMYFUNCTION("""COMPUTED_VALUE"""),-0.11713043001899394)</f>
        <v>-0.11713043</v>
      </c>
      <c r="H240" s="4"/>
      <c r="I240" s="5" t="s">
        <v>2743</v>
      </c>
      <c r="J240" s="5" t="s">
        <v>2229</v>
      </c>
      <c r="K240" s="5">
        <v>246.0</v>
      </c>
      <c r="L240" s="5">
        <v>-1.139136</v>
      </c>
      <c r="M240" s="5">
        <v>-2.499731</v>
      </c>
      <c r="N240" s="5">
        <v>-3.638867</v>
      </c>
      <c r="O240" s="5">
        <v>-0.11713</v>
      </c>
    </row>
    <row r="241">
      <c r="A241" s="12" t="str">
        <f>IFERROR(__xludf.DUMMYFUNCTION("""COMPUTED_VALUE"""),"Feng Xin")</f>
        <v>Feng Xin</v>
      </c>
      <c r="B241" s="13" t="str">
        <f>IFERROR(__xludf.DUMMYFUNCTION("""COMPUTED_VALUE"""),"TONG")</f>
        <v>TONG</v>
      </c>
      <c r="C241" s="14">
        <f>IFERROR(__xludf.DUMMYFUNCTION("""COMPUTED_VALUE"""),870.4)</f>
        <v>870.4</v>
      </c>
      <c r="D241" s="15">
        <f>IFERROR(__xludf.DUMMYFUNCTION("""COMPUTED_VALUE"""),-2.969595468622731)</f>
        <v>-2.969595469</v>
      </c>
      <c r="E241" s="15">
        <f>IFERROR(__xludf.DUMMYFUNCTION("""COMPUTED_VALUE"""),-0.7272129061060619)</f>
        <v>-0.7272129061</v>
      </c>
      <c r="F241" s="15">
        <f>IFERROR(__xludf.DUMMYFUNCTION("""COMPUTED_VALUE"""),-3.6968083747287928)</f>
        <v>-3.696808375</v>
      </c>
      <c r="G241" s="17">
        <f>IFERROR(__xludf.DUMMYFUNCTION("""COMPUTED_VALUE"""),-0.4516298925324576)</f>
        <v>-0.4516298925</v>
      </c>
      <c r="H241" s="4"/>
      <c r="I241" s="5" t="s">
        <v>2744</v>
      </c>
      <c r="J241" s="5" t="s">
        <v>2236</v>
      </c>
      <c r="K241" s="24">
        <v>870.0</v>
      </c>
      <c r="L241" s="5">
        <v>-2.969555</v>
      </c>
      <c r="M241" s="5">
        <v>-0.727253</v>
      </c>
      <c r="N241" s="5">
        <v>-3.696808</v>
      </c>
      <c r="O241" s="5">
        <v>-0.45163</v>
      </c>
    </row>
    <row r="242">
      <c r="A242" s="18" t="str">
        <f>IFERROR(__xludf.DUMMYFUNCTION("""COMPUTED_VALUE"""),"Zong Zan")</f>
        <v>Zong Zan</v>
      </c>
      <c r="B242" s="19" t="str">
        <f>IFERROR(__xludf.DUMMYFUNCTION("""COMPUTED_VALUE"""),"QIN")</f>
        <v>QIN</v>
      </c>
      <c r="C242" s="20">
        <f>IFERROR(__xludf.DUMMYFUNCTION("""COMPUTED_VALUE"""),479.2)</f>
        <v>479.2</v>
      </c>
      <c r="D242" s="21">
        <f>IFERROR(__xludf.DUMMYFUNCTION("""COMPUTED_VALUE"""),-2.5103838440025026)</f>
        <v>-2.510383844</v>
      </c>
      <c r="E242" s="21">
        <f>IFERROR(__xludf.DUMMYFUNCTION("""COMPUTED_VALUE"""),-1.187516172017217)</f>
        <v>-1.187516172</v>
      </c>
      <c r="F242" s="21">
        <f>IFERROR(__xludf.DUMMYFUNCTION("""COMPUTED_VALUE"""),-3.6979000160197195)</f>
        <v>-3.697900016</v>
      </c>
      <c r="G242" s="23">
        <f>IFERROR(__xludf.DUMMYFUNCTION("""COMPUTED_VALUE"""),-0.2504052393417185)</f>
        <v>-0.2504052393</v>
      </c>
      <c r="H242" s="4"/>
      <c r="I242" s="5" t="s">
        <v>2745</v>
      </c>
      <c r="J242" s="5" t="s">
        <v>2226</v>
      </c>
      <c r="K242" s="5">
        <v>479.0</v>
      </c>
      <c r="L242" s="5">
        <v>-2.510344</v>
      </c>
      <c r="M242" s="5">
        <v>-1.187556</v>
      </c>
      <c r="N242" s="5">
        <v>-3.6979</v>
      </c>
      <c r="O242" s="5">
        <v>-0.250405</v>
      </c>
    </row>
    <row r="243">
      <c r="A243" s="12" t="str">
        <f>IFERROR(__xludf.DUMMYFUNCTION("""COMPUTED_VALUE"""),"Xining He")</f>
        <v>Xining He</v>
      </c>
      <c r="B243" s="13" t="str">
        <f>IFERROR(__xludf.DUMMYFUNCTION("""COMPUTED_VALUE"""),"BEIK")</f>
        <v>BEIK</v>
      </c>
      <c r="C243" s="14">
        <f>IFERROR(__xludf.DUMMYFUNCTION("""COMPUTED_VALUE"""),545.3)</f>
        <v>545.3</v>
      </c>
      <c r="D243" s="15">
        <f>IFERROR(__xludf.DUMMYFUNCTION("""COMPUTED_VALUE"""),-4.351763894153553)</f>
        <v>-4.351763894</v>
      </c>
      <c r="E243" s="15">
        <f>IFERROR(__xludf.DUMMYFUNCTION("""COMPUTED_VALUE"""),0.5610233420264508)</f>
        <v>0.561023342</v>
      </c>
      <c r="F243" s="15">
        <f>IFERROR(__xludf.DUMMYFUNCTION("""COMPUTED_VALUE"""),-3.7907405521271023)</f>
        <v>-3.790740552</v>
      </c>
      <c r="G243" s="17">
        <f>IFERROR(__xludf.DUMMYFUNCTION("""COMPUTED_VALUE"""),-0.2979826879409899)</f>
        <v>-0.2979826879</v>
      </c>
      <c r="H243" s="4"/>
      <c r="I243" s="5" t="s">
        <v>2746</v>
      </c>
      <c r="J243" s="5" t="s">
        <v>2256</v>
      </c>
      <c r="K243" s="5">
        <v>545.0</v>
      </c>
      <c r="L243" s="5">
        <v>-4.351724</v>
      </c>
      <c r="M243" s="5">
        <v>0.560983</v>
      </c>
      <c r="N243" s="5">
        <v>-3.790741</v>
      </c>
      <c r="O243" s="5">
        <v>-0.297983</v>
      </c>
    </row>
    <row r="244">
      <c r="A244" s="18" t="str">
        <f>IFERROR(__xludf.DUMMYFUNCTION("""COMPUTED_VALUE"""),"Zheng Wang")</f>
        <v>Zheng Wang</v>
      </c>
      <c r="B244" s="19" t="str">
        <f>IFERROR(__xludf.DUMMYFUNCTION("""COMPUTED_VALUE"""),"BEIK")</f>
        <v>BEIK</v>
      </c>
      <c r="C244" s="20">
        <f>IFERROR(__xludf.DUMMYFUNCTION("""COMPUTED_VALUE"""),670.0)</f>
        <v>670</v>
      </c>
      <c r="D244" s="21">
        <f>IFERROR(__xludf.DUMMYFUNCTION("""COMPUTED_VALUE"""),-4.0302470436424604)</f>
        <v>-4.030247044</v>
      </c>
      <c r="E244" s="21">
        <f>IFERROR(__xludf.DUMMYFUNCTION("""COMPUTED_VALUE"""),0.22317235065573682)</f>
        <v>0.2231723507</v>
      </c>
      <c r="F244" s="21">
        <f>IFERROR(__xludf.DUMMYFUNCTION("""COMPUTED_VALUE"""),-3.8070746929867236)</f>
        <v>-3.807074693</v>
      </c>
      <c r="G244" s="23">
        <f>IFERROR(__xludf.DUMMYFUNCTION("""COMPUTED_VALUE"""),-0.3694654002610736)</f>
        <v>-0.3694654003</v>
      </c>
      <c r="H244" s="4"/>
      <c r="I244" s="5" t="s">
        <v>2747</v>
      </c>
      <c r="J244" s="5" t="s">
        <v>2256</v>
      </c>
      <c r="K244" s="5">
        <v>670.0</v>
      </c>
      <c r="L244" s="5">
        <v>-4.030207</v>
      </c>
      <c r="M244" s="5">
        <v>0.223132</v>
      </c>
      <c r="N244" s="5">
        <v>-3.807075</v>
      </c>
      <c r="O244" s="5">
        <v>-0.369465</v>
      </c>
    </row>
    <row r="245">
      <c r="A245" s="12" t="str">
        <f>IFERROR(__xludf.DUMMYFUNCTION("""COMPUTED_VALUE"""),"Hsueh-Lin Lee")</f>
        <v>Hsueh-Lin Lee</v>
      </c>
      <c r="B245" s="13" t="str">
        <f>IFERROR(__xludf.DUMMYFUNCTION("""COMPUTED_VALUE"""),"XIN")</f>
        <v>XIN</v>
      </c>
      <c r="C245" s="14">
        <f>IFERROR(__xludf.DUMMYFUNCTION("""COMPUTED_VALUE"""),204.0)</f>
        <v>204</v>
      </c>
      <c r="D245" s="15">
        <f>IFERROR(__xludf.DUMMYFUNCTION("""COMPUTED_VALUE"""),-3.5560935841970815)</f>
        <v>-3.556093584</v>
      </c>
      <c r="E245" s="15">
        <f>IFERROR(__xludf.DUMMYFUNCTION("""COMPUTED_VALUE"""),-0.29782186228337526)</f>
        <v>-0.2978218623</v>
      </c>
      <c r="F245" s="15">
        <f>IFERROR(__xludf.DUMMYFUNCTION("""COMPUTED_VALUE"""),-3.853915446480457)</f>
        <v>-3.853915446</v>
      </c>
      <c r="G245" s="17">
        <f>IFERROR(__xludf.DUMMYFUNCTION("""COMPUTED_VALUE"""),-0.11423412354349902)</f>
        <v>-0.1142341235</v>
      </c>
      <c r="H245" s="4"/>
      <c r="I245" s="5" t="s">
        <v>2748</v>
      </c>
      <c r="J245" s="5" t="s">
        <v>2208</v>
      </c>
      <c r="K245" s="5">
        <v>204.0</v>
      </c>
      <c r="L245" s="5">
        <v>-3.556066</v>
      </c>
      <c r="M245" s="5">
        <v>-0.297849</v>
      </c>
      <c r="N245" s="5">
        <v>-3.853915</v>
      </c>
      <c r="O245" s="5">
        <v>-0.114234</v>
      </c>
    </row>
    <row r="246">
      <c r="A246" s="18" t="str">
        <f>IFERROR(__xludf.DUMMYFUNCTION("""COMPUTED_VALUE"""),"Yang Yue")</f>
        <v>Yang Yue</v>
      </c>
      <c r="B246" s="19" t="str">
        <f>IFERROR(__xludf.DUMMYFUNCTION("""COMPUTED_VALUE"""),"SICH")</f>
        <v>SICH</v>
      </c>
      <c r="C246" s="20">
        <f>IFERROR(__xludf.DUMMYFUNCTION("""COMPUTED_VALUE"""),147.5)</f>
        <v>147.5</v>
      </c>
      <c r="D246" s="21">
        <f>IFERROR(__xludf.DUMMYFUNCTION("""COMPUTED_VALUE"""),-2.4234846585085585)</f>
        <v>-2.423484659</v>
      </c>
      <c r="E246" s="21">
        <f>IFERROR(__xludf.DUMMYFUNCTION("""COMPUTED_VALUE"""),-1.4356007975964786)</f>
        <v>-1.435600798</v>
      </c>
      <c r="F246" s="21">
        <f>IFERROR(__xludf.DUMMYFUNCTION("""COMPUTED_VALUE"""),-3.859085456105037)</f>
        <v>-3.859085456</v>
      </c>
      <c r="G246" s="23">
        <f>IFERROR(__xludf.DUMMYFUNCTION("""COMPUTED_VALUE"""),-0.09415580354872462)</f>
        <v>-0.09415580355</v>
      </c>
      <c r="H246" s="4"/>
      <c r="I246" s="5" t="s">
        <v>2749</v>
      </c>
      <c r="J246" s="5" t="s">
        <v>2186</v>
      </c>
      <c r="K246" s="5">
        <v>148.0</v>
      </c>
      <c r="L246" s="5">
        <v>-2.423465</v>
      </c>
      <c r="M246" s="5">
        <v>-1.435621</v>
      </c>
      <c r="N246" s="5">
        <v>-3.859085</v>
      </c>
      <c r="O246" s="5">
        <v>-0.094156</v>
      </c>
    </row>
    <row r="247">
      <c r="A247" s="12" t="str">
        <f>IFERROR(__xludf.DUMMYFUNCTION("""COMPUTED_VALUE"""),"Hegi Teng")</f>
        <v>Hegi Teng</v>
      </c>
      <c r="B247" s="13" t="str">
        <f>IFERROR(__xludf.DUMMYFUNCTION("""COMPUTED_VALUE"""),"BEIK")</f>
        <v>BEIK</v>
      </c>
      <c r="C247" s="14">
        <f>IFERROR(__xludf.DUMMYFUNCTION("""COMPUTED_VALUE"""),339.5)</f>
        <v>339.5</v>
      </c>
      <c r="D247" s="15">
        <f>IFERROR(__xludf.DUMMYFUNCTION("""COMPUTED_VALUE"""),-4.140142439021613)</f>
        <v>-4.140142439</v>
      </c>
      <c r="E247" s="15">
        <f>IFERROR(__xludf.DUMMYFUNCTION("""COMPUTED_VALUE"""),0.18257574941191645)</f>
        <v>0.1825757494</v>
      </c>
      <c r="F247" s="15">
        <f>IFERROR(__xludf.DUMMYFUNCTION("""COMPUTED_VALUE"""),-3.9575666896096964)</f>
        <v>-3.95756669</v>
      </c>
      <c r="G247" s="17">
        <f>IFERROR(__xludf.DUMMYFUNCTION("""COMPUTED_VALUE"""),-0.2028052587757395)</f>
        <v>-0.2028052588</v>
      </c>
      <c r="H247" s="4"/>
      <c r="I247" s="5" t="s">
        <v>2750</v>
      </c>
      <c r="J247" s="5" t="s">
        <v>2256</v>
      </c>
      <c r="K247" s="5">
        <v>340.0</v>
      </c>
      <c r="L247" s="5">
        <v>-4.140102</v>
      </c>
      <c r="M247" s="5">
        <v>0.182536</v>
      </c>
      <c r="N247" s="5">
        <v>-3.957567</v>
      </c>
      <c r="O247" s="5">
        <v>-0.202805</v>
      </c>
    </row>
    <row r="248">
      <c r="A248" s="18" t="str">
        <f>IFERROR(__xludf.DUMMYFUNCTION("""COMPUTED_VALUE"""),"Wang Zhengbo")</f>
        <v>Wang Zhengbo</v>
      </c>
      <c r="B248" s="19" t="str">
        <f>IFERROR(__xludf.DUMMYFUNCTION("""COMPUTED_VALUE"""),"SICH")</f>
        <v>SICH</v>
      </c>
      <c r="C248" s="20">
        <f>IFERROR(__xludf.DUMMYFUNCTION("""COMPUTED_VALUE"""),471.6)</f>
        <v>471.6</v>
      </c>
      <c r="D248" s="21">
        <f>IFERROR(__xludf.DUMMYFUNCTION("""COMPUTED_VALUE"""),-1.6200456907359184)</f>
        <v>-1.620045691</v>
      </c>
      <c r="E248" s="21">
        <f>IFERROR(__xludf.DUMMYFUNCTION("""COMPUTED_VALUE"""),-2.3900923135389203)</f>
        <v>-2.390092314</v>
      </c>
      <c r="F248" s="21">
        <f>IFERROR(__xludf.DUMMYFUNCTION("""COMPUTED_VALUE"""),-4.010138004274839)</f>
        <v>-4.010138004</v>
      </c>
      <c r="G248" s="23">
        <f>IFERROR(__xludf.DUMMYFUNCTION("""COMPUTED_VALUE"""),-0.32550329667145667)</f>
        <v>-0.3255032967</v>
      </c>
      <c r="H248" s="4"/>
      <c r="I248" s="5" t="s">
        <v>2751</v>
      </c>
      <c r="J248" s="5" t="s">
        <v>2186</v>
      </c>
      <c r="K248" s="5">
        <v>472.0</v>
      </c>
      <c r="L248" s="5">
        <v>-1.620006</v>
      </c>
      <c r="M248" s="5">
        <v>-2.390132</v>
      </c>
      <c r="N248" s="5">
        <v>-4.010138</v>
      </c>
      <c r="O248" s="5">
        <v>-0.325503</v>
      </c>
    </row>
    <row r="249">
      <c r="A249" s="12" t="str">
        <f>IFERROR(__xludf.DUMMYFUNCTION("""COMPUTED_VALUE"""),"Lingyuan Meng")</f>
        <v>Lingyuan Meng</v>
      </c>
      <c r="B249" s="13" t="str">
        <f>IFERROR(__xludf.DUMMYFUNCTION("""COMPUTED_VALUE"""),"SDS")</f>
        <v>SDS</v>
      </c>
      <c r="C249" s="14">
        <f>IFERROR(__xludf.DUMMYFUNCTION("""COMPUTED_VALUE"""),185.6)</f>
        <v>185.6</v>
      </c>
      <c r="D249" s="15">
        <f>IFERROR(__xludf.DUMMYFUNCTION("""COMPUTED_VALUE"""),-3.4145662258918006)</f>
        <v>-3.414566226</v>
      </c>
      <c r="E249" s="15">
        <f>IFERROR(__xludf.DUMMYFUNCTION("""COMPUTED_VALUE"""),-0.5957829447281875)</f>
        <v>-0.5957829447</v>
      </c>
      <c r="F249" s="15">
        <f>IFERROR(__xludf.DUMMYFUNCTION("""COMPUTED_VALUE"""),-4.010349170619988)</f>
        <v>-4.010349171</v>
      </c>
      <c r="G249" s="17">
        <f>IFERROR(__xludf.DUMMYFUNCTION("""COMPUTED_VALUE"""),-0.11280897811933295)</f>
        <v>-0.1128089781</v>
      </c>
      <c r="H249" s="4"/>
      <c r="I249" s="5" t="s">
        <v>2752</v>
      </c>
      <c r="J249" s="5" t="s">
        <v>2214</v>
      </c>
      <c r="K249" s="5">
        <v>186.0</v>
      </c>
      <c r="L249" s="5">
        <v>-3.414541</v>
      </c>
      <c r="M249" s="5">
        <v>-0.595808</v>
      </c>
      <c r="N249" s="5">
        <v>-4.010349</v>
      </c>
      <c r="O249" s="5">
        <v>-0.112809</v>
      </c>
    </row>
    <row r="250">
      <c r="A250" s="18" t="str">
        <f>IFERROR(__xludf.DUMMYFUNCTION("""COMPUTED_VALUE"""),"Wei Meng")</f>
        <v>Wei Meng</v>
      </c>
      <c r="B250" s="19" t="str">
        <f>IFERROR(__xludf.DUMMYFUNCTION("""COMPUTED_VALUE"""),"LIA")</f>
        <v>LIA</v>
      </c>
      <c r="C250" s="20">
        <f>IFERROR(__xludf.DUMMYFUNCTION("""COMPUTED_VALUE"""),135.5)</f>
        <v>135.5</v>
      </c>
      <c r="D250" s="21">
        <f>IFERROR(__xludf.DUMMYFUNCTION("""COMPUTED_VALUE"""),-3.8361784548358644)</f>
        <v>-3.836178455</v>
      </c>
      <c r="E250" s="21">
        <f>IFERROR(__xludf.DUMMYFUNCTION("""COMPUTED_VALUE"""),-0.28262797447502574)</f>
        <v>-0.2826279745</v>
      </c>
      <c r="F250" s="21">
        <f>IFERROR(__xludf.DUMMYFUNCTION("""COMPUTED_VALUE"""),-4.11880642931089)</f>
        <v>-4.118806429</v>
      </c>
      <c r="G250" s="23">
        <f>IFERROR(__xludf.DUMMYFUNCTION("""COMPUTED_VALUE"""),-0.08775997679125948)</f>
        <v>-0.08775997679</v>
      </c>
      <c r="H250" s="4"/>
      <c r="I250" s="5" t="s">
        <v>2753</v>
      </c>
      <c r="J250" s="5" t="s">
        <v>2205</v>
      </c>
      <c r="K250" s="5">
        <v>136.0</v>
      </c>
      <c r="L250" s="5">
        <v>-3.83616</v>
      </c>
      <c r="M250" s="5">
        <v>-0.282646</v>
      </c>
      <c r="N250" s="5">
        <v>-4.118806</v>
      </c>
      <c r="O250" s="5">
        <v>-0.08776</v>
      </c>
    </row>
    <row r="251">
      <c r="A251" s="12" t="str">
        <f>IFERROR(__xludf.DUMMYFUNCTION("""COMPUTED_VALUE"""),"ChangChun Yu")</f>
        <v>ChangChun Yu</v>
      </c>
      <c r="B251" s="13" t="str">
        <f>IFERROR(__xludf.DUMMYFUNCTION("""COMPUTED_VALUE"""),"TONG")</f>
        <v>TONG</v>
      </c>
      <c r="C251" s="14">
        <f>IFERROR(__xludf.DUMMYFUNCTION("""COMPUTED_VALUE"""),372.4)</f>
        <v>372.4</v>
      </c>
      <c r="D251" s="15">
        <f>IFERROR(__xludf.DUMMYFUNCTION("""COMPUTED_VALUE"""),-0.8776048729362435)</f>
        <v>-0.8776048729</v>
      </c>
      <c r="E251" s="15">
        <f>IFERROR(__xludf.DUMMYFUNCTION("""COMPUTED_VALUE"""),-3.2965724091222532)</f>
        <v>-3.296572409</v>
      </c>
      <c r="F251" s="15">
        <f>IFERROR(__xludf.DUMMYFUNCTION("""COMPUTED_VALUE"""),-4.174177282058497)</f>
        <v>-4.174177282</v>
      </c>
      <c r="G251" s="17">
        <f>IFERROR(__xludf.DUMMYFUNCTION("""COMPUTED_VALUE"""),-0.24759143890163918)</f>
        <v>-0.2475914389</v>
      </c>
      <c r="H251" s="4"/>
      <c r="I251" s="5" t="s">
        <v>2754</v>
      </c>
      <c r="J251" s="5" t="s">
        <v>2236</v>
      </c>
      <c r="K251" s="24">
        <v>372.0</v>
      </c>
      <c r="L251" s="5">
        <v>-0.877565</v>
      </c>
      <c r="M251" s="5">
        <v>-3.296613</v>
      </c>
      <c r="N251" s="5">
        <v>-4.174177</v>
      </c>
      <c r="O251" s="5">
        <v>-0.247591</v>
      </c>
    </row>
    <row r="252">
      <c r="A252" s="18" t="str">
        <f>IFERROR(__xludf.DUMMYFUNCTION("""COMPUTED_VALUE"""),"Yichao Huang")</f>
        <v>Yichao Huang</v>
      </c>
      <c r="B252" s="19" t="str">
        <f>IFERROR(__xludf.DUMMYFUNCTION("""COMPUTED_VALUE"""),"FUJ")</f>
        <v>FUJ</v>
      </c>
      <c r="C252" s="20">
        <f>IFERROR(__xludf.DUMMYFUNCTION("""COMPUTED_VALUE"""),405.9)</f>
        <v>405.9</v>
      </c>
      <c r="D252" s="21">
        <f>IFERROR(__xludf.DUMMYFUNCTION("""COMPUTED_VALUE"""),-1.634480451571111)</f>
        <v>-1.634480452</v>
      </c>
      <c r="E252" s="21">
        <f>IFERROR(__xludf.DUMMYFUNCTION("""COMPUTED_VALUE"""),-2.5843000872532116)</f>
        <v>-2.584300087</v>
      </c>
      <c r="F252" s="21">
        <f>IFERROR(__xludf.DUMMYFUNCTION("""COMPUTED_VALUE"""),-4.218780538824323)</f>
        <v>-4.218780539</v>
      </c>
      <c r="G252" s="23">
        <f>IFERROR(__xludf.DUMMYFUNCTION("""COMPUTED_VALUE"""),-0.2733795419418943)</f>
        <v>-0.2733795419</v>
      </c>
      <c r="H252" s="4"/>
      <c r="I252" s="5" t="s">
        <v>2755</v>
      </c>
      <c r="J252" s="5" t="s">
        <v>2198</v>
      </c>
      <c r="K252" s="5">
        <v>406.0</v>
      </c>
      <c r="L252" s="5">
        <v>-1.63444</v>
      </c>
      <c r="M252" s="5">
        <v>-2.58434</v>
      </c>
      <c r="N252" s="5">
        <v>-4.218781</v>
      </c>
      <c r="O252" s="5">
        <v>-0.27338</v>
      </c>
    </row>
    <row r="253">
      <c r="A253" s="12" t="str">
        <f>IFERROR(__xludf.DUMMYFUNCTION("""COMPUTED_VALUE"""),"Chengyu Zhang")</f>
        <v>Chengyu Zhang</v>
      </c>
      <c r="B253" s="13" t="str">
        <f>IFERROR(__xludf.DUMMYFUNCTION("""COMPUTED_VALUE"""),"QIN")</f>
        <v>QIN</v>
      </c>
      <c r="C253" s="14">
        <f>IFERROR(__xludf.DUMMYFUNCTION("""COMPUTED_VALUE"""),892.1)</f>
        <v>892.1</v>
      </c>
      <c r="D253" s="15">
        <f>IFERROR(__xludf.DUMMYFUNCTION("""COMPUTED_VALUE"""),-2.2562349471453)</f>
        <v>-2.256234947</v>
      </c>
      <c r="E253" s="15">
        <f>IFERROR(__xludf.DUMMYFUNCTION("""COMPUTED_VALUE"""),-1.9687061840339641)</f>
        <v>-1.968706184</v>
      </c>
      <c r="F253" s="15">
        <f>IFERROR(__xludf.DUMMYFUNCTION("""COMPUTED_VALUE"""),-4.224941131179264)</f>
        <v>-4.224941131</v>
      </c>
      <c r="G253" s="17">
        <f>IFERROR(__xludf.DUMMYFUNCTION("""COMPUTED_VALUE"""),-0.6108668442746902)</f>
        <v>-0.6108668443</v>
      </c>
      <c r="H253" s="4"/>
      <c r="I253" s="5" t="s">
        <v>2756</v>
      </c>
      <c r="J253" s="5" t="s">
        <v>2226</v>
      </c>
      <c r="K253" s="5">
        <v>892.0</v>
      </c>
      <c r="L253" s="5">
        <v>-2.256195</v>
      </c>
      <c r="M253" s="5">
        <v>-1.968746</v>
      </c>
      <c r="N253" s="5">
        <v>-4.224941</v>
      </c>
      <c r="O253" s="5">
        <v>-0.610867</v>
      </c>
    </row>
    <row r="254">
      <c r="A254" s="18" t="str">
        <f>IFERROR(__xludf.DUMMYFUNCTION("""COMPUTED_VALUE"""),"Jinming Cui")</f>
        <v>Jinming Cui</v>
      </c>
      <c r="B254" s="19" t="str">
        <f>IFERROR(__xludf.DUMMYFUNCTION("""COMPUTED_VALUE"""),"JIL")</f>
        <v>JIL</v>
      </c>
      <c r="C254" s="20">
        <f>IFERROR(__xludf.DUMMYFUNCTION("""COMPUTED_VALUE"""),1264.1)</f>
        <v>1264.1</v>
      </c>
      <c r="D254" s="21">
        <f>IFERROR(__xludf.DUMMYFUNCTION("""COMPUTED_VALUE"""),-3.7364132720553105)</f>
        <v>-3.736413272</v>
      </c>
      <c r="E254" s="21">
        <f>IFERROR(__xludf.DUMMYFUNCTION("""COMPUTED_VALUE"""),-0.6206709644511506)</f>
        <v>-0.6206709645</v>
      </c>
      <c r="F254" s="21">
        <f>IFERROR(__xludf.DUMMYFUNCTION("""COMPUTED_VALUE"""),-4.357084236506461)</f>
        <v>-4.357084237</v>
      </c>
      <c r="G254" s="23">
        <f>IFERROR(__xludf.DUMMYFUNCTION("""COMPUTED_VALUE"""),-0.9163500213469095)</f>
        <v>-0.9163500213</v>
      </c>
      <c r="H254" s="4"/>
      <c r="I254" s="5" t="s">
        <v>2757</v>
      </c>
      <c r="J254" s="5" t="s">
        <v>2221</v>
      </c>
      <c r="K254" s="24">
        <v>1264.0</v>
      </c>
      <c r="L254" s="5">
        <v>-3.736373</v>
      </c>
      <c r="M254" s="5">
        <v>-0.620711</v>
      </c>
      <c r="N254" s="5">
        <v>-4.357084</v>
      </c>
      <c r="O254" s="5">
        <v>-0.91635</v>
      </c>
    </row>
    <row r="255">
      <c r="A255" s="12" t="str">
        <f>IFERROR(__xludf.DUMMYFUNCTION("""COMPUTED_VALUE"""),"Ziming Fan")</f>
        <v>Ziming Fan</v>
      </c>
      <c r="B255" s="13" t="str">
        <f>IFERROR(__xludf.DUMMYFUNCTION("""COMPUTED_VALUE"""),"GFD")</f>
        <v>GFD</v>
      </c>
      <c r="C255" s="14">
        <f>IFERROR(__xludf.DUMMYFUNCTION("""COMPUTED_VALUE"""),590.5)</f>
        <v>590.5</v>
      </c>
      <c r="D255" s="15">
        <f>IFERROR(__xludf.DUMMYFUNCTION("""COMPUTED_VALUE"""),-1.8977356715261027)</f>
        <v>-1.897735672</v>
      </c>
      <c r="E255" s="15">
        <f>IFERROR(__xludf.DUMMYFUNCTION("""COMPUTED_VALUE"""),-2.499774684646422)</f>
        <v>-2.499774685</v>
      </c>
      <c r="F255" s="15">
        <f>IFERROR(__xludf.DUMMYFUNCTION("""COMPUTED_VALUE"""),-4.397510356172525)</f>
        <v>-4.397510356</v>
      </c>
      <c r="G255" s="17">
        <f>IFERROR(__xludf.DUMMYFUNCTION("""COMPUTED_VALUE"""),-0.4272765300859246)</f>
        <v>-0.4272765301</v>
      </c>
      <c r="H255" s="4"/>
      <c r="I255" s="5" t="s">
        <v>2758</v>
      </c>
      <c r="J255" s="5" t="s">
        <v>2219</v>
      </c>
      <c r="K255" s="5">
        <v>591.0</v>
      </c>
      <c r="L255" s="5">
        <v>-1.897695</v>
      </c>
      <c r="M255" s="5">
        <v>-2.499815</v>
      </c>
      <c r="N255" s="5">
        <v>-4.39751</v>
      </c>
      <c r="O255" s="5">
        <v>-0.427277</v>
      </c>
    </row>
    <row r="256">
      <c r="A256" s="18" t="str">
        <f>IFERROR(__xludf.DUMMYFUNCTION("""COMPUTED_VALUE"""),"Bai Haotian")</f>
        <v>Bai Haotian</v>
      </c>
      <c r="B256" s="19" t="str">
        <f>IFERROR(__xludf.DUMMYFUNCTION("""COMPUTED_VALUE"""),"DON")</f>
        <v>DON</v>
      </c>
      <c r="C256" s="20">
        <f>IFERROR(__xludf.DUMMYFUNCTION("""COMPUTED_VALUE"""),631.3)</f>
        <v>631.3</v>
      </c>
      <c r="D256" s="21">
        <f>IFERROR(__xludf.DUMMYFUNCTION("""COMPUTED_VALUE"""),-4.270003060522434)</f>
        <v>-4.270003061</v>
      </c>
      <c r="E256" s="21">
        <f>IFERROR(__xludf.DUMMYFUNCTION("""COMPUTED_VALUE"""),-0.15274399913123649)</f>
        <v>-0.1527439991</v>
      </c>
      <c r="F256" s="21">
        <f>IFERROR(__xludf.DUMMYFUNCTION("""COMPUTED_VALUE"""),-4.422747059653671)</f>
        <v>-4.42274706</v>
      </c>
      <c r="G256" s="23">
        <f>IFERROR(__xludf.DUMMYFUNCTION("""COMPUTED_VALUE"""),-0.4643657876121057)</f>
        <v>-0.4643657876</v>
      </c>
      <c r="H256" s="4"/>
      <c r="I256" s="5" t="s">
        <v>2759</v>
      </c>
      <c r="J256" s="5" t="s">
        <v>2217</v>
      </c>
      <c r="K256" s="5">
        <v>631.0</v>
      </c>
      <c r="L256" s="5">
        <v>-4.269963</v>
      </c>
      <c r="M256" s="5">
        <v>-0.152784</v>
      </c>
      <c r="N256" s="5">
        <v>-4.422747</v>
      </c>
      <c r="O256" s="5">
        <v>-0.464366</v>
      </c>
    </row>
    <row r="257">
      <c r="A257" s="12" t="str">
        <f>IFERROR(__xludf.DUMMYFUNCTION("""COMPUTED_VALUE"""),"XueWen Zhang")</f>
        <v>XueWen Zhang</v>
      </c>
      <c r="B257" s="13" t="str">
        <f>IFERROR(__xludf.DUMMYFUNCTION("""COMPUTED_VALUE"""),"SZD")</f>
        <v>SZD</v>
      </c>
      <c r="C257" s="14">
        <f>IFERROR(__xludf.DUMMYFUNCTION("""COMPUTED_VALUE"""),286.1)</f>
        <v>286.1</v>
      </c>
      <c r="D257" s="15">
        <f>IFERROR(__xludf.DUMMYFUNCTION("""COMPUTED_VALUE"""),-4.181382298081797)</f>
        <v>-4.181382298</v>
      </c>
      <c r="E257" s="15">
        <f>IFERROR(__xludf.DUMMYFUNCTION("""COMPUTED_VALUE"""),-0.27027954946392807)</f>
        <v>-0.2702795495</v>
      </c>
      <c r="F257" s="15">
        <f>IFERROR(__xludf.DUMMYFUNCTION("""COMPUTED_VALUE"""),-4.451661847545725)</f>
        <v>-4.451661848</v>
      </c>
      <c r="G257" s="17">
        <f>IFERROR(__xludf.DUMMYFUNCTION("""COMPUTED_VALUE"""),-0.21500451735151266)</f>
        <v>-0.2150045174</v>
      </c>
      <c r="H257" s="4"/>
      <c r="I257" s="5" t="s">
        <v>2760</v>
      </c>
      <c r="J257" s="5" t="s">
        <v>2244</v>
      </c>
      <c r="K257" s="5">
        <v>286.0</v>
      </c>
      <c r="L257" s="5">
        <v>-4.181344</v>
      </c>
      <c r="M257" s="5">
        <v>-0.270318</v>
      </c>
      <c r="N257" s="5">
        <v>-4.451662</v>
      </c>
      <c r="O257" s="5">
        <v>-0.215005</v>
      </c>
    </row>
    <row r="258">
      <c r="A258" s="18" t="str">
        <f>IFERROR(__xludf.DUMMYFUNCTION("""COMPUTED_VALUE"""),"Ji Zhe")</f>
        <v>Ji Zhe</v>
      </c>
      <c r="B258" s="19" t="str">
        <f>IFERROR(__xludf.DUMMYFUNCTION("""COMPUTED_VALUE"""),"BSD")</f>
        <v>BSD</v>
      </c>
      <c r="C258" s="20">
        <f>IFERROR(__xludf.DUMMYFUNCTION("""COMPUTED_VALUE"""),518.5)</f>
        <v>518.5</v>
      </c>
      <c r="D258" s="21">
        <f>IFERROR(__xludf.DUMMYFUNCTION("""COMPUTED_VALUE"""),-5.256646413706599)</f>
        <v>-5.256646414</v>
      </c>
      <c r="E258" s="21">
        <f>IFERROR(__xludf.DUMMYFUNCTION("""COMPUTED_VALUE"""),0.7742727808297305)</f>
        <v>0.7742727808</v>
      </c>
      <c r="F258" s="21">
        <f>IFERROR(__xludf.DUMMYFUNCTION("""COMPUTED_VALUE"""),-4.482373632876868)</f>
        <v>-4.482373633</v>
      </c>
      <c r="G258" s="23">
        <f>IFERROR(__xludf.DUMMYFUNCTION("""COMPUTED_VALUE"""),-0.3899421737471591)</f>
        <v>-0.3899421737</v>
      </c>
      <c r="H258" s="4"/>
      <c r="I258" s="5" t="s">
        <v>2761</v>
      </c>
      <c r="J258" s="5" t="s">
        <v>2211</v>
      </c>
      <c r="K258" s="5">
        <v>519.0</v>
      </c>
      <c r="L258" s="5">
        <v>-5.256606</v>
      </c>
      <c r="M258" s="5">
        <v>0.774233</v>
      </c>
      <c r="N258" s="5">
        <v>-4.482374</v>
      </c>
      <c r="O258" s="5">
        <v>-0.389942</v>
      </c>
    </row>
    <row r="259">
      <c r="A259" s="12" t="str">
        <f>IFERROR(__xludf.DUMMYFUNCTION("""COMPUTED_VALUE"""),"Lilong Cai")</f>
        <v>Lilong Cai</v>
      </c>
      <c r="B259" s="13" t="str">
        <f>IFERROR(__xludf.DUMMYFUNCTION("""COMPUTED_VALUE"""),"JIL")</f>
        <v>JIL</v>
      </c>
      <c r="C259" s="14">
        <f>IFERROR(__xludf.DUMMYFUNCTION("""COMPUTED_VALUE"""),686.5)</f>
        <v>686.5</v>
      </c>
      <c r="D259" s="15">
        <f>IFERROR(__xludf.DUMMYFUNCTION("""COMPUTED_VALUE"""),-1.4136457315334654)</f>
        <v>-1.413645732</v>
      </c>
      <c r="E259" s="15">
        <f>IFERROR(__xludf.DUMMYFUNCTION("""COMPUTED_VALUE"""),-3.0825304998339114)</f>
        <v>-3.0825305</v>
      </c>
      <c r="F259" s="15">
        <f>IFERROR(__xludf.DUMMYFUNCTION("""COMPUTED_VALUE"""),-4.496176231367377)</f>
        <v>-4.496176231</v>
      </c>
      <c r="G259" s="17">
        <f>IFERROR(__xludf.DUMMYFUNCTION("""COMPUTED_VALUE"""),-0.5270121704540528)</f>
        <v>-0.5270121705</v>
      </c>
      <c r="H259" s="4"/>
      <c r="I259" s="5" t="s">
        <v>2762</v>
      </c>
      <c r="J259" s="5" t="s">
        <v>2221</v>
      </c>
      <c r="K259" s="5">
        <v>687.0</v>
      </c>
      <c r="L259" s="5">
        <v>-1.413606</v>
      </c>
      <c r="M259" s="5">
        <v>-3.082571</v>
      </c>
      <c r="N259" s="5">
        <v>-4.496176</v>
      </c>
      <c r="O259" s="5">
        <v>-0.527012</v>
      </c>
    </row>
    <row r="260">
      <c r="A260" s="18" t="str">
        <f>IFERROR(__xludf.DUMMYFUNCTION("""COMPUTED_VALUE"""),"Tianyi Yao")</f>
        <v>Tianyi Yao</v>
      </c>
      <c r="B260" s="19" t="str">
        <f>IFERROR(__xludf.DUMMYFUNCTION("""COMPUTED_VALUE"""),"JIL")</f>
        <v>JIL</v>
      </c>
      <c r="C260" s="20">
        <f>IFERROR(__xludf.DUMMYFUNCTION("""COMPUTED_VALUE"""),310.3)</f>
        <v>310.3</v>
      </c>
      <c r="D260" s="21">
        <f>IFERROR(__xludf.DUMMYFUNCTION("""COMPUTED_VALUE"""),-2.9666657570233)</f>
        <v>-2.966665757</v>
      </c>
      <c r="E260" s="21">
        <f>IFERROR(__xludf.DUMMYFUNCTION("""COMPUTED_VALUE"""),-1.5495018311355633)</f>
        <v>-1.549501831</v>
      </c>
      <c r="F260" s="21">
        <f>IFERROR(__xludf.DUMMYFUNCTION("""COMPUTED_VALUE"""),-4.516167588158863)</f>
        <v>-4.516167588</v>
      </c>
      <c r="G260" s="23">
        <f>IFERROR(__xludf.DUMMYFUNCTION("""COMPUTED_VALUE"""),-0.24011881910082375)</f>
        <v>-0.2401188191</v>
      </c>
      <c r="H260" s="4"/>
      <c r="I260" s="5" t="s">
        <v>2763</v>
      </c>
      <c r="J260" s="5" t="s">
        <v>2221</v>
      </c>
      <c r="K260" s="5">
        <v>310.0</v>
      </c>
      <c r="L260" s="5">
        <v>-2.966626</v>
      </c>
      <c r="M260" s="5">
        <v>-1.549542</v>
      </c>
      <c r="N260" s="5">
        <v>-4.516168</v>
      </c>
      <c r="O260" s="5">
        <v>-0.240119</v>
      </c>
    </row>
    <row r="261">
      <c r="A261" s="12" t="str">
        <f>IFERROR(__xludf.DUMMYFUNCTION("""COMPUTED_VALUE"""),"Tianyi Zhao")</f>
        <v>Tianyi Zhao</v>
      </c>
      <c r="B261" s="13" t="str">
        <f>IFERROR(__xludf.DUMMYFUNCTION("""COMPUTED_VALUE"""),"ZGL")</f>
        <v>ZGL</v>
      </c>
      <c r="C261" s="14">
        <f>IFERROR(__xludf.DUMMYFUNCTION("""COMPUTED_VALUE"""),408.4)</f>
        <v>408.4</v>
      </c>
      <c r="D261" s="15">
        <f>IFERROR(__xludf.DUMMYFUNCTION("""COMPUTED_VALUE"""),-4.25659481068773)</f>
        <v>-4.256594811</v>
      </c>
      <c r="E261" s="15">
        <f>IFERROR(__xludf.DUMMYFUNCTION("""COMPUTED_VALUE"""),-0.4223551472661091)</f>
        <v>-0.4223551473</v>
      </c>
      <c r="F261" s="15">
        <f>IFERROR(__xludf.DUMMYFUNCTION("""COMPUTED_VALUE"""),-4.678949957953839)</f>
        <v>-4.678949958</v>
      </c>
      <c r="G261" s="17">
        <f>IFERROR(__xludf.DUMMYFUNCTION("""COMPUTED_VALUE"""),-0.3625946115114839)</f>
        <v>-0.3625946115</v>
      </c>
      <c r="H261" s="4"/>
      <c r="I261" s="5" t="s">
        <v>2764</v>
      </c>
      <c r="J261" s="5" t="s">
        <v>2194</v>
      </c>
      <c r="K261" s="24">
        <v>408.0</v>
      </c>
      <c r="L261" s="5">
        <v>-4.256555</v>
      </c>
      <c r="M261" s="5">
        <v>-0.422395</v>
      </c>
      <c r="N261" s="5">
        <v>-4.67895</v>
      </c>
      <c r="O261" s="5">
        <v>-0.362595</v>
      </c>
    </row>
    <row r="262">
      <c r="A262" s="18" t="str">
        <f>IFERROR(__xludf.DUMMYFUNCTION("""COMPUTED_VALUE"""),"Yasong Chang")</f>
        <v>Yasong Chang</v>
      </c>
      <c r="B262" s="19" t="str">
        <f>IFERROR(__xludf.DUMMYFUNCTION("""COMPUTED_VALUE"""),"JIA")</f>
        <v>JIA</v>
      </c>
      <c r="C262" s="20">
        <f>IFERROR(__xludf.DUMMYFUNCTION("""COMPUTED_VALUE"""),215.6)</f>
        <v>215.6</v>
      </c>
      <c r="D262" s="21">
        <f>IFERROR(__xludf.DUMMYFUNCTION("""COMPUTED_VALUE"""),-4.665710886106242)</f>
        <v>-4.665710886</v>
      </c>
      <c r="E262" s="21">
        <f>IFERROR(__xludf.DUMMYFUNCTION("""COMPUTED_VALUE"""),-0.017232909547823638)</f>
        <v>-0.01723290955</v>
      </c>
      <c r="F262" s="21">
        <f>IFERROR(__xludf.DUMMYFUNCTION("""COMPUTED_VALUE"""),-4.682943795654066)</f>
        <v>-4.682943796</v>
      </c>
      <c r="G262" s="23">
        <f>IFERROR(__xludf.DUMMYFUNCTION("""COMPUTED_VALUE"""),-0.19161258659462002)</f>
        <v>-0.1916125866</v>
      </c>
      <c r="H262" s="4"/>
      <c r="I262" s="5" t="s">
        <v>2765</v>
      </c>
      <c r="J262" s="5" t="s">
        <v>2190</v>
      </c>
      <c r="K262" s="5">
        <v>216.0</v>
      </c>
      <c r="L262" s="5">
        <v>-4.665682</v>
      </c>
      <c r="M262" s="5">
        <v>-0.017262</v>
      </c>
      <c r="N262" s="5">
        <v>-4.682944</v>
      </c>
      <c r="O262" s="5">
        <v>-0.191613</v>
      </c>
    </row>
    <row r="263">
      <c r="A263" s="12" t="str">
        <f>IFERROR(__xludf.DUMMYFUNCTION("""COMPUTED_VALUE"""),"Yu Shulong")</f>
        <v>Yu Shulong</v>
      </c>
      <c r="B263" s="13" t="str">
        <f>IFERROR(__xludf.DUMMYFUNCTION("""COMPUTED_VALUE"""),"BEIK")</f>
        <v>BEIK</v>
      </c>
      <c r="C263" s="14">
        <f>IFERROR(__xludf.DUMMYFUNCTION("""COMPUTED_VALUE"""),586.6)</f>
        <v>586.6</v>
      </c>
      <c r="D263" s="15">
        <f>IFERROR(__xludf.DUMMYFUNCTION("""COMPUTED_VALUE"""),-4.51013404724841)</f>
        <v>-4.510134047</v>
      </c>
      <c r="E263" s="15">
        <f>IFERROR(__xludf.DUMMYFUNCTION("""COMPUTED_VALUE"""),-0.21473066017079834)</f>
        <v>-0.2147306602</v>
      </c>
      <c r="F263" s="15">
        <f>IFERROR(__xludf.DUMMYFUNCTION("""COMPUTED_VALUE"""),-4.724864707419209)</f>
        <v>-4.724864707</v>
      </c>
      <c r="G263" s="17">
        <f>IFERROR(__xludf.DUMMYFUNCTION("""COMPUTED_VALUE"""),-0.4877641417502948)</f>
        <v>-0.4877641418</v>
      </c>
      <c r="H263" s="4"/>
      <c r="I263" s="5" t="s">
        <v>2766</v>
      </c>
      <c r="J263" s="5" t="s">
        <v>2256</v>
      </c>
      <c r="K263" s="5">
        <v>587.0</v>
      </c>
      <c r="L263" s="5">
        <v>-4.510094</v>
      </c>
      <c r="M263" s="5">
        <v>-0.214771</v>
      </c>
      <c r="N263" s="5">
        <v>-4.724865</v>
      </c>
      <c r="O263" s="5">
        <v>-0.487764</v>
      </c>
    </row>
    <row r="264">
      <c r="A264" s="18" t="str">
        <f>IFERROR(__xludf.DUMMYFUNCTION("""COMPUTED_VALUE"""),"Lei Xu")</f>
        <v>Lei Xu</v>
      </c>
      <c r="B264" s="19" t="str">
        <f>IFERROR(__xludf.DUMMYFUNCTION("""COMPUTED_VALUE"""),"TIA")</f>
        <v>TIA</v>
      </c>
      <c r="C264" s="20">
        <f>IFERROR(__xludf.DUMMYFUNCTION("""COMPUTED_VALUE"""),619.5)</f>
        <v>619.5</v>
      </c>
      <c r="D264" s="21">
        <f>IFERROR(__xludf.DUMMYFUNCTION("""COMPUTED_VALUE"""),-2.4268502884769463)</f>
        <v>-2.426850288</v>
      </c>
      <c r="E264" s="21">
        <f>IFERROR(__xludf.DUMMYFUNCTION("""COMPUTED_VALUE"""),-2.324225392336026)</f>
        <v>-2.324225392</v>
      </c>
      <c r="F264" s="21">
        <f>IFERROR(__xludf.DUMMYFUNCTION("""COMPUTED_VALUE"""),-4.751075680812972)</f>
        <v>-4.751075681</v>
      </c>
      <c r="G264" s="23">
        <f>IFERROR(__xludf.DUMMYFUNCTION("""COMPUTED_VALUE"""),-0.4947454505647561)</f>
        <v>-0.4947454506</v>
      </c>
      <c r="H264" s="4"/>
      <c r="I264" s="5" t="s">
        <v>2767</v>
      </c>
      <c r="J264" s="5" t="s">
        <v>2229</v>
      </c>
      <c r="K264" s="5">
        <v>620.0</v>
      </c>
      <c r="L264" s="5">
        <v>-2.42681</v>
      </c>
      <c r="M264" s="5">
        <v>-2.324266</v>
      </c>
      <c r="N264" s="5">
        <v>-4.751076</v>
      </c>
      <c r="O264" s="5">
        <v>-0.494745</v>
      </c>
    </row>
    <row r="265">
      <c r="A265" s="12" t="str">
        <f>IFERROR(__xludf.DUMMYFUNCTION("""COMPUTED_VALUE"""),"Tian Jiafu")</f>
        <v>Tian Jiafu</v>
      </c>
      <c r="B265" s="13" t="str">
        <f>IFERROR(__xludf.DUMMYFUNCTION("""COMPUTED_VALUE"""),"QIN")</f>
        <v>QIN</v>
      </c>
      <c r="C265" s="14">
        <f>IFERROR(__xludf.DUMMYFUNCTION("""COMPUTED_VALUE"""),329.6)</f>
        <v>329.6</v>
      </c>
      <c r="D265" s="15">
        <f>IFERROR(__xludf.DUMMYFUNCTION("""COMPUTED_VALUE"""),-2.1139972740193773)</f>
        <v>-2.113997274</v>
      </c>
      <c r="E265" s="15">
        <f>IFERROR(__xludf.DUMMYFUNCTION("""COMPUTED_VALUE"""),-2.734176461199578)</f>
        <v>-2.734176461</v>
      </c>
      <c r="F265" s="15">
        <f>IFERROR(__xludf.DUMMYFUNCTION("""COMPUTED_VALUE"""),-4.848173735218955)</f>
        <v>-4.848173735</v>
      </c>
      <c r="G265" s="17">
        <f>IFERROR(__xludf.DUMMYFUNCTION("""COMPUTED_VALUE"""),-0.28891372252889963)</f>
        <v>-0.2889137225</v>
      </c>
      <c r="H265" s="4"/>
      <c r="I265" s="5" t="s">
        <v>2768</v>
      </c>
      <c r="J265" s="5" t="s">
        <v>2226</v>
      </c>
      <c r="K265" s="5">
        <v>330.0</v>
      </c>
      <c r="L265" s="5">
        <v>-2.113957</v>
      </c>
      <c r="M265" s="5">
        <v>-2.734217</v>
      </c>
      <c r="N265" s="5">
        <v>-4.848174</v>
      </c>
      <c r="O265" s="5">
        <v>-0.288914</v>
      </c>
    </row>
    <row r="266">
      <c r="A266" s="18" t="str">
        <f>IFERROR(__xludf.DUMMYFUNCTION("""COMPUTED_VALUE"""),"Zirui Wang")</f>
        <v>Zirui Wang</v>
      </c>
      <c r="B266" s="19" t="str">
        <f>IFERROR(__xludf.DUMMYFUNCTION("""COMPUTED_VALUE"""),"XIN")</f>
        <v>XIN</v>
      </c>
      <c r="C266" s="20">
        <f>IFERROR(__xludf.DUMMYFUNCTION("""COMPUTED_VALUE"""),165.9)</f>
        <v>165.9</v>
      </c>
      <c r="D266" s="21">
        <f>IFERROR(__xludf.DUMMYFUNCTION("""COMPUTED_VALUE"""),-3.622430489663631)</f>
        <v>-3.62243049</v>
      </c>
      <c r="E266" s="21">
        <f>IFERROR(__xludf.DUMMYFUNCTION("""COMPUTED_VALUE"""),-1.3029898987756452)</f>
        <v>-1.302989899</v>
      </c>
      <c r="F266" s="21">
        <f>IFERROR(__xludf.DUMMYFUNCTION("""COMPUTED_VALUE"""),-4.925420388439276)</f>
        <v>-4.925420388</v>
      </c>
      <c r="G266" s="23">
        <f>IFERROR(__xludf.DUMMYFUNCTION("""COMPUTED_VALUE"""),-0.14659205513910148)</f>
        <v>-0.1465920551</v>
      </c>
      <c r="H266" s="4"/>
      <c r="I266" s="5" t="s">
        <v>2769</v>
      </c>
      <c r="J266" s="5" t="s">
        <v>2208</v>
      </c>
      <c r="K266" s="5">
        <v>166.0</v>
      </c>
      <c r="L266" s="5">
        <v>-3.622408</v>
      </c>
      <c r="M266" s="5">
        <v>-1.303012</v>
      </c>
      <c r="N266" s="5">
        <v>-4.92542</v>
      </c>
      <c r="O266" s="5">
        <v>-0.146592</v>
      </c>
    </row>
    <row r="267">
      <c r="A267" s="12" t="str">
        <f>IFERROR(__xludf.DUMMYFUNCTION("""COMPUTED_VALUE"""),"XiaoDong Chen")</f>
        <v>XiaoDong Chen</v>
      </c>
      <c r="B267" s="13" t="str">
        <f>IFERROR(__xludf.DUMMYFUNCTION("""COMPUTED_VALUE"""),"SICH")</f>
        <v>SICH</v>
      </c>
      <c r="C267" s="14">
        <f>IFERROR(__xludf.DUMMYFUNCTION("""COMPUTED_VALUE"""),633.0)</f>
        <v>633</v>
      </c>
      <c r="D267" s="15">
        <f>IFERROR(__xludf.DUMMYFUNCTION("""COMPUTED_VALUE"""),-2.3530326199551643)</f>
        <v>-2.35303262</v>
      </c>
      <c r="E267" s="15">
        <f>IFERROR(__xludf.DUMMYFUNCTION("""COMPUTED_VALUE"""),-2.669050926154532)</f>
        <v>-2.669050926</v>
      </c>
      <c r="F267" s="15">
        <f>IFERROR(__xludf.DUMMYFUNCTION("""COMPUTED_VALUE"""),-5.022083546109696)</f>
        <v>-5.022083546</v>
      </c>
      <c r="G267" s="17">
        <f>IFERROR(__xludf.DUMMYFUNCTION("""COMPUTED_VALUE"""),-0.6568495349917215)</f>
        <v>-0.656849535</v>
      </c>
      <c r="H267" s="4"/>
      <c r="I267" s="5" t="s">
        <v>2770</v>
      </c>
      <c r="J267" s="5" t="s">
        <v>2186</v>
      </c>
      <c r="K267" s="5">
        <v>633.0</v>
      </c>
      <c r="L267" s="5">
        <v>-2.352992</v>
      </c>
      <c r="M267" s="5">
        <v>-2.669091</v>
      </c>
      <c r="N267" s="5">
        <v>-5.022084</v>
      </c>
      <c r="O267" s="5">
        <v>-0.65685</v>
      </c>
    </row>
    <row r="268">
      <c r="A268" s="18" t="str">
        <f>IFERROR(__xludf.DUMMYFUNCTION("""COMPUTED_VALUE"""),"Cai Chen")</f>
        <v>Cai Chen</v>
      </c>
      <c r="B268" s="19" t="str">
        <f>IFERROR(__xludf.DUMMYFUNCTION("""COMPUTED_VALUE"""),"FUJ")</f>
        <v>FUJ</v>
      </c>
      <c r="C268" s="20">
        <f>IFERROR(__xludf.DUMMYFUNCTION("""COMPUTED_VALUE"""),166.1)</f>
        <v>166.1</v>
      </c>
      <c r="D268" s="21">
        <f>IFERROR(__xludf.DUMMYFUNCTION("""COMPUTED_VALUE"""),-2.7546538876137423)</f>
        <v>-2.754653888</v>
      </c>
      <c r="E268" s="21">
        <f>IFERROR(__xludf.DUMMYFUNCTION("""COMPUTED_VALUE"""),-2.3347405428260264)</f>
        <v>-2.334740543</v>
      </c>
      <c r="F268" s="21">
        <f>IFERROR(__xludf.DUMMYFUNCTION("""COMPUTED_VALUE"""),-5.089394430439769)</f>
        <v>-5.08939443</v>
      </c>
      <c r="G268" s="23">
        <f>IFERROR(__xludf.DUMMYFUNCTION("""COMPUTED_VALUE"""),-0.15576705317075612)</f>
        <v>-0.1557670532</v>
      </c>
      <c r="H268" s="4"/>
      <c r="I268" s="5" t="s">
        <v>2771</v>
      </c>
      <c r="J268" s="5" t="s">
        <v>2198</v>
      </c>
      <c r="K268" s="5">
        <v>166.0</v>
      </c>
      <c r="L268" s="5">
        <v>-2.754632</v>
      </c>
      <c r="M268" s="5">
        <v>-2.334763</v>
      </c>
      <c r="N268" s="5">
        <v>-5.089394</v>
      </c>
      <c r="O268" s="5">
        <v>-0.155767</v>
      </c>
    </row>
    <row r="269">
      <c r="A269" s="12" t="str">
        <f>IFERROR(__xludf.DUMMYFUNCTION("""COMPUTED_VALUE"""),"Zhihan Zhang")</f>
        <v>Zhihan Zhang</v>
      </c>
      <c r="B269" s="13" t="str">
        <f>IFERROR(__xludf.DUMMYFUNCTION("""COMPUTED_VALUE"""),"TIA")</f>
        <v>TIA</v>
      </c>
      <c r="C269" s="14">
        <f>IFERROR(__xludf.DUMMYFUNCTION("""COMPUTED_VALUE"""),1376.8)</f>
        <v>1376.8</v>
      </c>
      <c r="D269" s="15">
        <f>IFERROR(__xludf.DUMMYFUNCTION("""COMPUTED_VALUE"""),-1.8887404812630813)</f>
        <v>-1.888740481</v>
      </c>
      <c r="E269" s="15">
        <f>IFERROR(__xludf.DUMMYFUNCTION("""COMPUTED_VALUE"""),-3.206606799670028)</f>
        <v>-3.2066068</v>
      </c>
      <c r="F269" s="15">
        <f>IFERROR(__xludf.DUMMYFUNCTION("""COMPUTED_VALUE"""),-5.095347280933109)</f>
        <v>-5.095347281</v>
      </c>
      <c r="G269" s="17">
        <f>IFERROR(__xludf.DUMMYFUNCTION("""COMPUTED_VALUE"""),-1.2371381503396972)</f>
        <v>-1.23713815</v>
      </c>
      <c r="H269" s="4"/>
      <c r="I269" s="5" t="s">
        <v>2772</v>
      </c>
      <c r="J269" s="5" t="s">
        <v>2229</v>
      </c>
      <c r="K269" s="24">
        <v>1377.0</v>
      </c>
      <c r="L269" s="5">
        <v>-1.8887</v>
      </c>
      <c r="M269" s="5">
        <v>-3.206647</v>
      </c>
      <c r="N269" s="5">
        <v>-5.095347</v>
      </c>
      <c r="O269" s="5">
        <v>-1.237138</v>
      </c>
    </row>
    <row r="270">
      <c r="A270" s="18" t="str">
        <f>IFERROR(__xludf.DUMMYFUNCTION("""COMPUTED_VALUE"""),"Huaibo Dai")</f>
        <v>Huaibo Dai</v>
      </c>
      <c r="B270" s="19" t="str">
        <f>IFERROR(__xludf.DUMMYFUNCTION("""COMPUTED_VALUE"""),"JIL")</f>
        <v>JIL</v>
      </c>
      <c r="C270" s="20">
        <f>IFERROR(__xludf.DUMMYFUNCTION("""COMPUTED_VALUE"""),613.6)</f>
        <v>613.6</v>
      </c>
      <c r="D270" s="21">
        <f>IFERROR(__xludf.DUMMYFUNCTION("""COMPUTED_VALUE"""),-1.8068480541105556)</f>
        <v>-1.806848054</v>
      </c>
      <c r="E270" s="21">
        <f>IFERROR(__xludf.DUMMYFUNCTION("""COMPUTED_VALUE"""),-3.348530315110821)</f>
        <v>-3.348530315</v>
      </c>
      <c r="F270" s="21">
        <f>IFERROR(__xludf.DUMMYFUNCTION("""COMPUTED_VALUE"""),-5.155378369221377)</f>
        <v>-5.155378369</v>
      </c>
      <c r="G270" s="23">
        <f>IFERROR(__xludf.DUMMYFUNCTION("""COMPUTED_VALUE"""),-0.5954450023326073)</f>
        <v>-0.5954450023</v>
      </c>
      <c r="H270" s="4"/>
      <c r="I270" s="5" t="s">
        <v>2773</v>
      </c>
      <c r="J270" s="5" t="s">
        <v>2221</v>
      </c>
      <c r="K270" s="5">
        <v>614.0</v>
      </c>
      <c r="L270" s="5">
        <v>-1.806808</v>
      </c>
      <c r="M270" s="5">
        <v>-3.34857</v>
      </c>
      <c r="N270" s="5">
        <v>-5.155378</v>
      </c>
      <c r="O270" s="5">
        <v>-0.595445</v>
      </c>
    </row>
    <row r="271">
      <c r="A271" s="12" t="str">
        <f>IFERROR(__xludf.DUMMYFUNCTION("""COMPUTED_VALUE"""),"JiangPeng Duan")</f>
        <v>JiangPeng Duan</v>
      </c>
      <c r="B271" s="13" t="str">
        <f>IFERROR(__xludf.DUMMYFUNCTION("""COMPUTED_VALUE"""),"BSD")</f>
        <v>BSD</v>
      </c>
      <c r="C271" s="14">
        <f>IFERROR(__xludf.DUMMYFUNCTION("""COMPUTED_VALUE"""),473.1)</f>
        <v>473.1</v>
      </c>
      <c r="D271" s="15">
        <f>IFERROR(__xludf.DUMMYFUNCTION("""COMPUTED_VALUE"""),-4.333692992614905)</f>
        <v>-4.333692993</v>
      </c>
      <c r="E271" s="15">
        <f>IFERROR(__xludf.DUMMYFUNCTION("""COMPUTED_VALUE"""),-0.8583636957744485)</f>
        <v>-0.8583636958</v>
      </c>
      <c r="F271" s="15">
        <f>IFERROR(__xludf.DUMMYFUNCTION("""COMPUTED_VALUE"""),-5.1920566883893535)</f>
        <v>-5.192056688</v>
      </c>
      <c r="G271" s="17">
        <f>IFERROR(__xludf.DUMMYFUNCTION("""COMPUTED_VALUE"""),-0.45751763807178625)</f>
        <v>-0.4575176381</v>
      </c>
      <c r="H271" s="4"/>
      <c r="I271" s="5" t="s">
        <v>2774</v>
      </c>
      <c r="J271" s="5" t="s">
        <v>2211</v>
      </c>
      <c r="K271" s="5">
        <v>473.0</v>
      </c>
      <c r="L271" s="5">
        <v>-4.333653</v>
      </c>
      <c r="M271" s="5">
        <v>-0.858404</v>
      </c>
      <c r="N271" s="5">
        <v>-5.192057</v>
      </c>
      <c r="O271" s="5">
        <v>-0.457518</v>
      </c>
    </row>
    <row r="272">
      <c r="A272" s="18" t="str">
        <f>IFERROR(__xludf.DUMMYFUNCTION("""COMPUTED_VALUE"""),"Biao Zhang")</f>
        <v>Biao Zhang</v>
      </c>
      <c r="B272" s="19" t="str">
        <f>IFERROR(__xludf.DUMMYFUNCTION("""COMPUTED_VALUE"""),"JIL")</f>
        <v>JIL</v>
      </c>
      <c r="C272" s="20">
        <f>IFERROR(__xludf.DUMMYFUNCTION("""COMPUTED_VALUE"""),794.4)</f>
        <v>794.4</v>
      </c>
      <c r="D272" s="21">
        <f>IFERROR(__xludf.DUMMYFUNCTION("""COMPUTED_VALUE"""),-2.6913342942694047)</f>
        <v>-2.691334294</v>
      </c>
      <c r="E272" s="21">
        <f>IFERROR(__xludf.DUMMYFUNCTION("""COMPUTED_VALUE"""),-2.6391147210183714)</f>
        <v>-2.639114721</v>
      </c>
      <c r="F272" s="21">
        <f>IFERROR(__xludf.DUMMYFUNCTION("""COMPUTED_VALUE"""),-5.330449015287776)</f>
        <v>-5.330449015</v>
      </c>
      <c r="G272" s="23">
        <f>IFERROR(__xludf.DUMMYFUNCTION("""COMPUTED_VALUE"""),-0.8136673409615326)</f>
        <v>-0.813667341</v>
      </c>
      <c r="H272" s="4"/>
      <c r="I272" s="5" t="s">
        <v>2775</v>
      </c>
      <c r="J272" s="5" t="s">
        <v>2221</v>
      </c>
      <c r="K272" s="5">
        <v>794.0</v>
      </c>
      <c r="L272" s="5">
        <v>-2.691294</v>
      </c>
      <c r="M272" s="5">
        <v>-2.639155</v>
      </c>
      <c r="N272" s="5">
        <v>-5.330449</v>
      </c>
      <c r="O272" s="5">
        <v>-0.813667</v>
      </c>
    </row>
    <row r="273">
      <c r="A273" s="12" t="str">
        <f>IFERROR(__xludf.DUMMYFUNCTION("""COMPUTED_VALUE"""),"Heng Yifeng")</f>
        <v>Heng Yifeng</v>
      </c>
      <c r="B273" s="13" t="str">
        <f>IFERROR(__xludf.DUMMYFUNCTION("""COMPUTED_VALUE"""),"GFD")</f>
        <v>GFD</v>
      </c>
      <c r="C273" s="14">
        <f>IFERROR(__xludf.DUMMYFUNCTION("""COMPUTED_VALUE"""),343.4)</f>
        <v>343.4</v>
      </c>
      <c r="D273" s="15">
        <f>IFERROR(__xludf.DUMMYFUNCTION("""COMPUTED_VALUE"""),-3.743849582746574)</f>
        <v>-3.743849583</v>
      </c>
      <c r="E273" s="15">
        <f>IFERROR(__xludf.DUMMYFUNCTION("""COMPUTED_VALUE"""),-1.6764218490636842)</f>
        <v>-1.676421849</v>
      </c>
      <c r="F273" s="15">
        <f>IFERROR(__xludf.DUMMYFUNCTION("""COMPUTED_VALUE"""),-5.420271431810258)</f>
        <v>-5.420271432</v>
      </c>
      <c r="G273" s="17">
        <f>IFERROR(__xludf.DUMMYFUNCTION("""COMPUTED_VALUE"""),-0.35447818067506864)</f>
        <v>-0.3544781807</v>
      </c>
      <c r="H273" s="4"/>
      <c r="I273" s="5" t="s">
        <v>2776</v>
      </c>
      <c r="J273" s="5" t="s">
        <v>2219</v>
      </c>
      <c r="K273" s="5">
        <v>343.0</v>
      </c>
      <c r="L273" s="5">
        <v>-3.743809</v>
      </c>
      <c r="M273" s="5">
        <v>-1.676462</v>
      </c>
      <c r="N273" s="5">
        <v>-5.420271</v>
      </c>
      <c r="O273" s="5">
        <v>-0.354478</v>
      </c>
    </row>
    <row r="274">
      <c r="A274" s="18" t="str">
        <f>IFERROR(__xludf.DUMMYFUNCTION("""COMPUTED_VALUE"""),"Kai Yang")</f>
        <v>Kai Yang</v>
      </c>
      <c r="B274" s="19" t="str">
        <f>IFERROR(__xludf.DUMMYFUNCTION("""COMPUTED_VALUE"""),"FUJ")</f>
        <v>FUJ</v>
      </c>
      <c r="C274" s="20">
        <f>IFERROR(__xludf.DUMMYFUNCTION("""COMPUTED_VALUE"""),223.1)</f>
        <v>223.1</v>
      </c>
      <c r="D274" s="21">
        <f>IFERROR(__xludf.DUMMYFUNCTION("""COMPUTED_VALUE"""),-3.351215441306964)</f>
        <v>-3.351215441</v>
      </c>
      <c r="E274" s="21">
        <f>IFERROR(__xludf.DUMMYFUNCTION("""COMPUTED_VALUE"""),-2.088467644600243)</f>
        <v>-2.088467645</v>
      </c>
      <c r="F274" s="21">
        <f>IFERROR(__xludf.DUMMYFUNCTION("""COMPUTED_VALUE"""),-5.439683085907207)</f>
        <v>-5.439683086</v>
      </c>
      <c r="G274" s="23">
        <f>IFERROR(__xludf.DUMMYFUNCTION("""COMPUTED_VALUE"""),-0.23294350901912234)</f>
        <v>-0.232943509</v>
      </c>
      <c r="H274" s="4"/>
      <c r="I274" s="5" t="s">
        <v>2777</v>
      </c>
      <c r="J274" s="5" t="s">
        <v>2198</v>
      </c>
      <c r="K274" s="5">
        <v>223.0</v>
      </c>
      <c r="L274" s="5">
        <v>-3.351186</v>
      </c>
      <c r="M274" s="5">
        <v>-2.088498</v>
      </c>
      <c r="N274" s="5">
        <v>-5.439683</v>
      </c>
      <c r="O274" s="5">
        <v>-0.232944</v>
      </c>
    </row>
    <row r="275">
      <c r="A275" s="12" t="str">
        <f>IFERROR(__xludf.DUMMYFUNCTION("""COMPUTED_VALUE"""),"JiaHan Xu")</f>
        <v>JiaHan Xu</v>
      </c>
      <c r="B275" s="13" t="str">
        <f>IFERROR(__xludf.DUMMYFUNCTION("""COMPUTED_VALUE"""),"QIN")</f>
        <v>QIN</v>
      </c>
      <c r="C275" s="14">
        <f>IFERROR(__xludf.DUMMYFUNCTION("""COMPUTED_VALUE"""),459.5)</f>
        <v>459.5</v>
      </c>
      <c r="D275" s="15">
        <f>IFERROR(__xludf.DUMMYFUNCTION("""COMPUTED_VALUE"""),-3.1675771848323278)</f>
        <v>-3.167577185</v>
      </c>
      <c r="E275" s="15">
        <f>IFERROR(__xludf.DUMMYFUNCTION("""COMPUTED_VALUE"""),-2.2913464465869557)</f>
        <v>-2.291346447</v>
      </c>
      <c r="F275" s="15">
        <f>IFERROR(__xludf.DUMMYFUNCTION("""COMPUTED_VALUE"""),-5.4589236314192835)</f>
        <v>-5.458923631</v>
      </c>
      <c r="G275" s="17">
        <f>IFERROR(__xludf.DUMMYFUNCTION("""COMPUTED_VALUE"""),-0.4891487848052284)</f>
        <v>-0.4891487848</v>
      </c>
      <c r="H275" s="4"/>
      <c r="I275" s="5" t="s">
        <v>2778</v>
      </c>
      <c r="J275" s="5" t="s">
        <v>2226</v>
      </c>
      <c r="K275" s="5">
        <v>460.0</v>
      </c>
      <c r="L275" s="5">
        <v>-3.167537</v>
      </c>
      <c r="M275" s="5">
        <v>-2.291387</v>
      </c>
      <c r="N275" s="5">
        <v>-5.458924</v>
      </c>
      <c r="O275" s="5">
        <v>-0.489149</v>
      </c>
    </row>
    <row r="276">
      <c r="A276" s="18" t="str">
        <f>IFERROR(__xludf.DUMMYFUNCTION("""COMPUTED_VALUE"""),"Lei Fu")</f>
        <v>Lei Fu</v>
      </c>
      <c r="B276" s="19" t="str">
        <f>IFERROR(__xludf.DUMMYFUNCTION("""COMPUTED_VALUE"""),"ZCB")</f>
        <v>ZCB</v>
      </c>
      <c r="C276" s="20">
        <f>IFERROR(__xludf.DUMMYFUNCTION("""COMPUTED_VALUE"""),315.0)</f>
        <v>315</v>
      </c>
      <c r="D276" s="21">
        <f>IFERROR(__xludf.DUMMYFUNCTION("""COMPUTED_VALUE"""),-1.8724005388102838)</f>
        <v>-1.872400539</v>
      </c>
      <c r="E276" s="21">
        <f>IFERROR(__xludf.DUMMYFUNCTION("""COMPUTED_VALUE"""),-3.75300053465145)</f>
        <v>-3.753000535</v>
      </c>
      <c r="F276" s="21">
        <f>IFERROR(__xludf.DUMMYFUNCTION("""COMPUTED_VALUE"""),-5.625401073461734)</f>
        <v>-5.625401073</v>
      </c>
      <c r="G276" s="23">
        <f>IFERROR(__xludf.DUMMYFUNCTION("""COMPUTED_VALUE"""),-0.34881948894445997)</f>
        <v>-0.3488194889</v>
      </c>
      <c r="H276" s="4"/>
      <c r="I276" s="5" t="s">
        <v>2780</v>
      </c>
      <c r="J276" s="5" t="s">
        <v>2223</v>
      </c>
      <c r="K276" s="5">
        <v>315.0</v>
      </c>
      <c r="L276" s="5">
        <v>-1.873164</v>
      </c>
      <c r="M276" s="5">
        <v>-3.752237</v>
      </c>
      <c r="N276" s="5">
        <v>-5.625401</v>
      </c>
      <c r="O276" s="5">
        <v>-0.348819</v>
      </c>
    </row>
    <row r="277">
      <c r="A277" s="12" t="str">
        <f>IFERROR(__xludf.DUMMYFUNCTION("""COMPUTED_VALUE"""),"Chen Chen")</f>
        <v>Chen Chen</v>
      </c>
      <c r="B277" s="13" t="str">
        <f>IFERROR(__xludf.DUMMYFUNCTION("""COMPUTED_VALUE"""),"SICH")</f>
        <v>SICH</v>
      </c>
      <c r="C277" s="14">
        <f>IFERROR(__xludf.DUMMYFUNCTION("""COMPUTED_VALUE"""),556.4)</f>
        <v>556.4</v>
      </c>
      <c r="D277" s="15">
        <f>IFERROR(__xludf.DUMMYFUNCTION("""COMPUTED_VALUE"""),-2.953253548858889)</f>
        <v>-2.953253549</v>
      </c>
      <c r="E277" s="15">
        <f>IFERROR(__xludf.DUMMYFUNCTION("""COMPUTED_VALUE"""),-2.724739055264722)</f>
        <v>-2.724739055</v>
      </c>
      <c r="F277" s="15">
        <f>IFERROR(__xludf.DUMMYFUNCTION("""COMPUTED_VALUE"""),-5.677992604123611)</f>
        <v>-5.677992604</v>
      </c>
      <c r="G277" s="17">
        <f>IFERROR(__xludf.DUMMYFUNCTION("""COMPUTED_VALUE"""),-0.7026736911157903)</f>
        <v>-0.7026736911</v>
      </c>
      <c r="H277" s="4"/>
      <c r="I277" s="5" t="s">
        <v>2781</v>
      </c>
      <c r="J277" s="5" t="s">
        <v>2186</v>
      </c>
      <c r="K277" s="5">
        <v>556.0</v>
      </c>
      <c r="L277" s="5">
        <v>-2.953213</v>
      </c>
      <c r="M277" s="5">
        <v>-2.724779</v>
      </c>
      <c r="N277" s="5">
        <v>-5.677993</v>
      </c>
      <c r="O277" s="5">
        <v>-0.702674</v>
      </c>
    </row>
    <row r="278">
      <c r="A278" s="18" t="str">
        <f>IFERROR(__xludf.DUMMYFUNCTION("""COMPUTED_VALUE"""),"Ming Lian")</f>
        <v>Ming Lian</v>
      </c>
      <c r="B278" s="19" t="str">
        <f>IFERROR(__xludf.DUMMYFUNCTION("""COMPUTED_VALUE"""),"JIL")</f>
        <v>JIL</v>
      </c>
      <c r="C278" s="20">
        <f>IFERROR(__xludf.DUMMYFUNCTION("""COMPUTED_VALUE"""),223.2)</f>
        <v>223.2</v>
      </c>
      <c r="D278" s="21">
        <f>IFERROR(__xludf.DUMMYFUNCTION("""COMPUTED_VALUE"""),-3.359601265046792)</f>
        <v>-3.359601265</v>
      </c>
      <c r="E278" s="21">
        <f>IFERROR(__xludf.DUMMYFUNCTION("""COMPUTED_VALUE"""),-2.336996580606292)</f>
        <v>-2.336996581</v>
      </c>
      <c r="F278" s="21">
        <f>IFERROR(__xludf.DUMMYFUNCTION("""COMPUTED_VALUE"""),-5.696597845653084)</f>
        <v>-5.696597846</v>
      </c>
      <c r="G278" s="23">
        <f>IFERROR(__xludf.DUMMYFUNCTION("""COMPUTED_VALUE"""),-0.25374719836243986)</f>
        <v>-0.2537471984</v>
      </c>
      <c r="H278" s="4"/>
      <c r="I278" s="5" t="s">
        <v>2782</v>
      </c>
      <c r="J278" s="5" t="s">
        <v>2221</v>
      </c>
      <c r="K278" s="5">
        <v>223.0</v>
      </c>
      <c r="L278" s="5">
        <v>-3.359571</v>
      </c>
      <c r="M278" s="5">
        <v>-2.337026</v>
      </c>
      <c r="N278" s="5">
        <v>-5.696598</v>
      </c>
      <c r="O278" s="5">
        <v>-0.253747</v>
      </c>
    </row>
    <row r="279">
      <c r="A279" s="12" t="str">
        <f>IFERROR(__xludf.DUMMYFUNCTION("""COMPUTED_VALUE"""),"Tursun Mardan")</f>
        <v>Tursun Mardan</v>
      </c>
      <c r="B279" s="13" t="str">
        <f>IFERROR(__xludf.DUMMYFUNCTION("""COMPUTED_VALUE"""),"TONG")</f>
        <v>TONG</v>
      </c>
      <c r="C279" s="14">
        <f>IFERROR(__xludf.DUMMYFUNCTION("""COMPUTED_VALUE"""),518.8)</f>
        <v>518.8</v>
      </c>
      <c r="D279" s="15">
        <f>IFERROR(__xludf.DUMMYFUNCTION("""COMPUTED_VALUE"""),-4.863462395224289)</f>
        <v>-4.863462395</v>
      </c>
      <c r="E279" s="15">
        <f>IFERROR(__xludf.DUMMYFUNCTION("""COMPUTED_VALUE"""),-0.8982788714714847)</f>
        <v>-0.8982788715</v>
      </c>
      <c r="F279" s="15">
        <f>IFERROR(__xludf.DUMMYFUNCTION("""COMPUTED_VALUE"""),-5.761741266695774)</f>
        <v>-5.761741267</v>
      </c>
      <c r="G279" s="17">
        <f>IFERROR(__xludf.DUMMYFUNCTION("""COMPUTED_VALUE"""),-0.5967877318424076)</f>
        <v>-0.5967877318</v>
      </c>
      <c r="H279" s="4"/>
      <c r="I279" s="5" t="s">
        <v>2783</v>
      </c>
      <c r="J279" s="5" t="s">
        <v>2236</v>
      </c>
      <c r="K279" s="5">
        <v>519.0</v>
      </c>
      <c r="L279" s="5">
        <v>-4.863422</v>
      </c>
      <c r="M279" s="5">
        <v>-0.898319</v>
      </c>
      <c r="N279" s="5">
        <v>-5.761741</v>
      </c>
      <c r="O279" s="5">
        <v>-0.596788</v>
      </c>
    </row>
    <row r="280">
      <c r="A280" s="18" t="str">
        <f>IFERROR(__xludf.DUMMYFUNCTION("""COMPUTED_VALUE"""),"Deshaui Shi")</f>
        <v>Deshaui Shi</v>
      </c>
      <c r="B280" s="19" t="str">
        <f>IFERROR(__xludf.DUMMYFUNCTION("""COMPUTED_VALUE"""),"TIA")</f>
        <v>TIA</v>
      </c>
      <c r="C280" s="20">
        <f>IFERROR(__xludf.DUMMYFUNCTION("""COMPUTED_VALUE"""),862.8)</f>
        <v>862.8</v>
      </c>
      <c r="D280" s="21">
        <f>IFERROR(__xludf.DUMMYFUNCTION("""COMPUTED_VALUE"""),-3.235396491863)</f>
        <v>-3.235396492</v>
      </c>
      <c r="E280" s="21">
        <f>IFERROR(__xludf.DUMMYFUNCTION("""COMPUTED_VALUE"""),-2.555604601501921)</f>
        <v>-2.555604602</v>
      </c>
      <c r="F280" s="21">
        <f>IFERROR(__xludf.DUMMYFUNCTION("""COMPUTED_VALUE"""),-5.791001093364921)</f>
        <v>-5.791001093</v>
      </c>
      <c r="G280" s="23">
        <f>IFERROR(__xludf.DUMMYFUNCTION("""COMPUTED_VALUE"""),-0.9495153870573694)</f>
        <v>-0.9495153871</v>
      </c>
      <c r="H280" s="4"/>
      <c r="I280" s="5" t="s">
        <v>2786</v>
      </c>
      <c r="J280" s="5" t="s">
        <v>2229</v>
      </c>
      <c r="K280" s="5">
        <v>863.0</v>
      </c>
      <c r="L280" s="5">
        <v>-3.235356</v>
      </c>
      <c r="M280" s="5">
        <v>-2.555645</v>
      </c>
      <c r="N280" s="5">
        <v>-5.791001</v>
      </c>
      <c r="O280" s="5">
        <v>-0.949515</v>
      </c>
    </row>
    <row r="281">
      <c r="A281" s="12" t="str">
        <f>IFERROR(__xludf.DUMMYFUNCTION("""COMPUTED_VALUE"""),"Ye Tian")</f>
        <v>Ye Tian</v>
      </c>
      <c r="B281" s="13" t="str">
        <f>IFERROR(__xludf.DUMMYFUNCTION("""COMPUTED_VALUE"""),"TIA")</f>
        <v>TIA</v>
      </c>
      <c r="C281" s="14">
        <f>IFERROR(__xludf.DUMMYFUNCTION("""COMPUTED_VALUE"""),458.1)</f>
        <v>458.1</v>
      </c>
      <c r="D281" s="15">
        <f>IFERROR(__xludf.DUMMYFUNCTION("""COMPUTED_VALUE"""),-3.591434867221169)</f>
        <v>-3.591434867</v>
      </c>
      <c r="E281" s="15">
        <f>IFERROR(__xludf.DUMMYFUNCTION("""COMPUTED_VALUE"""),-2.253662193043641)</f>
        <v>-2.253662193</v>
      </c>
      <c r="F281" s="15">
        <f>IFERROR(__xludf.DUMMYFUNCTION("""COMPUTED_VALUE"""),-5.84509706026481)</f>
        <v>-5.84509706</v>
      </c>
      <c r="G281" s="17">
        <f>IFERROR(__xludf.DUMMYFUNCTION("""COMPUTED_VALUE"""),-0.5113350461020608)</f>
        <v>-0.5113350461</v>
      </c>
      <c r="H281" s="4"/>
      <c r="I281" s="5" t="s">
        <v>2787</v>
      </c>
      <c r="J281" s="5" t="s">
        <v>2229</v>
      </c>
      <c r="K281" s="5">
        <v>458.0</v>
      </c>
      <c r="L281" s="5">
        <v>-3.591395</v>
      </c>
      <c r="M281" s="5">
        <v>-2.253702</v>
      </c>
      <c r="N281" s="5">
        <v>-5.845097</v>
      </c>
      <c r="O281" s="5">
        <v>-0.511335</v>
      </c>
    </row>
    <row r="282">
      <c r="A282" s="18" t="str">
        <f>IFERROR(__xludf.DUMMYFUNCTION("""COMPUTED_VALUE"""),"Gang Yu")</f>
        <v>Gang Yu</v>
      </c>
      <c r="B282" s="19" t="str">
        <f>IFERROR(__xludf.DUMMYFUNCTION("""COMPUTED_VALUE"""),"TIA")</f>
        <v>TIA</v>
      </c>
      <c r="C282" s="20">
        <f>IFERROR(__xludf.DUMMYFUNCTION("""COMPUTED_VALUE"""),392.2)</f>
        <v>392.2</v>
      </c>
      <c r="D282" s="21">
        <f>IFERROR(__xludf.DUMMYFUNCTION("""COMPUTED_VALUE"""),-4.610517415924678)</f>
        <v>-4.610517416</v>
      </c>
      <c r="E282" s="21">
        <f>IFERROR(__xludf.DUMMYFUNCTION("""COMPUTED_VALUE"""),-1.2429015982011524)</f>
        <v>-1.242901598</v>
      </c>
      <c r="F282" s="21">
        <f>IFERROR(__xludf.DUMMYFUNCTION("""COMPUTED_VALUE"""),-5.85341901412583)</f>
        <v>-5.853419014</v>
      </c>
      <c r="G282" s="23">
        <f>IFERROR(__xludf.DUMMYFUNCTION("""COMPUTED_VALUE"""),-0.43872439744853675)</f>
        <v>-0.4387243974</v>
      </c>
      <c r="H282" s="4"/>
      <c r="I282" s="5" t="s">
        <v>2788</v>
      </c>
      <c r="J282" s="5" t="s">
        <v>2229</v>
      </c>
      <c r="K282" s="5">
        <v>392.0</v>
      </c>
      <c r="L282" s="5">
        <v>-4.610477</v>
      </c>
      <c r="M282" s="5">
        <v>-1.242942</v>
      </c>
      <c r="N282" s="5">
        <v>-5.853419</v>
      </c>
      <c r="O282" s="5">
        <v>-0.438724</v>
      </c>
    </row>
    <row r="283">
      <c r="A283" s="12" t="str">
        <f>IFERROR(__xludf.DUMMYFUNCTION("""COMPUTED_VALUE"""),"Luo Kaiwen")</f>
        <v>Luo Kaiwen</v>
      </c>
      <c r="B283" s="13" t="str">
        <f>IFERROR(__xludf.DUMMYFUNCTION("""COMPUTED_VALUE"""),"BFT")</f>
        <v>BFT</v>
      </c>
      <c r="C283" s="14">
        <f>IFERROR(__xludf.DUMMYFUNCTION("""COMPUTED_VALUE"""),457.7)</f>
        <v>457.7</v>
      </c>
      <c r="D283" s="15">
        <f>IFERROR(__xludf.DUMMYFUNCTION("""COMPUTED_VALUE"""),-5.546486521762481)</f>
        <v>-5.546486522</v>
      </c>
      <c r="E283" s="15">
        <f>IFERROR(__xludf.DUMMYFUNCTION("""COMPUTED_VALUE"""),-0.3505839762202365)</f>
        <v>-0.3505839762</v>
      </c>
      <c r="F283" s="15">
        <f>IFERROR(__xludf.DUMMYFUNCTION("""COMPUTED_VALUE"""),-5.8970704979827175)</f>
        <v>-5.897070498</v>
      </c>
      <c r="G283" s="17">
        <f>IFERROR(__xludf.DUMMYFUNCTION("""COMPUTED_VALUE"""),-0.5458903632511241)</f>
        <v>-0.5458903633</v>
      </c>
      <c r="H283" s="4"/>
      <c r="I283" s="5" t="s">
        <v>2789</v>
      </c>
      <c r="J283" s="5" t="s">
        <v>2429</v>
      </c>
      <c r="K283" s="5">
        <v>458.0</v>
      </c>
      <c r="L283" s="5">
        <v>-5.546446</v>
      </c>
      <c r="M283" s="5">
        <v>-0.350624</v>
      </c>
      <c r="N283" s="5">
        <v>-5.89707</v>
      </c>
      <c r="O283" s="5">
        <v>-0.54589</v>
      </c>
    </row>
    <row r="284">
      <c r="A284" s="18" t="str">
        <f>IFERROR(__xludf.DUMMYFUNCTION("""COMPUTED_VALUE"""),"Hao Fu")</f>
        <v>Hao Fu</v>
      </c>
      <c r="B284" s="19" t="str">
        <f>IFERROR(__xludf.DUMMYFUNCTION("""COMPUTED_VALUE"""),"BFT")</f>
        <v>BFT</v>
      </c>
      <c r="C284" s="20">
        <f>IFERROR(__xludf.DUMMYFUNCTION("""COMPUTED_VALUE"""),1049.7)</f>
        <v>1049.7</v>
      </c>
      <c r="D284" s="21">
        <f>IFERROR(__xludf.DUMMYFUNCTION("""COMPUTED_VALUE"""),-4.265222878843612)</f>
        <v>-4.265222879</v>
      </c>
      <c r="E284" s="21">
        <f>IFERROR(__xludf.DUMMYFUNCTION("""COMPUTED_VALUE"""),-1.6825237127473924)</f>
        <v>-1.682523713</v>
      </c>
      <c r="F284" s="21">
        <f>IFERROR(__xludf.DUMMYFUNCTION("""COMPUTED_VALUE"""),-5.947746591591004)</f>
        <v>-5.947746592</v>
      </c>
      <c r="G284" s="23">
        <f>IFERROR(__xludf.DUMMYFUNCTION("""COMPUTED_VALUE"""),-1.2682378706172033)</f>
        <v>-1.268237871</v>
      </c>
      <c r="H284" s="4"/>
      <c r="I284" s="5" t="s">
        <v>2790</v>
      </c>
      <c r="J284" s="5" t="s">
        <v>2429</v>
      </c>
      <c r="K284" s="24">
        <v>1050.0</v>
      </c>
      <c r="L284" s="5">
        <v>-4.265183</v>
      </c>
      <c r="M284" s="5">
        <v>-1.682564</v>
      </c>
      <c r="N284" s="5">
        <v>-5.947747</v>
      </c>
      <c r="O284" s="5">
        <v>-1.268238</v>
      </c>
    </row>
    <row r="285">
      <c r="A285" s="12" t="str">
        <f>IFERROR(__xludf.DUMMYFUNCTION("""COMPUTED_VALUE"""),"XueSong Li")</f>
        <v>XueSong Li</v>
      </c>
      <c r="B285" s="13" t="str">
        <f>IFERROR(__xludf.DUMMYFUNCTION("""COMPUTED_VALUE"""),"BEIK")</f>
        <v>BEIK</v>
      </c>
      <c r="C285" s="14">
        <f>IFERROR(__xludf.DUMMYFUNCTION("""COMPUTED_VALUE"""),197.6)</f>
        <v>197.6</v>
      </c>
      <c r="D285" s="15">
        <f>IFERROR(__xludf.DUMMYFUNCTION("""COMPUTED_VALUE"""),-4.8391020953747335)</f>
        <v>-4.839102095</v>
      </c>
      <c r="E285" s="15">
        <f>IFERROR(__xludf.DUMMYFUNCTION("""COMPUTED_VALUE"""),-1.202819482983064)</f>
        <v>-1.202819483</v>
      </c>
      <c r="F285" s="15">
        <f>IFERROR(__xludf.DUMMYFUNCTION("""COMPUTED_VALUE"""),-6.0419215783577975)</f>
        <v>-6.041921578</v>
      </c>
      <c r="G285" s="17">
        <f>IFERROR(__xludf.DUMMYFUNCTION("""COMPUTED_VALUE"""),-0.24372365953060693)</f>
        <v>-0.2437236595</v>
      </c>
      <c r="H285" s="4"/>
      <c r="I285" s="5" t="s">
        <v>2791</v>
      </c>
      <c r="J285" s="5" t="s">
        <v>2256</v>
      </c>
      <c r="K285" s="5">
        <v>198.0</v>
      </c>
      <c r="L285" s="5">
        <v>-4.839076</v>
      </c>
      <c r="M285" s="5">
        <v>-1.202846</v>
      </c>
      <c r="N285" s="5">
        <v>-6.041922</v>
      </c>
      <c r="O285" s="5">
        <v>-0.243724</v>
      </c>
    </row>
    <row r="286">
      <c r="A286" s="18" t="str">
        <f>IFERROR(__xludf.DUMMYFUNCTION("""COMPUTED_VALUE"""),"XiaoYu Liu")</f>
        <v>XiaoYu Liu</v>
      </c>
      <c r="B286" s="19" t="str">
        <f>IFERROR(__xludf.DUMMYFUNCTION("""COMPUTED_VALUE"""),"BSD")</f>
        <v>BSD</v>
      </c>
      <c r="C286" s="20">
        <f>IFERROR(__xludf.DUMMYFUNCTION("""COMPUTED_VALUE"""),541.4)</f>
        <v>541.4</v>
      </c>
      <c r="D286" s="21">
        <f>IFERROR(__xludf.DUMMYFUNCTION("""COMPUTED_VALUE"""),-6.490389253260074)</f>
        <v>-6.490389253</v>
      </c>
      <c r="E286" s="21">
        <f>IFERROR(__xludf.DUMMYFUNCTION("""COMPUTED_VALUE"""),0.32404386145381103)</f>
        <v>0.3240438615</v>
      </c>
      <c r="F286" s="21">
        <f>IFERROR(__xludf.DUMMYFUNCTION("""COMPUTED_VALUE"""),-6.166345391806263)</f>
        <v>-6.166345392</v>
      </c>
      <c r="G286" s="23">
        <f>IFERROR(__xludf.DUMMYFUNCTION("""COMPUTED_VALUE"""),-0.6833730060603709)</f>
        <v>-0.6833730061</v>
      </c>
      <c r="H286" s="4"/>
      <c r="I286" s="5" t="s">
        <v>2793</v>
      </c>
      <c r="J286" s="5" t="s">
        <v>2211</v>
      </c>
      <c r="K286" s="5">
        <v>541.0</v>
      </c>
      <c r="L286" s="5">
        <v>-6.490349</v>
      </c>
      <c r="M286" s="5">
        <v>0.324004</v>
      </c>
      <c r="N286" s="5">
        <v>-6.166345</v>
      </c>
      <c r="O286" s="5">
        <v>-0.683373</v>
      </c>
    </row>
    <row r="287">
      <c r="A287" s="12" t="str">
        <f>IFERROR(__xludf.DUMMYFUNCTION("""COMPUTED_VALUE"""),"Jie Sun")</f>
        <v>Jie Sun</v>
      </c>
      <c r="B287" s="13" t="str">
        <f>IFERROR(__xludf.DUMMYFUNCTION("""COMPUTED_VALUE"""),"QIN")</f>
        <v>QIN</v>
      </c>
      <c r="C287" s="14">
        <f>IFERROR(__xludf.DUMMYFUNCTION("""COMPUTED_VALUE"""),477.6)</f>
        <v>477.6</v>
      </c>
      <c r="D287" s="15">
        <f>IFERROR(__xludf.DUMMYFUNCTION("""COMPUTED_VALUE"""),-4.062157518198374)</f>
        <v>-4.062157518</v>
      </c>
      <c r="E287" s="15">
        <f>IFERROR(__xludf.DUMMYFUNCTION("""COMPUTED_VALUE"""),-2.1186436611399078)</f>
        <v>-2.118643661</v>
      </c>
      <c r="F287" s="15">
        <f>IFERROR(__xludf.DUMMYFUNCTION("""COMPUTED_VALUE"""),-6.180801179338282)</f>
        <v>-6.180801179</v>
      </c>
      <c r="G287" s="17">
        <f>IFERROR(__xludf.DUMMYFUNCTION("""COMPUTED_VALUE"""),-0.6145232557380842)</f>
        <v>-0.6145232557</v>
      </c>
      <c r="H287" s="4"/>
      <c r="I287" s="5" t="s">
        <v>2794</v>
      </c>
      <c r="J287" s="5" t="s">
        <v>2226</v>
      </c>
      <c r="K287" s="5">
        <v>478.0</v>
      </c>
      <c r="L287" s="5">
        <v>-4.062117</v>
      </c>
      <c r="M287" s="5">
        <v>-2.118684</v>
      </c>
      <c r="N287" s="5">
        <v>-6.180801</v>
      </c>
      <c r="O287" s="5">
        <v>-0.614523</v>
      </c>
    </row>
    <row r="288">
      <c r="A288" s="18" t="str">
        <f>IFERROR(__xludf.DUMMYFUNCTION("""COMPUTED_VALUE"""),"Yan Cao")</f>
        <v>Yan Cao</v>
      </c>
      <c r="B288" s="19" t="str">
        <f>IFERROR(__xludf.DUMMYFUNCTION("""COMPUTED_VALUE"""),"BFT")</f>
        <v>BFT</v>
      </c>
      <c r="C288" s="20">
        <f>IFERROR(__xludf.DUMMYFUNCTION("""COMPUTED_VALUE"""),421.3)</f>
        <v>421.3</v>
      </c>
      <c r="D288" s="21">
        <f>IFERROR(__xludf.DUMMYFUNCTION("""COMPUTED_VALUE"""),-3.1889058224921794)</f>
        <v>-3.188905822</v>
      </c>
      <c r="E288" s="21">
        <f>IFERROR(__xludf.DUMMYFUNCTION("""COMPUTED_VALUE"""),-3.072677039690717)</f>
        <v>-3.07267704</v>
      </c>
      <c r="F288" s="21">
        <f>IFERROR(__xludf.DUMMYFUNCTION("""COMPUTED_VALUE"""),-6.261582862182896)</f>
        <v>-6.261582862</v>
      </c>
      <c r="G288" s="23">
        <f>IFERROR(__xludf.DUMMYFUNCTION("""COMPUTED_VALUE"""),-0.549475900449808)</f>
        <v>-0.5494759004</v>
      </c>
      <c r="H288" s="4"/>
      <c r="I288" s="5" t="s">
        <v>2796</v>
      </c>
      <c r="J288" s="5" t="s">
        <v>2429</v>
      </c>
      <c r="K288" s="5">
        <v>421.0</v>
      </c>
      <c r="L288" s="5">
        <v>-3.188866</v>
      </c>
      <c r="M288" s="5">
        <v>-3.072717</v>
      </c>
      <c r="N288" s="5">
        <v>-6.261583</v>
      </c>
      <c r="O288" s="5">
        <v>-0.549476</v>
      </c>
    </row>
    <row r="289">
      <c r="A289" s="12" t="str">
        <f>IFERROR(__xludf.DUMMYFUNCTION("""COMPUTED_VALUE"""),"Zhennian Zuo")</f>
        <v>Zhennian Zuo</v>
      </c>
      <c r="B289" s="13" t="str">
        <f>IFERROR(__xludf.DUMMYFUNCTION("""COMPUTED_VALUE"""),"SICH")</f>
        <v>SICH</v>
      </c>
      <c r="C289" s="14">
        <f>IFERROR(__xludf.DUMMYFUNCTION("""COMPUTED_VALUE"""),797.4)</f>
        <v>797.4</v>
      </c>
      <c r="D289" s="15">
        <f>IFERROR(__xludf.DUMMYFUNCTION("""COMPUTED_VALUE"""),-2.9715735407491906)</f>
        <v>-2.971573541</v>
      </c>
      <c r="E289" s="15">
        <f>IFERROR(__xludf.DUMMYFUNCTION("""COMPUTED_VALUE"""),-3.368662874565281)</f>
        <v>-3.368662875</v>
      </c>
      <c r="F289" s="15">
        <f>IFERROR(__xludf.DUMMYFUNCTION("""COMPUTED_VALUE"""),-6.340236415314472)</f>
        <v>-6.340236415</v>
      </c>
      <c r="G289" s="17">
        <f>IFERROR(__xludf.DUMMYFUNCTION("""COMPUTED_VALUE"""),-1.1883526479118416)</f>
        <v>-1.188352648</v>
      </c>
      <c r="H289" s="4"/>
      <c r="I289" s="5" t="s">
        <v>2797</v>
      </c>
      <c r="J289" s="5" t="s">
        <v>2186</v>
      </c>
      <c r="K289" s="5">
        <v>797.0</v>
      </c>
      <c r="L289" s="5">
        <v>-2.971533</v>
      </c>
      <c r="M289" s="5">
        <v>-3.368703</v>
      </c>
      <c r="N289" s="5">
        <v>-6.340236</v>
      </c>
      <c r="O289" s="5">
        <v>-1.188353</v>
      </c>
    </row>
    <row r="290">
      <c r="A290" s="18" t="str">
        <f>IFERROR(__xludf.DUMMYFUNCTION("""COMPUTED_VALUE"""),"Ning Hongyu")</f>
        <v>Ning Hongyu</v>
      </c>
      <c r="B290" s="19" t="str">
        <f>IFERROR(__xludf.DUMMYFUNCTION("""COMPUTED_VALUE"""),"BFT")</f>
        <v>BFT</v>
      </c>
      <c r="C290" s="20">
        <f>IFERROR(__xludf.DUMMYFUNCTION("""COMPUTED_VALUE"""),727.5)</f>
        <v>727.5</v>
      </c>
      <c r="D290" s="21">
        <f>IFERROR(__xludf.DUMMYFUNCTION("""COMPUTED_VALUE"""),-6.237628404033695)</f>
        <v>-6.237628404</v>
      </c>
      <c r="E290" s="21">
        <f>IFERROR(__xludf.DUMMYFUNCTION("""COMPUTED_VALUE"""),-0.21790639115834676)</f>
        <v>-0.2179063912</v>
      </c>
      <c r="F290" s="21">
        <f>IFERROR(__xludf.DUMMYFUNCTION("""COMPUTED_VALUE"""),-6.455534795192042)</f>
        <v>-6.455534795</v>
      </c>
      <c r="G290" s="23">
        <f>IFERROR(__xludf.DUMMYFUNCTION("""COMPUTED_VALUE"""),-0.9920169442929112)</f>
        <v>-0.9920169443</v>
      </c>
      <c r="H290" s="4"/>
      <c r="I290" s="5" t="s">
        <v>2799</v>
      </c>
      <c r="J290" s="5" t="s">
        <v>2429</v>
      </c>
      <c r="K290" s="5">
        <v>728.0</v>
      </c>
      <c r="L290" s="5">
        <v>-6.237588</v>
      </c>
      <c r="M290" s="5">
        <v>-0.217947</v>
      </c>
      <c r="N290" s="5">
        <v>-6.455535</v>
      </c>
      <c r="O290" s="5">
        <v>-0.992017</v>
      </c>
    </row>
    <row r="291">
      <c r="A291" s="12" t="str">
        <f>IFERROR(__xludf.DUMMYFUNCTION("""COMPUTED_VALUE"""),"Ang Lee")</f>
        <v>Ang Lee</v>
      </c>
      <c r="B291" s="13" t="str">
        <f>IFERROR(__xludf.DUMMYFUNCTION("""COMPUTED_VALUE"""),"JIL")</f>
        <v>JIL</v>
      </c>
      <c r="C291" s="14">
        <f>IFERROR(__xludf.DUMMYFUNCTION("""COMPUTED_VALUE"""),726.8)</f>
        <v>726.8</v>
      </c>
      <c r="D291" s="15">
        <f>IFERROR(__xludf.DUMMYFUNCTION("""COMPUTED_VALUE"""),-5.529126937605396)</f>
        <v>-5.529126938</v>
      </c>
      <c r="E291" s="15">
        <f>IFERROR(__xludf.DUMMYFUNCTION("""COMPUTED_VALUE"""),-0.9513576560715435)</f>
        <v>-0.9513576561</v>
      </c>
      <c r="F291" s="15">
        <f>IFERROR(__xludf.DUMMYFUNCTION("""COMPUTED_VALUE"""),-6.480484593676939)</f>
        <v>-6.480484594</v>
      </c>
      <c r="G291" s="17">
        <f>IFERROR(__xludf.DUMMYFUNCTION("""COMPUTED_VALUE"""),-1.0014857323336495)</f>
        <v>-1.001485732</v>
      </c>
      <c r="H291" s="4"/>
      <c r="I291" s="5" t="s">
        <v>2800</v>
      </c>
      <c r="J291" s="5" t="s">
        <v>2221</v>
      </c>
      <c r="K291" s="5">
        <v>727.0</v>
      </c>
      <c r="L291" s="5">
        <v>-5.529087</v>
      </c>
      <c r="M291" s="5">
        <v>-0.951398</v>
      </c>
      <c r="N291" s="5">
        <v>-6.480485</v>
      </c>
      <c r="O291" s="5">
        <v>-1.001486</v>
      </c>
    </row>
    <row r="292">
      <c r="A292" s="18" t="str">
        <f>IFERROR(__xludf.DUMMYFUNCTION("""COMPUTED_VALUE"""),"Xuhang Zhu")</f>
        <v>Xuhang Zhu</v>
      </c>
      <c r="B292" s="19" t="str">
        <f>IFERROR(__xludf.DUMMYFUNCTION("""COMPUTED_VALUE"""),"GFD")</f>
        <v>GFD</v>
      </c>
      <c r="C292" s="20">
        <f>IFERROR(__xludf.DUMMYFUNCTION("""COMPUTED_VALUE"""),263.1)</f>
        <v>263.1</v>
      </c>
      <c r="D292" s="21">
        <f>IFERROR(__xludf.DUMMYFUNCTION("""COMPUTED_VALUE"""),-5.139186504542234)</f>
        <v>-5.139186505</v>
      </c>
      <c r="E292" s="21">
        <f>IFERROR(__xludf.DUMMYFUNCTION("""COMPUTED_VALUE"""),-1.5500291346338422)</f>
        <v>-1.550029135</v>
      </c>
      <c r="F292" s="21">
        <f>IFERROR(__xludf.DUMMYFUNCTION("""COMPUTED_VALUE"""),-6.689215639176076)</f>
        <v>-6.689215639</v>
      </c>
      <c r="G292" s="23">
        <f>IFERROR(__xludf.DUMMYFUNCTION("""COMPUTED_VALUE"""),-0.3723485758882911)</f>
        <v>-0.3723485759</v>
      </c>
      <c r="H292" s="4"/>
      <c r="I292" s="5" t="s">
        <v>2801</v>
      </c>
      <c r="J292" s="5" t="s">
        <v>2219</v>
      </c>
      <c r="K292" s="5">
        <v>263.0</v>
      </c>
      <c r="L292" s="5">
        <v>-5.139151</v>
      </c>
      <c r="M292" s="5">
        <v>-1.550064</v>
      </c>
      <c r="N292" s="5">
        <v>-6.689216</v>
      </c>
      <c r="O292" s="5">
        <v>-0.372349</v>
      </c>
    </row>
    <row r="293">
      <c r="A293" s="12" t="str">
        <f>IFERROR(__xludf.DUMMYFUNCTION("""COMPUTED_VALUE"""),"Li Tiange")</f>
        <v>Li Tiange</v>
      </c>
      <c r="B293" s="13" t="str">
        <f>IFERROR(__xludf.DUMMYFUNCTION("""COMPUTED_VALUE"""),"BFT")</f>
        <v>BFT</v>
      </c>
      <c r="C293" s="14">
        <f>IFERROR(__xludf.DUMMYFUNCTION("""COMPUTED_VALUE"""),338.3)</f>
        <v>338.3</v>
      </c>
      <c r="D293" s="15">
        <f>IFERROR(__xludf.DUMMYFUNCTION("""COMPUTED_VALUE"""),-4.740528151248167)</f>
        <v>-4.740528151</v>
      </c>
      <c r="E293" s="15">
        <f>IFERROR(__xludf.DUMMYFUNCTION("""COMPUTED_VALUE"""),-2.0166739298611827)</f>
        <v>-2.01667393</v>
      </c>
      <c r="F293" s="15">
        <f>IFERROR(__xludf.DUMMYFUNCTION("""COMPUTED_VALUE"""),-6.75720208110935)</f>
        <v>-6.757202081</v>
      </c>
      <c r="G293" s="17">
        <f>IFERROR(__xludf.DUMMYFUNCTION("""COMPUTED_VALUE"""),-0.49253812295137334)</f>
        <v>-0.492538123</v>
      </c>
      <c r="H293" s="4"/>
      <c r="I293" s="5" t="s">
        <v>2802</v>
      </c>
      <c r="J293" s="5" t="s">
        <v>2429</v>
      </c>
      <c r="K293" s="5">
        <v>338.0</v>
      </c>
      <c r="L293" s="5">
        <v>-4.740488</v>
      </c>
      <c r="M293" s="5">
        <v>-2.016714</v>
      </c>
      <c r="N293" s="5">
        <v>-6.757202</v>
      </c>
      <c r="O293" s="5">
        <v>-0.492538</v>
      </c>
    </row>
    <row r="294">
      <c r="A294" s="18" t="str">
        <f>IFERROR(__xludf.DUMMYFUNCTION("""COMPUTED_VALUE"""),"Lei Chen")</f>
        <v>Lei Chen</v>
      </c>
      <c r="B294" s="19" t="str">
        <f>IFERROR(__xludf.DUMMYFUNCTION("""COMPUTED_VALUE"""),"JIA")</f>
        <v>JIA</v>
      </c>
      <c r="C294" s="20">
        <f>IFERROR(__xludf.DUMMYFUNCTION("""COMPUTED_VALUE"""),288.7)</f>
        <v>288.7</v>
      </c>
      <c r="D294" s="21">
        <f>IFERROR(__xludf.DUMMYFUNCTION("""COMPUTED_VALUE"""),-5.12049080946404)</f>
        <v>-5.120490809</v>
      </c>
      <c r="E294" s="21">
        <f>IFERROR(__xludf.DUMMYFUNCTION("""COMPUTED_VALUE"""),-1.8640994664847321)</f>
        <v>-1.864099466</v>
      </c>
      <c r="F294" s="21">
        <f>IFERROR(__xludf.DUMMYFUNCTION("""COMPUTED_VALUE"""),-6.984590275948772)</f>
        <v>-6.984590276</v>
      </c>
      <c r="G294" s="23">
        <f>IFERROR(__xludf.DUMMYFUNCTION("""COMPUTED_VALUE"""),-0.4766942923095385)</f>
        <v>-0.4766942923</v>
      </c>
      <c r="H294" s="4"/>
      <c r="I294" s="5" t="s">
        <v>2804</v>
      </c>
      <c r="J294" s="5" t="s">
        <v>2190</v>
      </c>
      <c r="K294" s="5">
        <v>289.0</v>
      </c>
      <c r="L294" s="5">
        <v>-5.120452</v>
      </c>
      <c r="M294" s="5">
        <v>-1.864138</v>
      </c>
      <c r="N294" s="5">
        <v>-6.98459</v>
      </c>
      <c r="O294" s="5">
        <v>-0.476694</v>
      </c>
    </row>
    <row r="295">
      <c r="A295" s="12" t="str">
        <f>IFERROR(__xludf.DUMMYFUNCTION("""COMPUTED_VALUE"""),"Chou Yi-Hsiang")</f>
        <v>Chou Yi-Hsiang</v>
      </c>
      <c r="B295" s="13" t="str">
        <f>IFERROR(__xludf.DUMMYFUNCTION("""COMPUTED_VALUE"""),"TONG")</f>
        <v>TONG</v>
      </c>
      <c r="C295" s="14">
        <f>IFERROR(__xludf.DUMMYFUNCTION("""COMPUTED_VALUE"""),569.7)</f>
        <v>569.7</v>
      </c>
      <c r="D295" s="15">
        <f>IFERROR(__xludf.DUMMYFUNCTION("""COMPUTED_VALUE"""),-5.933951726902489)</f>
        <v>-5.933951727</v>
      </c>
      <c r="E295" s="15">
        <f>IFERROR(__xludf.DUMMYFUNCTION("""COMPUTED_VALUE"""),-1.1275243827512185)</f>
        <v>-1.127524383</v>
      </c>
      <c r="F295" s="15">
        <f>IFERROR(__xludf.DUMMYFUNCTION("""COMPUTED_VALUE"""),-7.061476109653707)</f>
        <v>-7.06147611</v>
      </c>
      <c r="G295" s="17">
        <f>IFERROR(__xludf.DUMMYFUNCTION("""COMPUTED_VALUE"""),-0.8817681519160279)</f>
        <v>-0.8817681519</v>
      </c>
      <c r="H295" s="4"/>
      <c r="I295" s="5" t="s">
        <v>2805</v>
      </c>
      <c r="J295" s="5" t="s">
        <v>2236</v>
      </c>
      <c r="K295" s="5">
        <v>570.0</v>
      </c>
      <c r="L295" s="5">
        <v>-5.933912</v>
      </c>
      <c r="M295" s="5">
        <v>-1.127565</v>
      </c>
      <c r="N295" s="5">
        <v>-7.061476</v>
      </c>
      <c r="O295" s="5">
        <v>-0.881768</v>
      </c>
    </row>
    <row r="296">
      <c r="A296" s="18" t="str">
        <f>IFERROR(__xludf.DUMMYFUNCTION("""COMPUTED_VALUE"""),"ChangYi Chai")</f>
        <v>ChangYi Chai</v>
      </c>
      <c r="B296" s="19" t="str">
        <f>IFERROR(__xludf.DUMMYFUNCTION("""COMPUTED_VALUE"""),"JIL")</f>
        <v>JIL</v>
      </c>
      <c r="C296" s="20">
        <f>IFERROR(__xludf.DUMMYFUNCTION("""COMPUTED_VALUE"""),613.5)</f>
        <v>613.5</v>
      </c>
      <c r="D296" s="21">
        <f>IFERROR(__xludf.DUMMYFUNCTION("""COMPUTED_VALUE"""),-3.8940623218820694)</f>
        <v>-3.894062322</v>
      </c>
      <c r="E296" s="21">
        <f>IFERROR(__xludf.DUMMYFUNCTION("""COMPUTED_VALUE"""),-3.4546386453494105)</f>
        <v>-3.454638645</v>
      </c>
      <c r="F296" s="21">
        <f>IFERROR(__xludf.DUMMYFUNCTION("""COMPUTED_VALUE"""),-7.34870096723148)</f>
        <v>-7.348700967</v>
      </c>
      <c r="G296" s="23">
        <f>IFERROR(__xludf.DUMMYFUNCTION("""COMPUTED_VALUE"""),-1.009177931381159)</f>
        <v>-1.009177931</v>
      </c>
      <c r="H296" s="4"/>
      <c r="I296" s="5" t="s">
        <v>2807</v>
      </c>
      <c r="J296" s="5" t="s">
        <v>2221</v>
      </c>
      <c r="K296" s="5">
        <v>614.0</v>
      </c>
      <c r="L296" s="5">
        <v>-3.894022</v>
      </c>
      <c r="M296" s="5">
        <v>-3.454679</v>
      </c>
      <c r="N296" s="5">
        <v>-7.348701</v>
      </c>
      <c r="O296" s="5">
        <v>-1.009178</v>
      </c>
    </row>
    <row r="297">
      <c r="A297" s="12" t="str">
        <f>IFERROR(__xludf.DUMMYFUNCTION("""COMPUTED_VALUE"""),"XiangLong Meng")</f>
        <v>XiangLong Meng</v>
      </c>
      <c r="B297" s="13" t="str">
        <f>IFERROR(__xludf.DUMMYFUNCTION("""COMPUTED_VALUE"""),"TIA")</f>
        <v>TIA</v>
      </c>
      <c r="C297" s="14">
        <f>IFERROR(__xludf.DUMMYFUNCTION("""COMPUTED_VALUE"""),191.4)</f>
        <v>191.4</v>
      </c>
      <c r="D297" s="15">
        <f>IFERROR(__xludf.DUMMYFUNCTION("""COMPUTED_VALUE"""),-5.703445121143026)</f>
        <v>-5.703445121</v>
      </c>
      <c r="E297" s="15">
        <f>IFERROR(__xludf.DUMMYFUNCTION("""COMPUTED_VALUE"""),-1.7518617536953869)</f>
        <v>-1.751861754</v>
      </c>
      <c r="F297" s="15">
        <f>IFERROR(__xludf.DUMMYFUNCTION("""COMPUTED_VALUE"""),-7.455306874838413)</f>
        <v>-7.455306875</v>
      </c>
      <c r="G297" s="17">
        <f>IFERROR(__xludf.DUMMYFUNCTION("""COMPUTED_VALUE"""),-0.30310917329353443)</f>
        <v>-0.3031091733</v>
      </c>
      <c r="H297" s="4"/>
      <c r="I297" s="5" t="s">
        <v>2809</v>
      </c>
      <c r="J297" s="5" t="s">
        <v>2229</v>
      </c>
      <c r="K297" s="5">
        <v>191.0</v>
      </c>
      <c r="L297" s="5">
        <v>-5.703419</v>
      </c>
      <c r="M297" s="5">
        <v>-1.751887</v>
      </c>
      <c r="N297" s="5">
        <v>-7.455307</v>
      </c>
      <c r="O297" s="5">
        <v>-0.303109</v>
      </c>
    </row>
    <row r="298">
      <c r="A298" s="18" t="str">
        <f>IFERROR(__xludf.DUMMYFUNCTION("""COMPUTED_VALUE"""),"Xu Yufeng")</f>
        <v>Xu Yufeng</v>
      </c>
      <c r="B298" s="19" t="str">
        <f>IFERROR(__xludf.DUMMYFUNCTION("""COMPUTED_VALUE"""),"SICH")</f>
        <v>SICH</v>
      </c>
      <c r="C298" s="20">
        <f>IFERROR(__xludf.DUMMYFUNCTION("""COMPUTED_VALUE"""),262.9)</f>
        <v>262.9</v>
      </c>
      <c r="D298" s="21">
        <f>IFERROR(__xludf.DUMMYFUNCTION("""COMPUTED_VALUE"""),-4.515138822433863)</f>
        <v>-4.515138822</v>
      </c>
      <c r="E298" s="21">
        <f>IFERROR(__xludf.DUMMYFUNCTION("""COMPUTED_VALUE"""),-2.9691807384921276)</f>
        <v>-2.969180738</v>
      </c>
      <c r="F298" s="21">
        <f>IFERROR(__xludf.DUMMYFUNCTION("""COMPUTED_VALUE"""),-7.48431956092599)</f>
        <v>-7.484319561</v>
      </c>
      <c r="G298" s="23">
        <f>IFERROR(__xludf.DUMMYFUNCTION("""COMPUTED_VALUE"""),-0.4950727916727057)</f>
        <v>-0.4950727917</v>
      </c>
      <c r="H298" s="4"/>
      <c r="I298" s="5" t="s">
        <v>2813</v>
      </c>
      <c r="J298" s="5" t="s">
        <v>2186</v>
      </c>
      <c r="K298" s="5">
        <v>263.0</v>
      </c>
      <c r="L298" s="5">
        <v>-4.515104</v>
      </c>
      <c r="M298" s="5">
        <v>-2.969216</v>
      </c>
      <c r="N298" s="5">
        <v>-7.48432</v>
      </c>
      <c r="O298" s="5">
        <v>-0.495073</v>
      </c>
    </row>
    <row r="299">
      <c r="A299" s="12" t="str">
        <f>IFERROR(__xludf.DUMMYFUNCTION("""COMPUTED_VALUE"""),"Mingyang Sun")</f>
        <v>Mingyang Sun</v>
      </c>
      <c r="B299" s="13" t="str">
        <f>IFERROR(__xludf.DUMMYFUNCTION("""COMPUTED_VALUE"""),"XIN")</f>
        <v>XIN</v>
      </c>
      <c r="C299" s="14">
        <f>IFERROR(__xludf.DUMMYFUNCTION("""COMPUTED_VALUE"""),329.3)</f>
        <v>329.3</v>
      </c>
      <c r="D299" s="15">
        <f>IFERROR(__xludf.DUMMYFUNCTION("""COMPUTED_VALUE"""),-6.290010426677376)</f>
        <v>-6.290010427</v>
      </c>
      <c r="E299" s="15">
        <f>IFERROR(__xludf.DUMMYFUNCTION("""COMPUTED_VALUE"""),-1.2661046601779011)</f>
        <v>-1.26610466</v>
      </c>
      <c r="F299" s="15">
        <f>IFERROR(__xludf.DUMMYFUNCTION("""COMPUTED_VALUE"""),-7.556115086855277)</f>
        <v>-7.556115087</v>
      </c>
      <c r="G299" s="17">
        <f>IFERROR(__xludf.DUMMYFUNCTION("""COMPUTED_VALUE"""),-0.5526354334584465)</f>
        <v>-0.5526354335</v>
      </c>
      <c r="H299" s="4"/>
      <c r="I299" s="5" t="s">
        <v>2814</v>
      </c>
      <c r="J299" s="5" t="s">
        <v>2208</v>
      </c>
      <c r="K299" s="5">
        <v>329.0</v>
      </c>
      <c r="L299" s="5">
        <v>-6.28997</v>
      </c>
      <c r="M299" s="5">
        <v>-1.266145</v>
      </c>
      <c r="N299" s="5">
        <v>-7.556115</v>
      </c>
      <c r="O299" s="5">
        <v>-0.552635</v>
      </c>
    </row>
    <row r="300">
      <c r="A300" s="18" t="str">
        <f>IFERROR(__xludf.DUMMYFUNCTION("""COMPUTED_VALUE"""),"Nan Wu")</f>
        <v>Nan Wu</v>
      </c>
      <c r="B300" s="19" t="str">
        <f>IFERROR(__xludf.DUMMYFUNCTION("""COMPUTED_VALUE"""),"SICH")</f>
        <v>SICH</v>
      </c>
      <c r="C300" s="20">
        <f>IFERROR(__xludf.DUMMYFUNCTION("""COMPUTED_VALUE"""),584.4)</f>
        <v>584.4</v>
      </c>
      <c r="D300" s="21">
        <f>IFERROR(__xludf.DUMMYFUNCTION("""COMPUTED_VALUE"""),-4.454493317003303)</f>
        <v>-4.454493317</v>
      </c>
      <c r="E300" s="21">
        <f>IFERROR(__xludf.DUMMYFUNCTION("""COMPUTED_VALUE"""),-3.264464542575446)</f>
        <v>-3.264464543</v>
      </c>
      <c r="F300" s="21">
        <f>IFERROR(__xludf.DUMMYFUNCTION("""COMPUTED_VALUE"""),-7.718957859578749)</f>
        <v>-7.71895786</v>
      </c>
      <c r="G300" s="23">
        <f>IFERROR(__xludf.DUMMYFUNCTION("""COMPUTED_VALUE"""),-1.1475796125855706)</f>
        <v>-1.147579613</v>
      </c>
      <c r="H300" s="4"/>
      <c r="I300" s="5" t="s">
        <v>2817</v>
      </c>
      <c r="J300" s="5" t="s">
        <v>2186</v>
      </c>
      <c r="K300" s="5">
        <v>584.0</v>
      </c>
      <c r="L300" s="5">
        <v>-4.454453</v>
      </c>
      <c r="M300" s="5">
        <v>-3.264505</v>
      </c>
      <c r="N300" s="5">
        <v>-7.718958</v>
      </c>
      <c r="O300" s="5">
        <v>-1.14758</v>
      </c>
    </row>
    <row r="301">
      <c r="A301" s="12" t="str">
        <f>IFERROR(__xludf.DUMMYFUNCTION("""COMPUTED_VALUE"""),"Chen Yu")</f>
        <v>Chen Yu</v>
      </c>
      <c r="B301" s="13" t="str">
        <f>IFERROR(__xludf.DUMMYFUNCTION("""COMPUTED_VALUE"""),"BFT")</f>
        <v>BFT</v>
      </c>
      <c r="C301" s="14">
        <f>IFERROR(__xludf.DUMMYFUNCTION("""COMPUTED_VALUE"""),168.3)</f>
        <v>168.3</v>
      </c>
      <c r="D301" s="15">
        <f>IFERROR(__xludf.DUMMYFUNCTION("""COMPUTED_VALUE"""),-5.262013909179728)</f>
        <v>-5.262013909</v>
      </c>
      <c r="E301" s="15">
        <f>IFERROR(__xludf.DUMMYFUNCTION("""COMPUTED_VALUE"""),-2.546009170129545)</f>
        <v>-2.54600917</v>
      </c>
      <c r="F301" s="15">
        <f>IFERROR(__xludf.DUMMYFUNCTION("""COMPUTED_VALUE"""),-7.808023079309273)</f>
        <v>-7.808023079</v>
      </c>
      <c r="G301" s="17">
        <f>IFERROR(__xludf.DUMMYFUNCTION("""COMPUTED_VALUE"""),-0.29915667832520976)</f>
        <v>-0.2991566783</v>
      </c>
      <c r="H301" s="4"/>
      <c r="I301" s="5" t="s">
        <v>2819</v>
      </c>
      <c r="J301" s="5" t="s">
        <v>2429</v>
      </c>
      <c r="K301" s="5">
        <v>168.0</v>
      </c>
      <c r="L301" s="5">
        <v>-5.261991</v>
      </c>
      <c r="M301" s="5">
        <v>-2.546032</v>
      </c>
      <c r="N301" s="5">
        <v>-7.808023</v>
      </c>
      <c r="O301" s="5">
        <v>-0.299157</v>
      </c>
    </row>
    <row r="302">
      <c r="A302" s="18" t="str">
        <f>IFERROR(__xludf.DUMMYFUNCTION("""COMPUTED_VALUE"""),"Huang Rongqi")</f>
        <v>Huang Rongqi</v>
      </c>
      <c r="B302" s="19" t="str">
        <f>IFERROR(__xludf.DUMMYFUNCTION("""COMPUTED_VALUE"""),"SICH")</f>
        <v>SICH</v>
      </c>
      <c r="C302" s="20">
        <f>IFERROR(__xludf.DUMMYFUNCTION("""COMPUTED_VALUE"""),731.9)</f>
        <v>731.9</v>
      </c>
      <c r="D302" s="21">
        <f>IFERROR(__xludf.DUMMYFUNCTION("""COMPUTED_VALUE"""),-5.377308628259359)</f>
        <v>-5.377308628</v>
      </c>
      <c r="E302" s="21">
        <f>IFERROR(__xludf.DUMMYFUNCTION("""COMPUTED_VALUE"""),-2.792531918571844)</f>
        <v>-2.792531919</v>
      </c>
      <c r="F302" s="21">
        <f>IFERROR(__xludf.DUMMYFUNCTION("""COMPUTED_VALUE"""),-8.169840546831203)</f>
        <v>-8.169840547</v>
      </c>
      <c r="G302" s="23">
        <f>IFERROR(__xludf.DUMMYFUNCTION("""COMPUTED_VALUE"""),-1.5505344071373357)</f>
        <v>-1.550534407</v>
      </c>
      <c r="H302" s="4"/>
      <c r="I302" s="5" t="s">
        <v>2820</v>
      </c>
      <c r="J302" s="5" t="s">
        <v>2186</v>
      </c>
      <c r="K302" s="5">
        <v>732.0</v>
      </c>
      <c r="L302" s="5">
        <v>-5.377268</v>
      </c>
      <c r="M302" s="5">
        <v>-2.792572</v>
      </c>
      <c r="N302" s="5">
        <v>-8.169841</v>
      </c>
      <c r="O302" s="5">
        <v>-1.550534</v>
      </c>
    </row>
    <row r="303">
      <c r="A303" s="12" t="str">
        <f>IFERROR(__xludf.DUMMYFUNCTION("""COMPUTED_VALUE"""),"Bolin Han")</f>
        <v>Bolin Han</v>
      </c>
      <c r="B303" s="13" t="str">
        <f>IFERROR(__xludf.DUMMYFUNCTION("""COMPUTED_VALUE"""),"TIA")</f>
        <v>TIA</v>
      </c>
      <c r="C303" s="14">
        <f>IFERROR(__xludf.DUMMYFUNCTION("""COMPUTED_VALUE"""),332.4)</f>
        <v>332.4</v>
      </c>
      <c r="D303" s="15">
        <f>IFERROR(__xludf.DUMMYFUNCTION("""COMPUTED_VALUE"""),-7.397656513452292)</f>
        <v>-7.397656513</v>
      </c>
      <c r="E303" s="15">
        <f>IFERROR(__xludf.DUMMYFUNCTION("""COMPUTED_VALUE"""),-1.3800711289713323)</f>
        <v>-1.380071129</v>
      </c>
      <c r="F303" s="15">
        <f>IFERROR(__xludf.DUMMYFUNCTION("""COMPUTED_VALUE"""),-8.777727642423624)</f>
        <v>-8.777727642</v>
      </c>
      <c r="G303" s="17">
        <f>IFERROR(__xludf.DUMMYFUNCTION("""COMPUTED_VALUE"""),-0.6540080425537725)</f>
        <v>-0.6540080426</v>
      </c>
      <c r="H303" s="4"/>
      <c r="I303" s="5" t="s">
        <v>2823</v>
      </c>
      <c r="J303" s="5" t="s">
        <v>2229</v>
      </c>
      <c r="K303" s="5">
        <v>332.0</v>
      </c>
      <c r="L303" s="5">
        <v>-7.397616</v>
      </c>
      <c r="M303" s="5">
        <v>-1.380111</v>
      </c>
      <c r="N303" s="5">
        <v>-8.777728</v>
      </c>
      <c r="O303" s="5">
        <v>-0.654008</v>
      </c>
    </row>
    <row r="304">
      <c r="A304" s="18" t="str">
        <f>IFERROR(__xludf.DUMMYFUNCTION("""COMPUTED_VALUE"""),"Tianyi Liu")</f>
        <v>Tianyi Liu</v>
      </c>
      <c r="B304" s="19" t="str">
        <f>IFERROR(__xludf.DUMMYFUNCTION("""COMPUTED_VALUE"""),"JIL")</f>
        <v>JIL</v>
      </c>
      <c r="C304" s="20">
        <f>IFERROR(__xludf.DUMMYFUNCTION("""COMPUTED_VALUE"""),238.8)</f>
        <v>238.8</v>
      </c>
      <c r="D304" s="21">
        <f>IFERROR(__xludf.DUMMYFUNCTION("""COMPUTED_VALUE"""),-6.239324286783041)</f>
        <v>-6.239324287</v>
      </c>
      <c r="E304" s="21">
        <f>IFERROR(__xludf.DUMMYFUNCTION("""COMPUTED_VALUE"""),-2.705068470604666)</f>
        <v>-2.705068471</v>
      </c>
      <c r="F304" s="21">
        <f>IFERROR(__xludf.DUMMYFUNCTION("""COMPUTED_VALUE"""),-8.944392757387707)</f>
        <v>-8.944392757</v>
      </c>
      <c r="G304" s="23">
        <f>IFERROR(__xludf.DUMMYFUNCTION("""COMPUTED_VALUE"""),-0.5100038533803611)</f>
        <v>-0.5100038534</v>
      </c>
      <c r="H304" s="4"/>
      <c r="I304" s="5" t="s">
        <v>2824</v>
      </c>
      <c r="J304" s="5" t="s">
        <v>2221</v>
      </c>
      <c r="K304" s="5">
        <v>239.0</v>
      </c>
      <c r="L304" s="5">
        <v>-6.239292</v>
      </c>
      <c r="M304" s="5">
        <v>-2.7051</v>
      </c>
      <c r="N304" s="5">
        <v>-8.944393</v>
      </c>
      <c r="O304" s="5">
        <v>-0.510004</v>
      </c>
    </row>
    <row r="305">
      <c r="A305" s="12" t="str">
        <f>IFERROR(__xludf.DUMMYFUNCTION("""COMPUTED_VALUE"""),"Wei Liu")</f>
        <v>Wei Liu</v>
      </c>
      <c r="B305" s="13" t="str">
        <f>IFERROR(__xludf.DUMMYFUNCTION("""COMPUTED_VALUE"""),"TIA")</f>
        <v>TIA</v>
      </c>
      <c r="C305" s="14">
        <f>IFERROR(__xludf.DUMMYFUNCTION("""COMPUTED_VALUE"""),584.1999999999999)</f>
        <v>584.2</v>
      </c>
      <c r="D305" s="15">
        <f>IFERROR(__xludf.DUMMYFUNCTION("""COMPUTED_VALUE"""),-5.985999628658045)</f>
        <v>-5.985999629</v>
      </c>
      <c r="E305" s="15">
        <f>IFERROR(__xludf.DUMMYFUNCTION("""COMPUTED_VALUE"""),-2.979662203070279)</f>
        <v>-2.979662203</v>
      </c>
      <c r="F305" s="15">
        <f>IFERROR(__xludf.DUMMYFUNCTION("""COMPUTED_VALUE"""),-8.965661831728324)</f>
        <v>-8.965661832</v>
      </c>
      <c r="G305" s="17">
        <f>IFERROR(__xludf.DUMMYFUNCTION("""COMPUTED_VALUE"""),-1.181304613353733)</f>
        <v>-1.181304613</v>
      </c>
      <c r="H305" s="4"/>
      <c r="I305" s="5" t="s">
        <v>2826</v>
      </c>
      <c r="J305" s="5" t="s">
        <v>2229</v>
      </c>
      <c r="K305" s="5">
        <v>584.0</v>
      </c>
      <c r="L305" s="5">
        <v>-5.985879</v>
      </c>
      <c r="M305" s="5">
        <v>-2.979783</v>
      </c>
      <c r="N305" s="5">
        <v>-8.965662</v>
      </c>
      <c r="O305" s="5">
        <v>-1.181305</v>
      </c>
    </row>
    <row r="306">
      <c r="A306" s="18" t="str">
        <f>IFERROR(__xludf.DUMMYFUNCTION("""COMPUTED_VALUE"""),"Yi Shi")</f>
        <v>Yi Shi</v>
      </c>
      <c r="B306" s="19" t="str">
        <f>IFERROR(__xludf.DUMMYFUNCTION("""COMPUTED_VALUE"""),"TIA")</f>
        <v>TIA</v>
      </c>
      <c r="C306" s="20">
        <f>IFERROR(__xludf.DUMMYFUNCTION("""COMPUTED_VALUE"""),305.4)</f>
        <v>305.4</v>
      </c>
      <c r="D306" s="21">
        <f>IFERROR(__xludf.DUMMYFUNCTION("""COMPUTED_VALUE"""),-11.298708858345869)</f>
        <v>-11.29870886</v>
      </c>
      <c r="E306" s="21">
        <f>IFERROR(__xludf.DUMMYFUNCTION("""COMPUTED_VALUE"""),-3.1105358708999535)</f>
        <v>-3.110535871</v>
      </c>
      <c r="F306" s="21">
        <f>IFERROR(__xludf.DUMMYFUNCTION("""COMPUTED_VALUE"""),-14.409244729245822)</f>
        <v>-14.40924473</v>
      </c>
      <c r="G306" s="23">
        <f>IFERROR(__xludf.DUMMYFUNCTION("""COMPUTED_VALUE"""),-1.100151114743455)</f>
        <v>-1.100151115</v>
      </c>
      <c r="H306" s="4"/>
      <c r="I306" s="5" t="s">
        <v>2828</v>
      </c>
      <c r="J306" s="5" t="s">
        <v>2229</v>
      </c>
      <c r="K306" s="5">
        <v>305.0</v>
      </c>
      <c r="L306" s="5">
        <v>-11.298669</v>
      </c>
      <c r="M306" s="5">
        <v>-3.110576</v>
      </c>
      <c r="N306" s="5">
        <v>-14.409245</v>
      </c>
      <c r="O306" s="5">
        <v>-1.100151</v>
      </c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FA8DC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2342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IFERROR(__xludf.DUMMYFUNCTION("IMPORTRANGE(""https://docs.google.com/spreadsheets/d/1ZMwnEiHMWlki-46_EDTkOJjx0Rpl2QKwoQbKtLRTOjw/edit#gid=1120027332"",""Leaders!A3:G502"")"),"Brandon Davies")</f>
        <v>Brandon Davies</v>
      </c>
      <c r="B3" s="13" t="str">
        <f>IFERROR(__xludf.DUMMYFUNCTION("""COMPUTED_VALUE"""),"ZAL")</f>
        <v>ZAL</v>
      </c>
      <c r="C3" s="14">
        <f>IFERROR(__xludf.DUMMYFUNCTION("""COMPUTED_VALUE"""),772.2)</f>
        <v>772.2</v>
      </c>
      <c r="D3" s="15">
        <f>IFERROR(__xludf.DUMMYFUNCTION("""COMPUTED_VALUE"""),5.720756721333087)</f>
        <v>5.720756721</v>
      </c>
      <c r="E3" s="15">
        <f>IFERROR(__xludf.DUMMYFUNCTION("""COMPUTED_VALUE"""),6.082655688040552)</f>
        <v>6.082655688</v>
      </c>
      <c r="F3" s="15">
        <f>IFERROR(__xludf.DUMMYFUNCTION("""COMPUTED_VALUE"""),11.803412409373639)</f>
        <v>11.80341241</v>
      </c>
      <c r="G3" s="17">
        <f>IFERROR(__xludf.DUMMYFUNCTION("""COMPUTED_VALUE"""),3.2499010571144478)</f>
        <v>3.249901057</v>
      </c>
      <c r="H3" s="4"/>
      <c r="I3" s="5" t="s">
        <v>75</v>
      </c>
      <c r="J3" s="5" t="s">
        <v>76</v>
      </c>
      <c r="K3" s="24">
        <v>584.0</v>
      </c>
      <c r="L3" s="5">
        <v>4.860167</v>
      </c>
      <c r="M3" s="5">
        <v>7.580714</v>
      </c>
      <c r="N3" s="5">
        <v>12.440881</v>
      </c>
      <c r="O3" s="5">
        <v>2.569015</v>
      </c>
    </row>
    <row r="4">
      <c r="A4" s="18" t="str">
        <f>IFERROR(__xludf.DUMMYFUNCTION("""COMPUTED_VALUE"""),"Rokas Giedraitis")</f>
        <v>Rokas Giedraitis</v>
      </c>
      <c r="B4" s="19" t="str">
        <f>IFERROR(__xludf.DUMMYFUNCTION("""COMPUTED_VALUE"""),"LIE")</f>
        <v>LIE</v>
      </c>
      <c r="C4" s="20">
        <f>IFERROR(__xludf.DUMMYFUNCTION("""COMPUTED_VALUE"""),1201.1)</f>
        <v>1201.1</v>
      </c>
      <c r="D4" s="21">
        <f>IFERROR(__xludf.DUMMYFUNCTION("""COMPUTED_VALUE"""),6.625721259520368)</f>
        <v>6.62572126</v>
      </c>
      <c r="E4" s="21">
        <f>IFERROR(__xludf.DUMMYFUNCTION("""COMPUTED_VALUE"""),1.8206911617853798)</f>
        <v>1.820691162</v>
      </c>
      <c r="F4" s="21">
        <f>IFERROR(__xludf.DUMMYFUNCTION("""COMPUTED_VALUE"""),8.446412421305748)</f>
        <v>8.446412421</v>
      </c>
      <c r="G4" s="23">
        <f>IFERROR(__xludf.DUMMYFUNCTION("""COMPUTED_VALUE"""),3.9180760458997668)</f>
        <v>3.918076046</v>
      </c>
      <c r="H4" s="4"/>
      <c r="I4" s="5" t="s">
        <v>2351</v>
      </c>
      <c r="J4" s="5" t="s">
        <v>2352</v>
      </c>
      <c r="K4" s="24">
        <v>931.0</v>
      </c>
      <c r="L4" s="5">
        <v>7.514863</v>
      </c>
      <c r="M4" s="5">
        <v>2.380736</v>
      </c>
      <c r="N4" s="5">
        <v>9.895599</v>
      </c>
      <c r="O4" s="5">
        <v>3.441762</v>
      </c>
    </row>
    <row r="5">
      <c r="A5" s="12" t="str">
        <f>IFERROR(__xludf.DUMMYFUNCTION("""COMPUTED_VALUE"""),"Antanas Kavaliauskas")</f>
        <v>Antanas Kavaliauskas</v>
      </c>
      <c r="B5" s="13" t="str">
        <f>IFERROR(__xludf.DUMMYFUNCTION("""COMPUTED_VALUE"""),"ZAL")</f>
        <v>ZAL</v>
      </c>
      <c r="C5" s="14">
        <f>IFERROR(__xludf.DUMMYFUNCTION("""COMPUTED_VALUE"""),652.0)</f>
        <v>652</v>
      </c>
      <c r="D5" s="15">
        <f>IFERROR(__xludf.DUMMYFUNCTION("""COMPUTED_VALUE"""),5.112829931994822)</f>
        <v>5.112829932</v>
      </c>
      <c r="E5" s="15">
        <f>IFERROR(__xludf.DUMMYFUNCTION("""COMPUTED_VALUE"""),3.269301405764475)</f>
        <v>3.269301406</v>
      </c>
      <c r="F5" s="15">
        <f>IFERROR(__xludf.DUMMYFUNCTION("""COMPUTED_VALUE"""),8.382131337759297)</f>
        <v>8.382131338</v>
      </c>
      <c r="G5" s="17">
        <f>IFERROR(__xludf.DUMMYFUNCTION("""COMPUTED_VALUE"""),2.063896869872181)</f>
        <v>2.06389687</v>
      </c>
      <c r="H5" s="4"/>
      <c r="I5" s="5" t="s">
        <v>2355</v>
      </c>
      <c r="J5" s="5" t="s">
        <v>2356</v>
      </c>
      <c r="K5" s="24">
        <v>320.0</v>
      </c>
      <c r="L5" s="5">
        <v>2.880243</v>
      </c>
      <c r="M5" s="5">
        <v>6.500815</v>
      </c>
      <c r="N5" s="5">
        <v>9.381058</v>
      </c>
      <c r="O5" s="5">
        <v>1.164515</v>
      </c>
    </row>
    <row r="6">
      <c r="A6" s="18" t="str">
        <f>IFERROR(__xludf.DUMMYFUNCTION("""COMPUTED_VALUE"""),"Arnas Butkevicius")</f>
        <v>Arnas Butkevicius</v>
      </c>
      <c r="B6" s="19" t="str">
        <f>IFERROR(__xludf.DUMMYFUNCTION("""COMPUTED_VALUE"""),"NEP")</f>
        <v>NEP</v>
      </c>
      <c r="C6" s="20">
        <f>IFERROR(__xludf.DUMMYFUNCTION("""COMPUTED_VALUE"""),319.55)</f>
        <v>319.55</v>
      </c>
      <c r="D6" s="21">
        <f>IFERROR(__xludf.DUMMYFUNCTION("""COMPUTED_VALUE"""),2.3306049688703085)</f>
        <v>2.330604969</v>
      </c>
      <c r="E6" s="21">
        <f>IFERROR(__xludf.DUMMYFUNCTION("""COMPUTED_VALUE"""),5.987062299933032)</f>
        <v>5.9870623</v>
      </c>
      <c r="F6" s="21">
        <f>IFERROR(__xludf.DUMMYFUNCTION("""COMPUTED_VALUE"""),8.31766726880334)</f>
        <v>8.317667269</v>
      </c>
      <c r="G6" s="23">
        <f>IFERROR(__xludf.DUMMYFUNCTION("""COMPUTED_VALUE"""),1.0460515422598808)</f>
        <v>1.046051542</v>
      </c>
      <c r="H6" s="4"/>
      <c r="I6" s="5" t="s">
        <v>174</v>
      </c>
      <c r="J6" s="5" t="s">
        <v>76</v>
      </c>
      <c r="K6" s="24">
        <v>511.0</v>
      </c>
      <c r="L6" s="5">
        <v>5.170436</v>
      </c>
      <c r="M6" s="5">
        <v>3.520935</v>
      </c>
      <c r="N6" s="5">
        <v>8.691371</v>
      </c>
      <c r="O6" s="5">
        <v>1.666638</v>
      </c>
    </row>
    <row r="7">
      <c r="A7" s="12" t="str">
        <f>IFERROR(__xludf.DUMMYFUNCTION("""COMPUTED_VALUE"""),"Gytis Masiulis")</f>
        <v>Gytis Masiulis</v>
      </c>
      <c r="B7" s="13" t="str">
        <f>IFERROR(__xludf.DUMMYFUNCTION("""COMPUTED_VALUE"""),"ZAL")</f>
        <v>ZAL</v>
      </c>
      <c r="C7" s="14">
        <f>IFERROR(__xludf.DUMMYFUNCTION("""COMPUTED_VALUE"""),450.2)</f>
        <v>450.2</v>
      </c>
      <c r="D7" s="15">
        <f>IFERROR(__xludf.DUMMYFUNCTION("""COMPUTED_VALUE"""),3.548928387991891)</f>
        <v>3.548928388</v>
      </c>
      <c r="E7" s="15">
        <f>IFERROR(__xludf.DUMMYFUNCTION("""COMPUTED_VALUE"""),2.626553381384179)</f>
        <v>2.626553381</v>
      </c>
      <c r="F7" s="15">
        <f>IFERROR(__xludf.DUMMYFUNCTION("""COMPUTED_VALUE"""),6.17548176937607)</f>
        <v>6.175481769</v>
      </c>
      <c r="G7" s="17">
        <f>IFERROR(__xludf.DUMMYFUNCTION("""COMPUTED_VALUE"""),1.1222063535382385)</f>
        <v>1.122206354</v>
      </c>
      <c r="H7" s="4"/>
      <c r="I7" s="5" t="s">
        <v>148</v>
      </c>
      <c r="J7" s="5" t="s">
        <v>76</v>
      </c>
      <c r="K7" s="24">
        <v>733.0</v>
      </c>
      <c r="L7" s="5">
        <v>4.32098</v>
      </c>
      <c r="M7" s="5">
        <v>2.64908</v>
      </c>
      <c r="N7" s="5">
        <v>6.97006</v>
      </c>
      <c r="O7" s="5">
        <v>2.005437</v>
      </c>
    </row>
    <row r="8">
      <c r="A8" s="18" t="str">
        <f>IFERROR(__xludf.DUMMYFUNCTION("""COMPUTED_VALUE"""),"Arturas Milaknis")</f>
        <v>Arturas Milaknis</v>
      </c>
      <c r="B8" s="19" t="str">
        <f>IFERROR(__xludf.DUMMYFUNCTION("""COMPUTED_VALUE"""),"ZAL")</f>
        <v>ZAL</v>
      </c>
      <c r="C8" s="20">
        <f>IFERROR(__xludf.DUMMYFUNCTION("""COMPUTED_VALUE"""),964.8)</f>
        <v>964.8</v>
      </c>
      <c r="D8" s="21">
        <f>IFERROR(__xludf.DUMMYFUNCTION("""COMPUTED_VALUE"""),4.0554141998278)</f>
        <v>4.0554142</v>
      </c>
      <c r="E8" s="21">
        <f>IFERROR(__xludf.DUMMYFUNCTION("""COMPUTED_VALUE"""),2.0472928661873473)</f>
        <v>2.047292866</v>
      </c>
      <c r="F8" s="21">
        <f>IFERROR(__xludf.DUMMYFUNCTION("""COMPUTED_VALUE"""),6.102707066015148)</f>
        <v>6.102707066</v>
      </c>
      <c r="G8" s="23">
        <f>IFERROR(__xludf.DUMMYFUNCTION("""COMPUTED_VALUE"""),2.3835337798721485)</f>
        <v>2.38353378</v>
      </c>
      <c r="H8" s="4"/>
      <c r="I8" s="5" t="s">
        <v>279</v>
      </c>
      <c r="J8" s="5" t="s">
        <v>76</v>
      </c>
      <c r="K8" s="24">
        <v>429.0</v>
      </c>
      <c r="L8" s="5">
        <v>3.605902</v>
      </c>
      <c r="M8" s="5">
        <v>3.146341</v>
      </c>
      <c r="N8" s="5">
        <v>6.752243</v>
      </c>
      <c r="O8" s="5">
        <v>1.145012</v>
      </c>
    </row>
    <row r="9">
      <c r="A9" s="12" t="str">
        <f>IFERROR(__xludf.DUMMYFUNCTION("""COMPUTED_VALUE"""),"Edgaras Zelionis")</f>
        <v>Edgaras Zelionis</v>
      </c>
      <c r="B9" s="13" t="str">
        <f>IFERROR(__xludf.DUMMYFUNCTION("""COMPUTED_VALUE"""),"NEP")</f>
        <v>NEP</v>
      </c>
      <c r="C9" s="14">
        <f>IFERROR(__xludf.DUMMYFUNCTION("""COMPUTED_VALUE"""),1158.8)</f>
        <v>1158.8</v>
      </c>
      <c r="D9" s="15">
        <f>IFERROR(__xludf.DUMMYFUNCTION("""COMPUTED_VALUE"""),3.7290982215896413)</f>
        <v>3.729098222</v>
      </c>
      <c r="E9" s="15">
        <f>IFERROR(__xludf.DUMMYFUNCTION("""COMPUTED_VALUE"""),1.9989807682615313)</f>
        <v>1.998980768</v>
      </c>
      <c r="F9" s="15">
        <f>IFERROR(__xludf.DUMMYFUNCTION("""COMPUTED_VALUE"""),5.728078989851173)</f>
        <v>5.72807899</v>
      </c>
      <c r="G9" s="17">
        <f>IFERROR(__xludf.DUMMYFUNCTION("""COMPUTED_VALUE"""),2.8412718125877596)</f>
        <v>2.841271813</v>
      </c>
      <c r="H9" s="4"/>
      <c r="I9" s="5" t="s">
        <v>2366</v>
      </c>
      <c r="J9" s="5" t="s">
        <v>2352</v>
      </c>
      <c r="K9" s="24">
        <v>756.0</v>
      </c>
      <c r="L9" s="5">
        <v>1.967073</v>
      </c>
      <c r="M9" s="5">
        <v>4.483543</v>
      </c>
      <c r="N9" s="5">
        <v>6.450616</v>
      </c>
      <c r="O9" s="5">
        <v>1.984759</v>
      </c>
    </row>
    <row r="10">
      <c r="A10" s="18" t="str">
        <f>IFERROR(__xludf.DUMMYFUNCTION("""COMPUTED_VALUE"""),"Aaron White")</f>
        <v>Aaron White</v>
      </c>
      <c r="B10" s="19" t="str">
        <f>IFERROR(__xludf.DUMMYFUNCTION("""COMPUTED_VALUE"""),"ZAL")</f>
        <v>ZAL</v>
      </c>
      <c r="C10" s="20">
        <f>IFERROR(__xludf.DUMMYFUNCTION("""COMPUTED_VALUE"""),791.0)</f>
        <v>791</v>
      </c>
      <c r="D10" s="21">
        <f>IFERROR(__xludf.DUMMYFUNCTION("""COMPUTED_VALUE"""),3.0871198609727504)</f>
        <v>3.087119861</v>
      </c>
      <c r="E10" s="21">
        <f>IFERROR(__xludf.DUMMYFUNCTION("""COMPUTED_VALUE"""),2.4015202361691133)</f>
        <v>2.401520236</v>
      </c>
      <c r="F10" s="21">
        <f>IFERROR(__xludf.DUMMYFUNCTION("""COMPUTED_VALUE"""),5.488640097141864)</f>
        <v>5.488640097</v>
      </c>
      <c r="G10" s="23">
        <f>IFERROR(__xludf.DUMMYFUNCTION("""COMPUTED_VALUE"""),1.8060647675710686)</f>
        <v>1.806064768</v>
      </c>
      <c r="H10" s="4"/>
      <c r="I10" s="5" t="s">
        <v>2369</v>
      </c>
      <c r="J10" s="5" t="s">
        <v>2352</v>
      </c>
      <c r="K10" s="24">
        <v>476.0</v>
      </c>
      <c r="L10" s="5">
        <v>1.285794</v>
      </c>
      <c r="M10" s="5">
        <v>4.899566</v>
      </c>
      <c r="N10" s="5">
        <v>6.18536</v>
      </c>
      <c r="O10" s="5">
        <v>1.212002</v>
      </c>
    </row>
    <row r="11">
      <c r="A11" s="12" t="str">
        <f>IFERROR(__xludf.DUMMYFUNCTION("""COMPUTED_VALUE"""),"Martynas Echodas")</f>
        <v>Martynas Echodas</v>
      </c>
      <c r="B11" s="13" t="str">
        <f>IFERROR(__xludf.DUMMYFUNCTION("""COMPUTED_VALUE"""),"LIE")</f>
        <v>LIE</v>
      </c>
      <c r="C11" s="14">
        <f>IFERROR(__xludf.DUMMYFUNCTION("""COMPUTED_VALUE"""),962.9)</f>
        <v>962.9</v>
      </c>
      <c r="D11" s="15">
        <f>IFERROR(__xludf.DUMMYFUNCTION("""COMPUTED_VALUE"""),1.686713789628881)</f>
        <v>1.68671379</v>
      </c>
      <c r="E11" s="15">
        <f>IFERROR(__xludf.DUMMYFUNCTION("""COMPUTED_VALUE"""),3.6979656619479226)</f>
        <v>3.697965662</v>
      </c>
      <c r="F11" s="15">
        <f>IFERROR(__xludf.DUMMYFUNCTION("""COMPUTED_VALUE"""),5.384679451576804)</f>
        <v>5.384679452</v>
      </c>
      <c r="G11" s="17">
        <f>IFERROR(__xludf.DUMMYFUNCTION("""COMPUTED_VALUE"""),2.2204416323464193)</f>
        <v>2.220441632</v>
      </c>
      <c r="H11" s="4"/>
      <c r="I11" s="5" t="s">
        <v>106</v>
      </c>
      <c r="J11" s="5" t="s">
        <v>76</v>
      </c>
      <c r="K11" s="24">
        <v>545.0</v>
      </c>
      <c r="L11" s="5">
        <v>2.043891</v>
      </c>
      <c r="M11" s="5">
        <v>3.659807</v>
      </c>
      <c r="N11" s="5">
        <v>5.703697</v>
      </c>
      <c r="O11" s="5">
        <v>1.280992</v>
      </c>
    </row>
    <row r="12">
      <c r="A12" s="18" t="str">
        <f>IFERROR(__xludf.DUMMYFUNCTION("""COMPUTED_VALUE"""),"Paulius Jankunas")</f>
        <v>Paulius Jankunas</v>
      </c>
      <c r="B12" s="19" t="str">
        <f>IFERROR(__xludf.DUMMYFUNCTION("""COMPUTED_VALUE"""),"ZAL")</f>
        <v>ZAL</v>
      </c>
      <c r="C12" s="20">
        <f>IFERROR(__xludf.DUMMYFUNCTION("""COMPUTED_VALUE"""),709.8)</f>
        <v>709.8</v>
      </c>
      <c r="D12" s="21">
        <f>IFERROR(__xludf.DUMMYFUNCTION("""COMPUTED_VALUE"""),2.3355769055501314)</f>
        <v>2.335576906</v>
      </c>
      <c r="E12" s="21">
        <f>IFERROR(__xludf.DUMMYFUNCTION("""COMPUTED_VALUE"""),3.030785930365176)</f>
        <v>3.03078593</v>
      </c>
      <c r="F12" s="21">
        <f>IFERROR(__xludf.DUMMYFUNCTION("""COMPUTED_VALUE"""),5.366362835915307)</f>
        <v>5.366362836</v>
      </c>
      <c r="G12" s="23">
        <f>IFERROR(__xludf.DUMMYFUNCTION("""COMPUTED_VALUE"""),1.5942006419184787)</f>
        <v>1.594200642</v>
      </c>
      <c r="H12" s="4"/>
      <c r="I12" s="5" t="s">
        <v>2374</v>
      </c>
      <c r="J12" s="5" t="s">
        <v>2356</v>
      </c>
      <c r="K12" s="24">
        <v>943.0</v>
      </c>
      <c r="L12" s="5">
        <v>3.317021</v>
      </c>
      <c r="M12" s="5">
        <v>2.147898</v>
      </c>
      <c r="N12" s="5">
        <v>5.464918</v>
      </c>
      <c r="O12" s="5">
        <v>2.253795</v>
      </c>
    </row>
    <row r="13">
      <c r="A13" s="12" t="str">
        <f>IFERROR(__xludf.DUMMYFUNCTION("""COMPUTED_VALUE"""),"Arturas Jomantas")</f>
        <v>Arturas Jomantas</v>
      </c>
      <c r="B13" s="13" t="str">
        <f>IFERROR(__xludf.DUMMYFUNCTION("""COMPUTED_VALUE"""),"LIE")</f>
        <v>LIE</v>
      </c>
      <c r="C13" s="14">
        <f>IFERROR(__xludf.DUMMYFUNCTION("""COMPUTED_VALUE"""),525.8)</f>
        <v>525.8</v>
      </c>
      <c r="D13" s="15">
        <f>IFERROR(__xludf.DUMMYFUNCTION("""COMPUTED_VALUE"""),0.6633355709865656)</f>
        <v>0.663335571</v>
      </c>
      <c r="E13" s="15">
        <f>IFERROR(__xludf.DUMMYFUNCTION("""COMPUTED_VALUE"""),4.626976316371217)</f>
        <v>4.626976316</v>
      </c>
      <c r="F13" s="15">
        <f>IFERROR(__xludf.DUMMYFUNCTION("""COMPUTED_VALUE"""),5.290311887357783)</f>
        <v>5.290311887</v>
      </c>
      <c r="G13" s="17">
        <f>IFERROR(__xludf.DUMMYFUNCTION("""COMPUTED_VALUE"""),1.1969974256954408)</f>
        <v>1.196997426</v>
      </c>
      <c r="H13" s="4"/>
      <c r="I13" s="5" t="s">
        <v>2377</v>
      </c>
      <c r="J13" s="5" t="s">
        <v>2352</v>
      </c>
      <c r="K13" s="24">
        <v>851.0</v>
      </c>
      <c r="L13" s="5">
        <v>2.575115</v>
      </c>
      <c r="M13" s="5">
        <v>2.481954</v>
      </c>
      <c r="N13" s="5">
        <v>5.057069</v>
      </c>
      <c r="O13" s="5">
        <v>1.866757</v>
      </c>
    </row>
    <row r="14">
      <c r="A14" s="18" t="str">
        <f>IFERROR(__xludf.DUMMYFUNCTION("""COMPUTED_VALUE"""),"Mindaugas Lukauskis")</f>
        <v>Mindaugas Lukauskis</v>
      </c>
      <c r="B14" s="19" t="str">
        <f>IFERROR(__xludf.DUMMYFUNCTION("""COMPUTED_VALUE"""),"LIE")</f>
        <v>LIE</v>
      </c>
      <c r="C14" s="20">
        <f>IFERROR(__xludf.DUMMYFUNCTION("""COMPUTED_VALUE"""),678.9)</f>
        <v>678.9</v>
      </c>
      <c r="D14" s="21">
        <f>IFERROR(__xludf.DUMMYFUNCTION("""COMPUTED_VALUE"""),1.857932657514966)</f>
        <v>1.857932658</v>
      </c>
      <c r="E14" s="21">
        <f>IFERROR(__xludf.DUMMYFUNCTION("""COMPUTED_VALUE"""),3.094724802609286)</f>
        <v>3.094724803</v>
      </c>
      <c r="F14" s="21">
        <f>IFERROR(__xludf.DUMMYFUNCTION("""COMPUTED_VALUE"""),4.952657460124252)</f>
        <v>4.95265746</v>
      </c>
      <c r="G14" s="23">
        <f>IFERROR(__xludf.DUMMYFUNCTION("""COMPUTED_VALUE"""),1.4739514148656025)</f>
        <v>1.473951415</v>
      </c>
      <c r="H14" s="4"/>
      <c r="I14" s="5" t="s">
        <v>102</v>
      </c>
      <c r="J14" s="5" t="s">
        <v>76</v>
      </c>
      <c r="K14" s="24">
        <v>674.0</v>
      </c>
      <c r="L14" s="5">
        <v>0.976042</v>
      </c>
      <c r="M14" s="5">
        <v>4.037386</v>
      </c>
      <c r="N14" s="5">
        <v>5.013429</v>
      </c>
      <c r="O14" s="5">
        <v>1.440766</v>
      </c>
    </row>
    <row r="15">
      <c r="A15" s="12" t="str">
        <f>IFERROR(__xludf.DUMMYFUNCTION("""COMPUTED_VALUE"""),"Edgaras Ulanovas")</f>
        <v>Edgaras Ulanovas</v>
      </c>
      <c r="B15" s="13" t="str">
        <f>IFERROR(__xludf.DUMMYFUNCTION("""COMPUTED_VALUE"""),"ZAL")</f>
        <v>ZAL</v>
      </c>
      <c r="C15" s="14">
        <f>IFERROR(__xludf.DUMMYFUNCTION("""COMPUTED_VALUE"""),905.6)</f>
        <v>905.6</v>
      </c>
      <c r="D15" s="15">
        <f>IFERROR(__xludf.DUMMYFUNCTION("""COMPUTED_VALUE"""),1.7687354938380773)</f>
        <v>1.768735494</v>
      </c>
      <c r="E15" s="15">
        <f>IFERROR(__xludf.DUMMYFUNCTION("""COMPUTED_VALUE"""),3.1114816643148533)</f>
        <v>3.111481664</v>
      </c>
      <c r="F15" s="15">
        <f>IFERROR(__xludf.DUMMYFUNCTION("""COMPUTED_VALUE"""),4.880217158152931)</f>
        <v>4.880217158</v>
      </c>
      <c r="G15" s="17">
        <f>IFERROR(__xludf.DUMMYFUNCTION("""COMPUTED_VALUE"""),1.899732435865748)</f>
        <v>1.899732436</v>
      </c>
      <c r="H15" s="4"/>
      <c r="I15" s="5" t="s">
        <v>133</v>
      </c>
      <c r="J15" s="5" t="s">
        <v>76</v>
      </c>
      <c r="K15" s="24">
        <v>736.0</v>
      </c>
      <c r="L15" s="5">
        <v>2.3736</v>
      </c>
      <c r="M15" s="5">
        <v>2.506417</v>
      </c>
      <c r="N15" s="5">
        <v>4.880018</v>
      </c>
      <c r="O15" s="5">
        <v>1.54383</v>
      </c>
    </row>
    <row r="16">
      <c r="A16" s="18" t="str">
        <f>IFERROR(__xludf.DUMMYFUNCTION("""COMPUTED_VALUE"""),"Vasilje Micic")</f>
        <v>Vasilje Micic</v>
      </c>
      <c r="B16" s="19" t="str">
        <f>IFERROR(__xludf.DUMMYFUNCTION("""COMPUTED_VALUE"""),"ZAL")</f>
        <v>ZAL</v>
      </c>
      <c r="C16" s="20">
        <f>IFERROR(__xludf.DUMMYFUNCTION("""COMPUTED_VALUE"""),867.2)</f>
        <v>867.2</v>
      </c>
      <c r="D16" s="21">
        <f>IFERROR(__xludf.DUMMYFUNCTION("""COMPUTED_VALUE"""),1.5107755858195975)</f>
        <v>1.510775586</v>
      </c>
      <c r="E16" s="21">
        <f>IFERROR(__xludf.DUMMYFUNCTION("""COMPUTED_VALUE"""),3.066601788838519)</f>
        <v>3.066601789</v>
      </c>
      <c r="F16" s="21">
        <f>IFERROR(__xludf.DUMMYFUNCTION("""COMPUTED_VALUE"""),4.577377374658116)</f>
        <v>4.577377375</v>
      </c>
      <c r="G16" s="23">
        <f>IFERROR(__xludf.DUMMYFUNCTION("""COMPUTED_VALUE"""),1.7391054150528638)</f>
        <v>1.739105415</v>
      </c>
      <c r="H16" s="4"/>
      <c r="I16" s="5" t="s">
        <v>2384</v>
      </c>
      <c r="J16" s="5" t="s">
        <v>2352</v>
      </c>
      <c r="K16" s="24">
        <v>483.0</v>
      </c>
      <c r="L16" s="5">
        <v>1.191485</v>
      </c>
      <c r="M16" s="5">
        <v>3.663173</v>
      </c>
      <c r="N16" s="5">
        <v>4.854659</v>
      </c>
      <c r="O16" s="5">
        <v>1.029456</v>
      </c>
    </row>
    <row r="17">
      <c r="A17" s="12" t="str">
        <f>IFERROR(__xludf.DUMMYFUNCTION("""COMPUTED_VALUE"""),"Travis Peterson")</f>
        <v>Travis Peterson</v>
      </c>
      <c r="B17" s="13" t="str">
        <f>IFERROR(__xludf.DUMMYFUNCTION("""COMPUTED_VALUE"""),"LIE")</f>
        <v>LIE</v>
      </c>
      <c r="C17" s="14">
        <f>IFERROR(__xludf.DUMMYFUNCTION("""COMPUTED_VALUE"""),1086.2)</f>
        <v>1086.2</v>
      </c>
      <c r="D17" s="15">
        <f>IFERROR(__xludf.DUMMYFUNCTION("""COMPUTED_VALUE"""),2.2847168109383857)</f>
        <v>2.284716811</v>
      </c>
      <c r="E17" s="15">
        <f>IFERROR(__xludf.DUMMYFUNCTION("""COMPUTED_VALUE"""),1.9367851524664723)</f>
        <v>1.936785152</v>
      </c>
      <c r="F17" s="15">
        <f>IFERROR(__xludf.DUMMYFUNCTION("""COMPUTED_VALUE"""),4.221501963404858)</f>
        <v>4.221501963</v>
      </c>
      <c r="G17" s="17">
        <f>IFERROR(__xludf.DUMMYFUNCTION("""COMPUTED_VALUE"""),2.110238621934188)</f>
        <v>2.110238622</v>
      </c>
      <c r="H17" s="4"/>
      <c r="I17" s="5" t="s">
        <v>445</v>
      </c>
      <c r="J17" s="5" t="s">
        <v>76</v>
      </c>
      <c r="K17" s="24">
        <v>670.0</v>
      </c>
      <c r="L17" s="5">
        <v>1.357537</v>
      </c>
      <c r="M17" s="5">
        <v>3.407991</v>
      </c>
      <c r="N17" s="5">
        <v>4.765528</v>
      </c>
      <c r="O17" s="5">
        <v>1.382002</v>
      </c>
    </row>
    <row r="18">
      <c r="A18" s="18" t="str">
        <f>IFERROR(__xludf.DUMMYFUNCTION("""COMPUTED_VALUE"""),"Juan Palacios")</f>
        <v>Juan Palacios</v>
      </c>
      <c r="B18" s="19" t="str">
        <f>IFERROR(__xludf.DUMMYFUNCTION("""COMPUTED_VALUE"""),"NEP")</f>
        <v>NEP</v>
      </c>
      <c r="C18" s="20">
        <f>IFERROR(__xludf.DUMMYFUNCTION("""COMPUTED_VALUE"""),452.5)</f>
        <v>452.5</v>
      </c>
      <c r="D18" s="21">
        <f>IFERROR(__xludf.DUMMYFUNCTION("""COMPUTED_VALUE"""),1.0012339479957697)</f>
        <v>1.001233948</v>
      </c>
      <c r="E18" s="21">
        <f>IFERROR(__xludf.DUMMYFUNCTION("""COMPUTED_VALUE"""),3.098309326432254)</f>
        <v>3.098309326</v>
      </c>
      <c r="F18" s="21">
        <f>IFERROR(__xludf.DUMMYFUNCTION("""COMPUTED_VALUE"""),4.099543274428024)</f>
        <v>4.099543274</v>
      </c>
      <c r="G18" s="23">
        <f>IFERROR(__xludf.DUMMYFUNCTION("""COMPUTED_VALUE"""),0.8756864794566903)</f>
        <v>0.8756864795</v>
      </c>
      <c r="H18" s="4"/>
      <c r="I18" s="5" t="s">
        <v>154</v>
      </c>
      <c r="J18" s="5" t="s">
        <v>76</v>
      </c>
      <c r="K18" s="24">
        <v>601.0</v>
      </c>
      <c r="L18" s="5">
        <v>1.648739</v>
      </c>
      <c r="M18" s="5">
        <v>2.933659</v>
      </c>
      <c r="N18" s="5">
        <v>4.582398</v>
      </c>
      <c r="O18" s="5">
        <v>1.205318</v>
      </c>
    </row>
    <row r="19">
      <c r="A19" s="12" t="str">
        <f>IFERROR(__xludf.DUMMYFUNCTION("""COMPUTED_VALUE"""),"Kevin Pangos")</f>
        <v>Kevin Pangos</v>
      </c>
      <c r="B19" s="13" t="str">
        <f>IFERROR(__xludf.DUMMYFUNCTION("""COMPUTED_VALUE"""),"ZAL")</f>
        <v>ZAL</v>
      </c>
      <c r="C19" s="14">
        <f>IFERROR(__xludf.DUMMYFUNCTION("""COMPUTED_VALUE"""),950.8)</f>
        <v>950.8</v>
      </c>
      <c r="D19" s="15">
        <f>IFERROR(__xludf.DUMMYFUNCTION("""COMPUTED_VALUE"""),2.310484830040518)</f>
        <v>2.31048483</v>
      </c>
      <c r="E19" s="15">
        <f>IFERROR(__xludf.DUMMYFUNCTION("""COMPUTED_VALUE"""),1.709207721661504)</f>
        <v>1.709207722</v>
      </c>
      <c r="F19" s="15">
        <f>IFERROR(__xludf.DUMMYFUNCTION("""COMPUTED_VALUE"""),4.019692551702022)</f>
        <v>4.019692552</v>
      </c>
      <c r="G19" s="17">
        <f>IFERROR(__xludf.DUMMYFUNCTION("""COMPUTED_VALUE"""),1.745088119749206)</f>
        <v>1.74508812</v>
      </c>
      <c r="H19" s="4"/>
      <c r="I19" s="5" t="s">
        <v>2391</v>
      </c>
      <c r="J19" s="5" t="s">
        <v>2356</v>
      </c>
      <c r="K19" s="24">
        <v>526.0</v>
      </c>
      <c r="L19" s="5">
        <v>5.315899</v>
      </c>
      <c r="M19" s="5">
        <v>-0.924214</v>
      </c>
      <c r="N19" s="5">
        <v>4.391685</v>
      </c>
      <c r="O19" s="5">
        <v>1.076731</v>
      </c>
    </row>
    <row r="20">
      <c r="A20" s="18" t="str">
        <f>IFERROR(__xludf.DUMMYFUNCTION("""COMPUTED_VALUE"""),"Tomas Delininkaitis")</f>
        <v>Tomas Delininkaitis</v>
      </c>
      <c r="B20" s="19" t="str">
        <f>IFERROR(__xludf.DUMMYFUNCTION("""COMPUTED_VALUE"""),"NEP")</f>
        <v>NEP</v>
      </c>
      <c r="C20" s="20">
        <f>IFERROR(__xludf.DUMMYFUNCTION("""COMPUTED_VALUE"""),705.5)</f>
        <v>705.5</v>
      </c>
      <c r="D20" s="21">
        <f>IFERROR(__xludf.DUMMYFUNCTION("""COMPUTED_VALUE"""),4.844436419016513)</f>
        <v>4.844436419</v>
      </c>
      <c r="E20" s="21">
        <f>IFERROR(__xludf.DUMMYFUNCTION("""COMPUTED_VALUE"""),-0.8478272567904286)</f>
        <v>-0.8478272568</v>
      </c>
      <c r="F20" s="21">
        <f>IFERROR(__xludf.DUMMYFUNCTION("""COMPUTED_VALUE"""),3.9966091622260844)</f>
        <v>3.996609162</v>
      </c>
      <c r="G20" s="23">
        <f>IFERROR(__xludf.DUMMYFUNCTION("""COMPUTED_VALUE"""),1.342256469764457)</f>
        <v>1.34225647</v>
      </c>
      <c r="H20" s="4"/>
      <c r="I20" s="5" t="s">
        <v>1968</v>
      </c>
      <c r="J20" s="5" t="s">
        <v>2356</v>
      </c>
      <c r="K20" s="5">
        <v>453.0</v>
      </c>
      <c r="L20" s="5">
        <v>1.036872</v>
      </c>
      <c r="M20" s="5">
        <v>3.175469</v>
      </c>
      <c r="N20" s="5">
        <v>4.21234</v>
      </c>
      <c r="O20" s="5">
        <v>0.900114</v>
      </c>
    </row>
    <row r="21">
      <c r="A21" s="12" t="str">
        <f>IFERROR(__xludf.DUMMYFUNCTION("""COMPUTED_VALUE"""),"Beno Udrih")</f>
        <v>Beno Udrih</v>
      </c>
      <c r="B21" s="13" t="str">
        <f>IFERROR(__xludf.DUMMYFUNCTION("""COMPUTED_VALUE"""),"ZAL")</f>
        <v>ZAL</v>
      </c>
      <c r="C21" s="14">
        <f>IFERROR(__xludf.DUMMYFUNCTION("""COMPUTED_VALUE"""),493.4)</f>
        <v>493.4</v>
      </c>
      <c r="D21" s="15">
        <f>IFERROR(__xludf.DUMMYFUNCTION("""COMPUTED_VALUE"""),2.236820810835715)</f>
        <v>2.236820811</v>
      </c>
      <c r="E21" s="15">
        <f>IFERROR(__xludf.DUMMYFUNCTION("""COMPUTED_VALUE"""),1.5726856505178968)</f>
        <v>1.572685651</v>
      </c>
      <c r="F21" s="15">
        <f>IFERROR(__xludf.DUMMYFUNCTION("""COMPUTED_VALUE"""),3.8095064613536116)</f>
        <v>3.809506461</v>
      </c>
      <c r="G21" s="17">
        <f>IFERROR(__xludf.DUMMYFUNCTION("""COMPUTED_VALUE"""),0.8739614213666596)</f>
        <v>0.8739614214</v>
      </c>
      <c r="H21" s="4"/>
      <c r="I21" s="5" t="s">
        <v>2395</v>
      </c>
      <c r="J21" s="5" t="s">
        <v>2352</v>
      </c>
      <c r="K21" s="24">
        <v>453.0</v>
      </c>
      <c r="L21" s="5">
        <v>3.307969</v>
      </c>
      <c r="M21" s="5">
        <v>0.869256</v>
      </c>
      <c r="N21" s="5">
        <v>4.177224</v>
      </c>
      <c r="O21" s="5">
        <v>0.87049</v>
      </c>
    </row>
    <row r="22">
      <c r="A22" s="18" t="str">
        <f>IFERROR(__xludf.DUMMYFUNCTION("""COMPUTED_VALUE"""),"Adas Juskevicius")</f>
        <v>Adas Juskevicius</v>
      </c>
      <c r="B22" s="19" t="str">
        <f>IFERROR(__xludf.DUMMYFUNCTION("""COMPUTED_VALUE"""),"TEC")</f>
        <v>TEC</v>
      </c>
      <c r="C22" s="20">
        <f>IFERROR(__xludf.DUMMYFUNCTION("""COMPUTED_VALUE"""),461.1)</f>
        <v>461.1</v>
      </c>
      <c r="D22" s="21">
        <f>IFERROR(__xludf.DUMMYFUNCTION("""COMPUTED_VALUE"""),4.09854625766546)</f>
        <v>4.098546258</v>
      </c>
      <c r="E22" s="21">
        <f>IFERROR(__xludf.DUMMYFUNCTION("""COMPUTED_VALUE"""),-0.46664596049564144)</f>
        <v>-0.4666459605</v>
      </c>
      <c r="F22" s="21">
        <f>IFERROR(__xludf.DUMMYFUNCTION("""COMPUTED_VALUE"""),3.631900297169819)</f>
        <v>3.631900297</v>
      </c>
      <c r="G22" s="23">
        <f>IFERROR(__xludf.DUMMYFUNCTION("""COMPUTED_VALUE"""),0.7896367255897337)</f>
        <v>0.7896367256</v>
      </c>
      <c r="H22" s="4"/>
      <c r="I22" s="5" t="s">
        <v>496</v>
      </c>
      <c r="J22" s="5" t="s">
        <v>76</v>
      </c>
      <c r="K22" s="5">
        <v>332.0</v>
      </c>
      <c r="L22" s="5">
        <v>1.598348</v>
      </c>
      <c r="M22" s="5">
        <v>2.550463</v>
      </c>
      <c r="N22" s="5">
        <v>4.148811</v>
      </c>
      <c r="O22" s="5">
        <v>0.621451</v>
      </c>
    </row>
    <row r="23">
      <c r="A23" s="12" t="str">
        <f>IFERROR(__xludf.DUMMYFUNCTION("""COMPUTED_VALUE"""),"Laurynas Birutis")</f>
        <v>Laurynas Birutis</v>
      </c>
      <c r="B23" s="13" t="str">
        <f>IFERROR(__xludf.DUMMYFUNCTION("""COMPUTED_VALUE"""),"SIA")</f>
        <v>SIA</v>
      </c>
      <c r="C23" s="14">
        <f>IFERROR(__xludf.DUMMYFUNCTION("""COMPUTED_VALUE"""),1064.5)</f>
        <v>1064.5</v>
      </c>
      <c r="D23" s="15">
        <f>IFERROR(__xludf.DUMMYFUNCTION("""COMPUTED_VALUE"""),2.28417292404513)</f>
        <v>2.284172924</v>
      </c>
      <c r="E23" s="15">
        <f>IFERROR(__xludf.DUMMYFUNCTION("""COMPUTED_VALUE"""),1.2986899930587121)</f>
        <v>1.298689993</v>
      </c>
      <c r="F23" s="15">
        <f>IFERROR(__xludf.DUMMYFUNCTION("""COMPUTED_VALUE"""),3.582862917103842)</f>
        <v>3.582862917</v>
      </c>
      <c r="G23" s="17">
        <f>IFERROR(__xludf.DUMMYFUNCTION("""COMPUTED_VALUE"""),1.8006457814676802)</f>
        <v>1.800645781</v>
      </c>
      <c r="H23" s="4"/>
      <c r="I23" s="5" t="s">
        <v>2399</v>
      </c>
      <c r="J23" s="5" t="s">
        <v>2352</v>
      </c>
      <c r="K23" s="24">
        <v>949.0</v>
      </c>
      <c r="L23" s="5">
        <v>1.152673</v>
      </c>
      <c r="M23" s="5">
        <v>2.908876</v>
      </c>
      <c r="N23" s="5">
        <v>4.061549</v>
      </c>
      <c r="O23" s="5">
        <v>1.78903</v>
      </c>
    </row>
    <row r="24">
      <c r="A24" s="18" t="str">
        <f>IFERROR(__xludf.DUMMYFUNCTION("""COMPUTED_VALUE"""),"Chris Kramer")</f>
        <v>Chris Kramer</v>
      </c>
      <c r="B24" s="19" t="str">
        <f>IFERROR(__xludf.DUMMYFUNCTION("""COMPUTED_VALUE"""),"LIE")</f>
        <v>LIE</v>
      </c>
      <c r="C24" s="20">
        <f>IFERROR(__xludf.DUMMYFUNCTION("""COMPUTED_VALUE"""),1233.5)</f>
        <v>1233.5</v>
      </c>
      <c r="D24" s="21">
        <f>IFERROR(__xludf.DUMMYFUNCTION("""COMPUTED_VALUE"""),0.8239843680693357)</f>
        <v>0.8239843681</v>
      </c>
      <c r="E24" s="21">
        <f>IFERROR(__xludf.DUMMYFUNCTION("""COMPUTED_VALUE"""),2.6517769306032988)</f>
        <v>2.651776931</v>
      </c>
      <c r="F24" s="21">
        <f>IFERROR(__xludf.DUMMYFUNCTION("""COMPUTED_VALUE"""),3.4757612986726345)</f>
        <v>3.475761299</v>
      </c>
      <c r="G24" s="23">
        <f>IFERROR(__xludf.DUMMYFUNCTION("""COMPUTED_VALUE"""),2.109163213672427)</f>
        <v>2.109163214</v>
      </c>
      <c r="H24" s="4"/>
      <c r="I24" s="5" t="s">
        <v>1920</v>
      </c>
      <c r="J24" s="5" t="s">
        <v>2400</v>
      </c>
      <c r="K24" s="24">
        <v>461.0</v>
      </c>
      <c r="L24" s="5">
        <v>4.138422</v>
      </c>
      <c r="M24" s="5">
        <v>-0.241054</v>
      </c>
      <c r="N24" s="5">
        <v>3.897368</v>
      </c>
      <c r="O24" s="5">
        <v>0.826496</v>
      </c>
    </row>
    <row r="25">
      <c r="A25" s="12" t="str">
        <f>IFERROR(__xludf.DUMMYFUNCTION("""COMPUTED_VALUE"""),"Donatas Tarolis")</f>
        <v>Donatas Tarolis</v>
      </c>
      <c r="B25" s="13" t="str">
        <f>IFERROR(__xludf.DUMMYFUNCTION("""COMPUTED_VALUE"""),"TEC")</f>
        <v>TEC</v>
      </c>
      <c r="C25" s="14">
        <f>IFERROR(__xludf.DUMMYFUNCTION("""COMPUTED_VALUE"""),679.0)</f>
        <v>679</v>
      </c>
      <c r="D25" s="15">
        <f>IFERROR(__xludf.DUMMYFUNCTION("""COMPUTED_VALUE"""),1.8900826938083706)</f>
        <v>1.890082694</v>
      </c>
      <c r="E25" s="15">
        <f>IFERROR(__xludf.DUMMYFUNCTION("""COMPUTED_VALUE"""),1.208319574539065)</f>
        <v>1.208319575</v>
      </c>
      <c r="F25" s="15">
        <f>IFERROR(__xludf.DUMMYFUNCTION("""COMPUTED_VALUE"""),3.0984022683474355)</f>
        <v>3.098402268</v>
      </c>
      <c r="G25" s="17">
        <f>IFERROR(__xludf.DUMMYFUNCTION("""COMPUTED_VALUE"""),1.052643060906978)</f>
        <v>1.052643061</v>
      </c>
      <c r="H25" s="4"/>
      <c r="I25" s="5" t="s">
        <v>2404</v>
      </c>
      <c r="J25" s="5" t="s">
        <v>2405</v>
      </c>
      <c r="K25" s="24">
        <v>1065.0</v>
      </c>
      <c r="L25" s="5">
        <v>2.17299</v>
      </c>
      <c r="M25" s="5">
        <v>1.408504</v>
      </c>
      <c r="N25" s="5">
        <v>3.581494</v>
      </c>
      <c r="O25" s="5">
        <v>1.800204</v>
      </c>
    </row>
    <row r="26">
      <c r="A26" s="18" t="str">
        <f>IFERROR(__xludf.DUMMYFUNCTION("""COMPUTED_VALUE"""),"Vyacheslav Bobrov")</f>
        <v>Vyacheslav Bobrov</v>
      </c>
      <c r="B26" s="19" t="str">
        <f>IFERROR(__xludf.DUMMYFUNCTION("""COMPUTED_VALUE"""),"PZV")</f>
        <v>PZV</v>
      </c>
      <c r="C26" s="20">
        <f>IFERROR(__xludf.DUMMYFUNCTION("""COMPUTED_VALUE"""),1021.6)</f>
        <v>1021.6</v>
      </c>
      <c r="D26" s="21">
        <f>IFERROR(__xludf.DUMMYFUNCTION("""COMPUTED_VALUE"""),2.3609648389378597)</f>
        <v>2.360964839</v>
      </c>
      <c r="E26" s="21">
        <f>IFERROR(__xludf.DUMMYFUNCTION("""COMPUTED_VALUE"""),0.6955149449512046)</f>
        <v>0.695514945</v>
      </c>
      <c r="F26" s="21">
        <f>IFERROR(__xludf.DUMMYFUNCTION("""COMPUTED_VALUE"""),3.0564797838890643)</f>
        <v>3.056479784</v>
      </c>
      <c r="G26" s="23">
        <f>IFERROR(__xludf.DUMMYFUNCTION("""COMPUTED_VALUE"""),1.5753416784802006)</f>
        <v>1.575341678</v>
      </c>
      <c r="H26" s="4"/>
      <c r="I26" s="5" t="s">
        <v>2407</v>
      </c>
      <c r="J26" s="5" t="s">
        <v>2408</v>
      </c>
      <c r="K26" s="24">
        <v>1022.0</v>
      </c>
      <c r="L26" s="5">
        <v>2.251446</v>
      </c>
      <c r="M26" s="5">
        <v>0.805032</v>
      </c>
      <c r="N26" s="5">
        <v>3.056479</v>
      </c>
      <c r="O26" s="5">
        <v>1.575341</v>
      </c>
    </row>
    <row r="27">
      <c r="A27" s="12" t="str">
        <f>IFERROR(__xludf.DUMMYFUNCTION("""COMPUTED_VALUE"""),"Arminas Urbutis")</f>
        <v>Arminas Urbutis</v>
      </c>
      <c r="B27" s="13" t="str">
        <f>IFERROR(__xludf.DUMMYFUNCTION("""COMPUTED_VALUE"""),"SIA")</f>
        <v>SIA</v>
      </c>
      <c r="C27" s="14">
        <f>IFERROR(__xludf.DUMMYFUNCTION("""COMPUTED_VALUE"""),973.8)</f>
        <v>973.8</v>
      </c>
      <c r="D27" s="15">
        <f>IFERROR(__xludf.DUMMYFUNCTION("""COMPUTED_VALUE"""),2.378034346574438)</f>
        <v>2.378034347</v>
      </c>
      <c r="E27" s="15">
        <f>IFERROR(__xludf.DUMMYFUNCTION("""COMPUTED_VALUE"""),0.5547278071591082)</f>
        <v>0.5547278072</v>
      </c>
      <c r="F27" s="15">
        <f>IFERROR(__xludf.DUMMYFUNCTION("""COMPUTED_VALUE"""),2.932762153733546)</f>
        <v>2.932762154</v>
      </c>
      <c r="G27" s="17">
        <f>IFERROR(__xludf.DUMMYFUNCTION("""COMPUTED_VALUE"""),1.4554108338584804)</f>
        <v>1.455410834</v>
      </c>
      <c r="H27" s="4"/>
      <c r="I27" s="5" t="s">
        <v>346</v>
      </c>
      <c r="J27" s="5" t="s">
        <v>76</v>
      </c>
      <c r="K27" s="24">
        <v>147.0</v>
      </c>
      <c r="L27" s="5">
        <v>0.659855</v>
      </c>
      <c r="M27" s="5">
        <v>2.297417</v>
      </c>
      <c r="N27" s="5">
        <v>2.957273</v>
      </c>
      <c r="O27" s="5">
        <v>0.222778</v>
      </c>
    </row>
    <row r="28">
      <c r="A28" s="18" t="str">
        <f>IFERROR(__xludf.DUMMYFUNCTION("""COMPUTED_VALUE"""),"Mindaugas Girdziunas")</f>
        <v>Mindaugas Girdziunas</v>
      </c>
      <c r="B28" s="19" t="str">
        <f>IFERROR(__xludf.DUMMYFUNCTION("""COMPUTED_VALUE"""),"LIE")</f>
        <v>LIE</v>
      </c>
      <c r="C28" s="20">
        <f>IFERROR(__xludf.DUMMYFUNCTION("""COMPUTED_VALUE"""),559.7)</f>
        <v>559.7</v>
      </c>
      <c r="D28" s="21">
        <f>IFERROR(__xludf.DUMMYFUNCTION("""COMPUTED_VALUE"""),2.908857006602682)</f>
        <v>2.908857007</v>
      </c>
      <c r="E28" s="21">
        <f>IFERROR(__xludf.DUMMYFUNCTION("""COMPUTED_VALUE"""),-0.049573975152469085)</f>
        <v>-0.04957397515</v>
      </c>
      <c r="F28" s="21">
        <f>IFERROR(__xludf.DUMMYFUNCTION("""COMPUTED_VALUE"""),2.859283031450213)</f>
        <v>2.859283031</v>
      </c>
      <c r="G28" s="23">
        <f>IFERROR(__xludf.DUMMYFUNCTION("""COMPUTED_VALUE"""),0.8492861245640143)</f>
        <v>0.8492861246</v>
      </c>
      <c r="H28" s="4"/>
      <c r="I28" s="5" t="s">
        <v>2412</v>
      </c>
      <c r="J28" s="5" t="s">
        <v>2405</v>
      </c>
      <c r="K28" s="24">
        <v>974.0</v>
      </c>
      <c r="L28" s="5">
        <v>2.268128</v>
      </c>
      <c r="M28" s="5">
        <v>0.664314</v>
      </c>
      <c r="N28" s="5">
        <v>2.932442</v>
      </c>
      <c r="O28" s="5">
        <v>1.455316</v>
      </c>
    </row>
    <row r="29">
      <c r="A29" s="12" t="str">
        <f>IFERROR(__xludf.DUMMYFUNCTION("""COMPUTED_VALUE"""),"Dee Bost")</f>
        <v>Dee Bost</v>
      </c>
      <c r="B29" s="13" t="str">
        <f>IFERROR(__xludf.DUMMYFUNCTION("""COMPUTED_VALUE"""),"ZAL")</f>
        <v>ZAL</v>
      </c>
      <c r="C29" s="14">
        <f>IFERROR(__xludf.DUMMYFUNCTION("""COMPUTED_VALUE"""),147.4)</f>
        <v>147.4</v>
      </c>
      <c r="D29" s="15">
        <f>IFERROR(__xludf.DUMMYFUNCTION("""COMPUTED_VALUE"""),0.7323002333014524)</f>
        <v>0.7323002333</v>
      </c>
      <c r="E29" s="15">
        <f>IFERROR(__xludf.DUMMYFUNCTION("""COMPUTED_VALUE"""),2.0716686717406625)</f>
        <v>2.071668672</v>
      </c>
      <c r="F29" s="15">
        <f>IFERROR(__xludf.DUMMYFUNCTION("""COMPUTED_VALUE"""),2.803968905042115)</f>
        <v>2.803968905</v>
      </c>
      <c r="G29" s="17">
        <f>IFERROR(__xludf.DUMMYFUNCTION("""COMPUTED_VALUE"""),0.21589945661004029)</f>
        <v>0.2158994566</v>
      </c>
      <c r="H29" s="4"/>
      <c r="I29" s="5" t="s">
        <v>2415</v>
      </c>
      <c r="J29" s="5" t="s">
        <v>2356</v>
      </c>
      <c r="K29" s="24">
        <v>1099.0</v>
      </c>
      <c r="L29" s="5">
        <v>1.604573</v>
      </c>
      <c r="M29" s="5">
        <v>1.302377</v>
      </c>
      <c r="N29" s="5">
        <v>2.90695</v>
      </c>
      <c r="O29" s="5">
        <v>1.726764</v>
      </c>
    </row>
    <row r="30">
      <c r="A30" s="18" t="str">
        <f>IFERROR(__xludf.DUMMYFUNCTION("""COMPUTED_VALUE"""),"Axel Toupane")</f>
        <v>Axel Toupane</v>
      </c>
      <c r="B30" s="19" t="str">
        <f>IFERROR(__xludf.DUMMYFUNCTION("""COMPUTED_VALUE"""),"ZAL")</f>
        <v>ZAL</v>
      </c>
      <c r="C30" s="20">
        <f>IFERROR(__xludf.DUMMYFUNCTION("""COMPUTED_VALUE"""),709.5)</f>
        <v>709.5</v>
      </c>
      <c r="D30" s="21">
        <f>IFERROR(__xludf.DUMMYFUNCTION("""COMPUTED_VALUE"""),0.3249202068458299)</f>
        <v>0.3249202068</v>
      </c>
      <c r="E30" s="21">
        <f>IFERROR(__xludf.DUMMYFUNCTION("""COMPUTED_VALUE"""),2.4780744681237183)</f>
        <v>2.478074468</v>
      </c>
      <c r="F30" s="21">
        <f>IFERROR(__xludf.DUMMYFUNCTION("""COMPUTED_VALUE"""),2.8029946749695482)</f>
        <v>2.802994675</v>
      </c>
      <c r="G30" s="23">
        <f>IFERROR(__xludf.DUMMYFUNCTION("""COMPUTED_VALUE"""),1.0390067835730568)</f>
        <v>1.039006784</v>
      </c>
      <c r="H30" s="4"/>
      <c r="I30" s="5" t="s">
        <v>2418</v>
      </c>
      <c r="J30" s="5" t="s">
        <v>2400</v>
      </c>
      <c r="K30" s="5">
        <v>519.0</v>
      </c>
      <c r="L30" s="5">
        <v>1.565397</v>
      </c>
      <c r="M30" s="5">
        <v>1.262818</v>
      </c>
      <c r="N30" s="5">
        <v>2.828216</v>
      </c>
      <c r="O30" s="5">
        <v>0.761479</v>
      </c>
    </row>
    <row r="31">
      <c r="A31" s="12" t="str">
        <f>IFERROR(__xludf.DUMMYFUNCTION("""COMPUTED_VALUE"""),"Renaldas Seibutis")</f>
        <v>Renaldas Seibutis</v>
      </c>
      <c r="B31" s="13" t="str">
        <f>IFERROR(__xludf.DUMMYFUNCTION("""COMPUTED_VALUE"""),"NEP")</f>
        <v>NEP</v>
      </c>
      <c r="C31" s="14">
        <f>IFERROR(__xludf.DUMMYFUNCTION("""COMPUTED_VALUE"""),1346.2)</f>
        <v>1346.2</v>
      </c>
      <c r="D31" s="15">
        <f>IFERROR(__xludf.DUMMYFUNCTION("""COMPUTED_VALUE"""),1.034911236873362)</f>
        <v>1.034911237</v>
      </c>
      <c r="E31" s="15">
        <f>IFERROR(__xludf.DUMMYFUNCTION("""COMPUTED_VALUE"""),1.258376609178777)</f>
        <v>1.258376609</v>
      </c>
      <c r="F31" s="15">
        <f>IFERROR(__xludf.DUMMYFUNCTION("""COMPUTED_VALUE"""),2.293287846052139)</f>
        <v>2.293287846</v>
      </c>
      <c r="G31" s="17">
        <f>IFERROR(__xludf.DUMMYFUNCTION("""COMPUTED_VALUE"""),1.8337171091417805)</f>
        <v>1.833717109</v>
      </c>
      <c r="H31" s="4"/>
      <c r="I31" s="5" t="s">
        <v>2423</v>
      </c>
      <c r="J31" s="5" t="s">
        <v>2400</v>
      </c>
      <c r="K31" s="24">
        <v>900.0</v>
      </c>
      <c r="L31" s="5">
        <v>2.741507</v>
      </c>
      <c r="M31" s="5">
        <v>-0.045275</v>
      </c>
      <c r="N31" s="5">
        <v>2.696233</v>
      </c>
      <c r="O31" s="5">
        <v>1.284349</v>
      </c>
    </row>
    <row r="32">
      <c r="A32" s="18" t="str">
        <f>IFERROR(__xludf.DUMMYFUNCTION("""COMPUTED_VALUE"""),"Dovis Bickauskis")</f>
        <v>Dovis Bickauskis</v>
      </c>
      <c r="B32" s="19" t="str">
        <f>IFERROR(__xludf.DUMMYFUNCTION("""COMPUTED_VALUE"""),"JUV")</f>
        <v>JUV</v>
      </c>
      <c r="C32" s="20">
        <f>IFERROR(__xludf.DUMMYFUNCTION("""COMPUTED_VALUE"""),858.1)</f>
        <v>858.1</v>
      </c>
      <c r="D32" s="21">
        <f>IFERROR(__xludf.DUMMYFUNCTION("""COMPUTED_VALUE"""),2.3765509426519227)</f>
        <v>2.376550943</v>
      </c>
      <c r="E32" s="21">
        <f>IFERROR(__xludf.DUMMYFUNCTION("""COMPUTED_VALUE"""),-0.12088609763007829)</f>
        <v>-0.1208860976</v>
      </c>
      <c r="F32" s="21">
        <f>IFERROR(__xludf.DUMMYFUNCTION("""COMPUTED_VALUE"""),2.2556648450218444)</f>
        <v>2.255664845</v>
      </c>
      <c r="G32" s="23">
        <f>IFERROR(__xludf.DUMMYFUNCTION("""COMPUTED_VALUE"""),1.109834914087071)</f>
        <v>1.109834914</v>
      </c>
      <c r="H32" s="4"/>
      <c r="I32" s="5" t="s">
        <v>2425</v>
      </c>
      <c r="J32" s="5" t="s">
        <v>2352</v>
      </c>
      <c r="K32" s="24">
        <v>624.0</v>
      </c>
      <c r="L32" s="5">
        <v>2.001466</v>
      </c>
      <c r="M32" s="5">
        <v>0.643472</v>
      </c>
      <c r="N32" s="5">
        <v>2.644938</v>
      </c>
      <c r="O32" s="5">
        <v>0.901051</v>
      </c>
    </row>
    <row r="33">
      <c r="A33" s="12" t="str">
        <f>IFERROR(__xludf.DUMMYFUNCTION("""COMPUTED_VALUE"""),"Darius Lavrinovic")</f>
        <v>Darius Lavrinovic</v>
      </c>
      <c r="B33" s="13" t="str">
        <f>IFERROR(__xludf.DUMMYFUNCTION("""COMPUTED_VALUE"""),"TEC")</f>
        <v>TEC</v>
      </c>
      <c r="C33" s="14">
        <f>IFERROR(__xludf.DUMMYFUNCTION("""COMPUTED_VALUE"""),787.3)</f>
        <v>787.3</v>
      </c>
      <c r="D33" s="15">
        <f>IFERROR(__xludf.DUMMYFUNCTION("""COMPUTED_VALUE"""),0.08088510303722773)</f>
        <v>0.08088510304</v>
      </c>
      <c r="E33" s="15">
        <f>IFERROR(__xludf.DUMMYFUNCTION("""COMPUTED_VALUE"""),1.767235008435351)</f>
        <v>1.767235008</v>
      </c>
      <c r="F33" s="15">
        <f>IFERROR(__xludf.DUMMYFUNCTION("""COMPUTED_VALUE"""),1.8481201114725787)</f>
        <v>1.848120111</v>
      </c>
      <c r="G33" s="17">
        <f>IFERROR(__xludf.DUMMYFUNCTION("""COMPUTED_VALUE"""),0.9212258789368727)</f>
        <v>0.9212258789</v>
      </c>
      <c r="H33" s="4"/>
      <c r="I33" s="5" t="s">
        <v>492</v>
      </c>
      <c r="J33" s="5" t="s">
        <v>76</v>
      </c>
      <c r="K33" s="24">
        <v>545.0</v>
      </c>
      <c r="L33" s="5">
        <v>-0.554525</v>
      </c>
      <c r="M33" s="5">
        <v>3.147362</v>
      </c>
      <c r="N33" s="5">
        <v>2.592837</v>
      </c>
      <c r="O33" s="5">
        <v>0.763009</v>
      </c>
    </row>
    <row r="34">
      <c r="A34" s="18" t="str">
        <f>IFERROR(__xludf.DUMMYFUNCTION("""COMPUTED_VALUE"""),"Zanis Peiners")</f>
        <v>Zanis Peiners</v>
      </c>
      <c r="B34" s="19" t="str">
        <f>IFERROR(__xludf.DUMMYFUNCTION("""COMPUTED_VALUE"""),"TEC")</f>
        <v>TEC</v>
      </c>
      <c r="C34" s="20">
        <f>IFERROR(__xludf.DUMMYFUNCTION("""COMPUTED_VALUE"""),1066.2)</f>
        <v>1066.2</v>
      </c>
      <c r="D34" s="21">
        <f>IFERROR(__xludf.DUMMYFUNCTION("""COMPUTED_VALUE"""),2.2344730072033108)</f>
        <v>2.234473007</v>
      </c>
      <c r="E34" s="21">
        <f>IFERROR(__xludf.DUMMYFUNCTION("""COMPUTED_VALUE"""),-0.46121473174113903)</f>
        <v>-0.4612147317</v>
      </c>
      <c r="F34" s="21">
        <f>IFERROR(__xludf.DUMMYFUNCTION("""COMPUTED_VALUE"""),1.7732582754621717)</f>
        <v>1.773258275</v>
      </c>
      <c r="G34" s="23">
        <f>IFERROR(__xludf.DUMMYFUNCTION("""COMPUTED_VALUE"""),1.2232985764033149)</f>
        <v>1.223298576</v>
      </c>
      <c r="H34" s="4"/>
      <c r="I34" s="5" t="s">
        <v>2430</v>
      </c>
      <c r="J34" s="5" t="s">
        <v>2431</v>
      </c>
      <c r="K34" s="24">
        <v>858.0</v>
      </c>
      <c r="L34" s="5">
        <v>2.267159</v>
      </c>
      <c r="M34" s="5">
        <v>-0.011391</v>
      </c>
      <c r="N34" s="5">
        <v>2.255768</v>
      </c>
      <c r="O34" s="5">
        <v>1.109862</v>
      </c>
    </row>
    <row r="35">
      <c r="A35" s="12" t="str">
        <f>IFERROR(__xludf.DUMMYFUNCTION("""COMPUTED_VALUE"""),"Anthony Ireland")</f>
        <v>Anthony Ireland</v>
      </c>
      <c r="B35" s="13" t="str">
        <f>IFERROR(__xludf.DUMMYFUNCTION("""COMPUTED_VALUE"""),"JUV")</f>
        <v>JUV</v>
      </c>
      <c r="C35" s="14">
        <f>IFERROR(__xludf.DUMMYFUNCTION("""COMPUTED_VALUE"""),784.2)</f>
        <v>784.2</v>
      </c>
      <c r="D35" s="15">
        <f>IFERROR(__xludf.DUMMYFUNCTION("""COMPUTED_VALUE"""),3.0482486034653338)</f>
        <v>3.048248603</v>
      </c>
      <c r="E35" s="15">
        <f>IFERROR(__xludf.DUMMYFUNCTION("""COMPUTED_VALUE"""),-1.3587596964825166)</f>
        <v>-1.358759696</v>
      </c>
      <c r="F35" s="15">
        <f>IFERROR(__xludf.DUMMYFUNCTION("""COMPUTED_VALUE"""),1.6894889069828172)</f>
        <v>1.689488907</v>
      </c>
      <c r="G35" s="17">
        <f>IFERROR(__xludf.DUMMYFUNCTION("""COMPUTED_VALUE"""),0.8793182971978749)</f>
        <v>0.8793182972</v>
      </c>
      <c r="H35" s="4"/>
      <c r="I35" s="5" t="s">
        <v>2433</v>
      </c>
      <c r="J35" s="5" t="s">
        <v>2400</v>
      </c>
      <c r="K35" s="24">
        <v>811.0</v>
      </c>
      <c r="L35" s="5">
        <v>1.654246</v>
      </c>
      <c r="M35" s="5">
        <v>0.432882</v>
      </c>
      <c r="N35" s="5">
        <v>2.087128</v>
      </c>
      <c r="O35" s="5">
        <v>1.00696</v>
      </c>
    </row>
    <row r="36">
      <c r="A36" s="18" t="str">
        <f>IFERROR(__xludf.DUMMYFUNCTION("""COMPUTED_VALUE"""),"Ksystof Lavrinovic")</f>
        <v>Ksystof Lavrinovic</v>
      </c>
      <c r="B36" s="19" t="str">
        <f>IFERROR(__xludf.DUMMYFUNCTION("""COMPUTED_VALUE"""),"TEC")</f>
        <v>TEC</v>
      </c>
      <c r="C36" s="20">
        <f>IFERROR(__xludf.DUMMYFUNCTION("""COMPUTED_VALUE"""),864.9)</f>
        <v>864.9</v>
      </c>
      <c r="D36" s="21">
        <f>IFERROR(__xludf.DUMMYFUNCTION("""COMPUTED_VALUE"""),0.8848995575748319)</f>
        <v>0.8848995576</v>
      </c>
      <c r="E36" s="21">
        <f>IFERROR(__xludf.DUMMYFUNCTION("""COMPUTED_VALUE"""),0.5382359268400728)</f>
        <v>0.5382359268</v>
      </c>
      <c r="F36" s="21">
        <f>IFERROR(__xludf.DUMMYFUNCTION("""COMPUTED_VALUE"""),1.4231354844149047)</f>
        <v>1.423135484</v>
      </c>
      <c r="G36" s="23">
        <f>IFERROR(__xludf.DUMMYFUNCTION("""COMPUTED_VALUE"""),0.9002585288613478)</f>
        <v>0.9002585289</v>
      </c>
      <c r="H36" s="4"/>
      <c r="I36" s="5" t="s">
        <v>2436</v>
      </c>
      <c r="J36" s="5" t="s">
        <v>2352</v>
      </c>
      <c r="K36" s="24">
        <v>574.0</v>
      </c>
      <c r="L36" s="5">
        <v>0.875324</v>
      </c>
      <c r="M36" s="5">
        <v>1.023014</v>
      </c>
      <c r="N36" s="5">
        <v>1.898338</v>
      </c>
      <c r="O36" s="5">
        <v>0.695505</v>
      </c>
    </row>
    <row r="37">
      <c r="A37" s="12" t="str">
        <f>IFERROR(__xludf.DUMMYFUNCTION("""COMPUTED_VALUE"""),"Nikita Balashov")</f>
        <v>Nikita Balashov</v>
      </c>
      <c r="B37" s="13" t="str">
        <f>IFERROR(__xludf.DUMMYFUNCTION("""COMPUTED_VALUE"""),"PZV")</f>
        <v>PZV</v>
      </c>
      <c r="C37" s="14">
        <f>IFERROR(__xludf.DUMMYFUNCTION("""COMPUTED_VALUE"""),625.5)</f>
        <v>625.5</v>
      </c>
      <c r="D37" s="15">
        <f>IFERROR(__xludf.DUMMYFUNCTION("""COMPUTED_VALUE"""),0.8047655997621368)</f>
        <v>0.8047655998</v>
      </c>
      <c r="E37" s="15">
        <f>IFERROR(__xludf.DUMMYFUNCTION("""COMPUTED_VALUE"""),0.4591080949456472)</f>
        <v>0.4591080949</v>
      </c>
      <c r="F37" s="15">
        <f>IFERROR(__xludf.DUMMYFUNCTION("""COMPUTED_VALUE"""),1.263873694707784)</f>
        <v>1.263873695</v>
      </c>
      <c r="G37" s="17">
        <f>IFERROR(__xludf.DUMMYFUNCTION("""COMPUTED_VALUE"""),0.6225959077891905)</f>
        <v>0.6225959078</v>
      </c>
      <c r="H37" s="4"/>
      <c r="I37" s="5" t="s">
        <v>2439</v>
      </c>
      <c r="J37" s="5" t="s">
        <v>2400</v>
      </c>
      <c r="K37" s="24">
        <v>685.0</v>
      </c>
      <c r="L37" s="5">
        <v>-0.09265</v>
      </c>
      <c r="M37" s="5">
        <v>1.838759</v>
      </c>
      <c r="N37" s="5">
        <v>1.746109</v>
      </c>
      <c r="O37" s="5">
        <v>0.780162</v>
      </c>
    </row>
    <row r="38">
      <c r="A38" s="18" t="str">
        <f>IFERROR(__xludf.DUMMYFUNCTION("""COMPUTED_VALUE"""),"Martynas Sajus")</f>
        <v>Martynas Sajus</v>
      </c>
      <c r="B38" s="19" t="str">
        <f>IFERROR(__xludf.DUMMYFUNCTION("""COMPUTED_VALUE"""),"ZAL")</f>
        <v>ZAL</v>
      </c>
      <c r="C38" s="20">
        <f>IFERROR(__xludf.DUMMYFUNCTION("""COMPUTED_VALUE"""),153.7)</f>
        <v>153.7</v>
      </c>
      <c r="D38" s="21">
        <f>IFERROR(__xludf.DUMMYFUNCTION("""COMPUTED_VALUE"""),0.45192659920133743)</f>
        <v>0.4519265992</v>
      </c>
      <c r="E38" s="21">
        <f>IFERROR(__xludf.DUMMYFUNCTION("""COMPUTED_VALUE"""),0.8018105432939377)</f>
        <v>0.8018105433</v>
      </c>
      <c r="F38" s="21">
        <f>IFERROR(__xludf.DUMMYFUNCTION("""COMPUTED_VALUE"""),1.2537371424952752)</f>
        <v>1.253737142</v>
      </c>
      <c r="G38" s="23">
        <f>IFERROR(__xludf.DUMMYFUNCTION("""COMPUTED_VALUE"""),0.15247906160896374)</f>
        <v>0.1524790616</v>
      </c>
      <c r="H38" s="4"/>
      <c r="I38" s="5" t="s">
        <v>2443</v>
      </c>
      <c r="J38" s="5" t="s">
        <v>2431</v>
      </c>
      <c r="K38" s="5">
        <v>784.0</v>
      </c>
      <c r="L38" s="5">
        <v>2.936688</v>
      </c>
      <c r="M38" s="5">
        <v>-1.248879</v>
      </c>
      <c r="N38" s="5">
        <v>1.687809</v>
      </c>
      <c r="O38" s="5">
        <v>0.878918</v>
      </c>
    </row>
    <row r="39">
      <c r="A39" s="12" t="str">
        <f>IFERROR(__xludf.DUMMYFUNCTION("""COMPUTED_VALUE"""),"Jimmy Baron")</f>
        <v>Jimmy Baron</v>
      </c>
      <c r="B39" s="13" t="str">
        <f>IFERROR(__xludf.DUMMYFUNCTION("""COMPUTED_VALUE"""),"LIE")</f>
        <v>LIE</v>
      </c>
      <c r="C39" s="14">
        <f>IFERROR(__xludf.DUMMYFUNCTION("""COMPUTED_VALUE"""),687.2)</f>
        <v>687.2</v>
      </c>
      <c r="D39" s="15">
        <f>IFERROR(__xludf.DUMMYFUNCTION("""COMPUTED_VALUE"""),1.5129707915786257)</f>
        <v>1.512970792</v>
      </c>
      <c r="E39" s="15">
        <f>IFERROR(__xludf.DUMMYFUNCTION("""COMPUTED_VALUE"""),-0.3283839445285939)</f>
        <v>-0.3283839445</v>
      </c>
      <c r="F39" s="15">
        <f>IFERROR(__xludf.DUMMYFUNCTION("""COMPUTED_VALUE"""),1.1845868470500318)</f>
        <v>1.184586847</v>
      </c>
      <c r="G39" s="17">
        <f>IFERROR(__xludf.DUMMYFUNCTION("""COMPUTED_VALUE"""),0.6833808021073219)</f>
        <v>0.6833808021</v>
      </c>
      <c r="H39" s="4"/>
      <c r="I39" s="5" t="s">
        <v>2446</v>
      </c>
      <c r="J39" s="5" t="s">
        <v>2400</v>
      </c>
      <c r="K39" s="24">
        <v>739.0</v>
      </c>
      <c r="L39" s="5">
        <v>1.102233</v>
      </c>
      <c r="M39" s="5">
        <v>0.563281</v>
      </c>
      <c r="N39" s="5">
        <v>1.665514</v>
      </c>
      <c r="O39" s="5">
        <v>0.823093</v>
      </c>
    </row>
    <row r="40">
      <c r="A40" s="18" t="str">
        <f>IFERROR(__xludf.DUMMYFUNCTION("""COMPUTED_VALUE"""),"Simas Jasaitis")</f>
        <v>Simas Jasaitis</v>
      </c>
      <c r="B40" s="19" t="str">
        <f>IFERROR(__xludf.DUMMYFUNCTION("""COMPUTED_VALUE"""),"TEC")</f>
        <v>TEC</v>
      </c>
      <c r="C40" s="20">
        <f>IFERROR(__xludf.DUMMYFUNCTION("""COMPUTED_VALUE"""),952.0)</f>
        <v>952</v>
      </c>
      <c r="D40" s="21">
        <f>IFERROR(__xludf.DUMMYFUNCTION("""COMPUTED_VALUE"""),0.8636113942185455)</f>
        <v>0.8636113942</v>
      </c>
      <c r="E40" s="21">
        <f>IFERROR(__xludf.DUMMYFUNCTION("""COMPUTED_VALUE"""),0.2775800274119)</f>
        <v>0.2775800274</v>
      </c>
      <c r="F40" s="21">
        <f>IFERROR(__xludf.DUMMYFUNCTION("""COMPUTED_VALUE"""),1.1411914216304455)</f>
        <v>1.141191422</v>
      </c>
      <c r="G40" s="23">
        <f>IFERROR(__xludf.DUMMYFUNCTION("""COMPUTED_VALUE"""),0.9093029709924635)</f>
        <v>0.909302971</v>
      </c>
      <c r="H40" s="4"/>
      <c r="I40" s="5" t="s">
        <v>2449</v>
      </c>
      <c r="J40" s="5" t="s">
        <v>2356</v>
      </c>
      <c r="K40" s="24">
        <v>893.0</v>
      </c>
      <c r="L40" s="5">
        <v>0.07845</v>
      </c>
      <c r="M40" s="5">
        <v>1.57566</v>
      </c>
      <c r="N40" s="5">
        <v>1.65411</v>
      </c>
      <c r="O40" s="5">
        <v>1.044272</v>
      </c>
    </row>
    <row r="41">
      <c r="A41" s="12" t="str">
        <f>IFERROR(__xludf.DUMMYFUNCTION("""COMPUTED_VALUE"""),"LaRon Dendy")</f>
        <v>LaRon Dendy</v>
      </c>
      <c r="B41" s="13" t="str">
        <f>IFERROR(__xludf.DUMMYFUNCTION("""COMPUTED_VALUE"""),"JUV")</f>
        <v>JUV</v>
      </c>
      <c r="C41" s="14">
        <f>IFERROR(__xludf.DUMMYFUNCTION("""COMPUTED_VALUE"""),539.2)</f>
        <v>539.2</v>
      </c>
      <c r="D41" s="15">
        <f>IFERROR(__xludf.DUMMYFUNCTION("""COMPUTED_VALUE"""),0.527262590805456)</f>
        <v>0.5272625908</v>
      </c>
      <c r="E41" s="15">
        <f>IFERROR(__xludf.DUMMYFUNCTION("""COMPUTED_VALUE"""),0.5145934378255559)</f>
        <v>0.5145934378</v>
      </c>
      <c r="F41" s="15">
        <f>IFERROR(__xludf.DUMMYFUNCTION("""COMPUTED_VALUE"""),1.041856028631012)</f>
        <v>1.041856029</v>
      </c>
      <c r="G41" s="17">
        <f>IFERROR(__xludf.DUMMYFUNCTION("""COMPUTED_VALUE"""),0.49847295676632986)</f>
        <v>0.4984729568</v>
      </c>
      <c r="H41" s="4"/>
      <c r="I41" s="5" t="s">
        <v>2452</v>
      </c>
      <c r="J41" s="5" t="s">
        <v>2356</v>
      </c>
      <c r="K41" s="24">
        <v>708.0</v>
      </c>
      <c r="L41" s="5">
        <v>-0.34056</v>
      </c>
      <c r="M41" s="5">
        <v>1.969901</v>
      </c>
      <c r="N41" s="5">
        <v>1.629342</v>
      </c>
      <c r="O41" s="5">
        <v>0.82255</v>
      </c>
    </row>
    <row r="42">
      <c r="A42" s="18" t="str">
        <f>IFERROR(__xludf.DUMMYFUNCTION("""COMPUTED_VALUE"""),"Trevon Hughes")</f>
        <v>Trevon Hughes</v>
      </c>
      <c r="B42" s="19" t="str">
        <f>IFERROR(__xludf.DUMMYFUNCTION("""COMPUTED_VALUE"""),"PZV")</f>
        <v>PZV</v>
      </c>
      <c r="C42" s="20">
        <f>IFERROR(__xludf.DUMMYFUNCTION("""COMPUTED_VALUE"""),816.2)</f>
        <v>816.2</v>
      </c>
      <c r="D42" s="21">
        <f>IFERROR(__xludf.DUMMYFUNCTION("""COMPUTED_VALUE"""),0.44733582760029167)</f>
        <v>0.4473358276</v>
      </c>
      <c r="E42" s="21">
        <f>IFERROR(__xludf.DUMMYFUNCTION("""COMPUTED_VALUE"""),0.5810987272996084)</f>
        <v>0.5810987273</v>
      </c>
      <c r="F42" s="21">
        <f>IFERROR(__xludf.DUMMYFUNCTION("""COMPUTED_VALUE"""),1.0284345548999)</f>
        <v>1.028434555</v>
      </c>
      <c r="G42" s="23">
        <f>IFERROR(__xludf.DUMMYFUNCTION("""COMPUTED_VALUE"""),0.7538073835272072)</f>
        <v>0.7538073835</v>
      </c>
      <c r="H42" s="4"/>
      <c r="I42" s="5" t="s">
        <v>2455</v>
      </c>
      <c r="J42" s="5" t="s">
        <v>2400</v>
      </c>
      <c r="K42" s="24">
        <v>659.0</v>
      </c>
      <c r="L42" s="5">
        <v>-1.556606</v>
      </c>
      <c r="M42" s="5">
        <v>3.138368</v>
      </c>
      <c r="N42" s="5">
        <v>1.581762</v>
      </c>
      <c r="O42" s="5">
        <v>0.71774</v>
      </c>
    </row>
    <row r="43">
      <c r="A43" s="12" t="str">
        <f>IFERROR(__xludf.DUMMYFUNCTION("""COMPUTED_VALUE"""),"Eigirdas Zukauskas")</f>
        <v>Eigirdas Zukauskas</v>
      </c>
      <c r="B43" s="13" t="str">
        <f>IFERROR(__xludf.DUMMYFUNCTION("""COMPUTED_VALUE"""),"PRI")</f>
        <v>PRI</v>
      </c>
      <c r="C43" s="14">
        <f>IFERROR(__xludf.DUMMYFUNCTION("""COMPUTED_VALUE"""),846.2)</f>
        <v>846.2</v>
      </c>
      <c r="D43" s="15">
        <f>IFERROR(__xludf.DUMMYFUNCTION("""COMPUTED_VALUE"""),2.2889839117058517)</f>
        <v>2.288983912</v>
      </c>
      <c r="E43" s="15">
        <f>IFERROR(__xludf.DUMMYFUNCTION("""COMPUTED_VALUE"""),-1.3181752195932641)</f>
        <v>-1.31817522</v>
      </c>
      <c r="F43" s="15">
        <f>IFERROR(__xludf.DUMMYFUNCTION("""COMPUTED_VALUE"""),0.9708086921125876)</f>
        <v>0.9708086921</v>
      </c>
      <c r="G43" s="17">
        <f>IFERROR(__xludf.DUMMYFUNCTION("""COMPUTED_VALUE"""),0.7661025634759238)</f>
        <v>0.7661025635</v>
      </c>
      <c r="H43" s="4"/>
      <c r="I43" s="5" t="s">
        <v>2457</v>
      </c>
      <c r="J43" s="5" t="s">
        <v>2356</v>
      </c>
      <c r="K43" s="24">
        <v>522.0</v>
      </c>
      <c r="L43" s="5">
        <v>0.174556</v>
      </c>
      <c r="M43" s="5">
        <v>1.127723</v>
      </c>
      <c r="N43" s="5">
        <v>1.302279</v>
      </c>
      <c r="O43" s="5">
        <v>0.552172</v>
      </c>
    </row>
    <row r="44">
      <c r="A44" s="18" t="str">
        <f>IFERROR(__xludf.DUMMYFUNCTION("""COMPUTED_VALUE"""),"Nick Zeisloft")</f>
        <v>Nick Zeisloft</v>
      </c>
      <c r="B44" s="19" t="str">
        <f>IFERROR(__xludf.DUMMYFUNCTION("""COMPUTED_VALUE"""),"SIA")</f>
        <v>SIA</v>
      </c>
      <c r="C44" s="20">
        <f>IFERROR(__xludf.DUMMYFUNCTION("""COMPUTED_VALUE"""),805.1)</f>
        <v>805.1</v>
      </c>
      <c r="D44" s="21">
        <f>IFERROR(__xludf.DUMMYFUNCTION("""COMPUTED_VALUE"""),3.2596043499416902)</f>
        <v>3.25960435</v>
      </c>
      <c r="E44" s="21">
        <f>IFERROR(__xludf.DUMMYFUNCTION("""COMPUTED_VALUE"""),-2.3239924985849414)</f>
        <v>-2.323992499</v>
      </c>
      <c r="F44" s="21">
        <f>IFERROR(__xludf.DUMMYFUNCTION("""COMPUTED_VALUE"""),0.9356118513567487)</f>
        <v>0.9356118514</v>
      </c>
      <c r="G44" s="23">
        <f>IFERROR(__xludf.DUMMYFUNCTION("""COMPUTED_VALUE"""),0.716100730694524)</f>
        <v>0.7161007307</v>
      </c>
      <c r="H44" s="4"/>
      <c r="I44" s="5" t="s">
        <v>2459</v>
      </c>
      <c r="J44" s="5" t="s">
        <v>2408</v>
      </c>
      <c r="K44" s="24">
        <v>626.0</v>
      </c>
      <c r="L44" s="5">
        <v>0.695212</v>
      </c>
      <c r="M44" s="5">
        <v>0.568632</v>
      </c>
      <c r="N44" s="5">
        <v>1.263844</v>
      </c>
      <c r="O44" s="5">
        <v>0.62259</v>
      </c>
    </row>
    <row r="45">
      <c r="A45" s="12" t="str">
        <f>IFERROR(__xludf.DUMMYFUNCTION("""COMPUTED_VALUE"""),"Vaidas Cepukaitis")</f>
        <v>Vaidas Cepukaitis</v>
      </c>
      <c r="B45" s="13" t="str">
        <f>IFERROR(__xludf.DUMMYFUNCTION("""COMPUTED_VALUE"""),"TEC")</f>
        <v>TEC</v>
      </c>
      <c r="C45" s="14">
        <f>IFERROR(__xludf.DUMMYFUNCTION("""COMPUTED_VALUE"""),694.8)</f>
        <v>694.8</v>
      </c>
      <c r="D45" s="15">
        <f>IFERROR(__xludf.DUMMYFUNCTION("""COMPUTED_VALUE"""),-1.826045483667767)</f>
        <v>-1.826045484</v>
      </c>
      <c r="E45" s="15">
        <f>IFERROR(__xludf.DUMMYFUNCTION("""COMPUTED_VALUE"""),2.736274041340031)</f>
        <v>2.736274041</v>
      </c>
      <c r="F45" s="15">
        <f>IFERROR(__xludf.DUMMYFUNCTION("""COMPUTED_VALUE"""),0.9102285576722637)</f>
        <v>0.9102285577</v>
      </c>
      <c r="G45" s="17">
        <f>IFERROR(__xludf.DUMMYFUNCTION("""COMPUTED_VALUE"""),0.6148429063226288)</f>
        <v>0.6148429063</v>
      </c>
      <c r="H45" s="4"/>
      <c r="I45" s="5" t="s">
        <v>378</v>
      </c>
      <c r="J45" s="5" t="s">
        <v>76</v>
      </c>
      <c r="K45" s="24">
        <v>131.0</v>
      </c>
      <c r="L45" s="5">
        <v>0.170778</v>
      </c>
      <c r="M45" s="5">
        <v>1.056971</v>
      </c>
      <c r="N45" s="5">
        <v>1.227749</v>
      </c>
      <c r="O45" s="5">
        <v>0.128718</v>
      </c>
    </row>
    <row r="46">
      <c r="A46" s="18" t="str">
        <f>IFERROR(__xludf.DUMMYFUNCTION("""COMPUTED_VALUE"""),"Simas Galdikas")</f>
        <v>Simas Galdikas</v>
      </c>
      <c r="B46" s="19" t="str">
        <f>IFERROR(__xludf.DUMMYFUNCTION("""COMPUTED_VALUE"""),"NEP")</f>
        <v>NEP</v>
      </c>
      <c r="C46" s="20">
        <f>IFERROR(__xludf.DUMMYFUNCTION("""COMPUTED_VALUE"""),898.9)</f>
        <v>898.9</v>
      </c>
      <c r="D46" s="21">
        <f>IFERROR(__xludf.DUMMYFUNCTION("""COMPUTED_VALUE"""),-0.8937267678821739)</f>
        <v>-0.8937267679</v>
      </c>
      <c r="E46" s="21">
        <f>IFERROR(__xludf.DUMMYFUNCTION("""COMPUTED_VALUE"""),1.7971146351778409)</f>
        <v>1.797114635</v>
      </c>
      <c r="F46" s="21">
        <f>IFERROR(__xludf.DUMMYFUNCTION("""COMPUTED_VALUE"""),0.903387867295667)</f>
        <v>0.9033878673</v>
      </c>
      <c r="G46" s="23">
        <f>IFERROR(__xludf.DUMMYFUNCTION("""COMPUTED_VALUE"""),0.8280359299172493)</f>
        <v>0.8280359299</v>
      </c>
      <c r="H46" s="4"/>
      <c r="I46" s="5" t="s">
        <v>2463</v>
      </c>
      <c r="J46" s="5" t="s">
        <v>2431</v>
      </c>
      <c r="K46" s="24">
        <v>539.0</v>
      </c>
      <c r="L46" s="5">
        <v>0.41374</v>
      </c>
      <c r="M46" s="5">
        <v>0.624824</v>
      </c>
      <c r="N46" s="5">
        <v>1.038564</v>
      </c>
      <c r="O46" s="5">
        <v>0.497933</v>
      </c>
    </row>
    <row r="47">
      <c r="A47" s="12" t="str">
        <f>IFERROR(__xludf.DUMMYFUNCTION("""COMPUTED_VALUE"""),"Laimis Kisielius")</f>
        <v>Laimis Kisielius</v>
      </c>
      <c r="B47" s="13" t="str">
        <f>IFERROR(__xludf.DUMMYFUNCTION("""COMPUTED_VALUE"""),"NEP")</f>
        <v>NEP</v>
      </c>
      <c r="C47" s="14">
        <f>IFERROR(__xludf.DUMMYFUNCTION("""COMPUTED_VALUE"""),1098.9)</f>
        <v>1098.9</v>
      </c>
      <c r="D47" s="15">
        <f>IFERROR(__xludf.DUMMYFUNCTION("""COMPUTED_VALUE"""),-0.8952071360808427)</f>
        <v>-0.8952071361</v>
      </c>
      <c r="E47" s="15">
        <f>IFERROR(__xludf.DUMMYFUNCTION("""COMPUTED_VALUE"""),1.7978560684287446)</f>
        <v>1.797856068</v>
      </c>
      <c r="F47" s="15">
        <f>IFERROR(__xludf.DUMMYFUNCTION("""COMPUTED_VALUE"""),0.9026489323479019)</f>
        <v>0.9026489323</v>
      </c>
      <c r="G47" s="17">
        <f>IFERROR(__xludf.DUMMYFUNCTION("""COMPUTED_VALUE"""),1.0120114577937163)</f>
        <v>1.012011458</v>
      </c>
      <c r="H47" s="4"/>
      <c r="I47" s="5" t="s">
        <v>2465</v>
      </c>
      <c r="J47" s="5" t="s">
        <v>2408</v>
      </c>
      <c r="K47" s="24">
        <v>816.0</v>
      </c>
      <c r="L47" s="5">
        <v>0.336292</v>
      </c>
      <c r="M47" s="5">
        <v>0.690888</v>
      </c>
      <c r="N47" s="5">
        <v>1.027179</v>
      </c>
      <c r="O47" s="5">
        <v>0.753495</v>
      </c>
    </row>
    <row r="48">
      <c r="A48" s="18" t="str">
        <f>IFERROR(__xludf.DUMMYFUNCTION("""COMPUTED_VALUE"""),"Parish Petty")</f>
        <v>Parish Petty</v>
      </c>
      <c r="B48" s="19" t="str">
        <f>IFERROR(__xludf.DUMMYFUNCTION("""COMPUTED_VALUE"""),"DZU")</f>
        <v>DZU</v>
      </c>
      <c r="C48" s="20">
        <f>IFERROR(__xludf.DUMMYFUNCTION("""COMPUTED_VALUE"""),390.0)</f>
        <v>390</v>
      </c>
      <c r="D48" s="21">
        <f>IFERROR(__xludf.DUMMYFUNCTION("""COMPUTED_VALUE"""),-1.7887027462340712)</f>
        <v>-1.788702746</v>
      </c>
      <c r="E48" s="21">
        <f>IFERROR(__xludf.DUMMYFUNCTION("""COMPUTED_VALUE"""),2.6910222179330026)</f>
        <v>2.691022218</v>
      </c>
      <c r="F48" s="21">
        <f>IFERROR(__xludf.DUMMYFUNCTION("""COMPUTED_VALUE"""),0.9023194716989313)</f>
        <v>0.9023194717</v>
      </c>
      <c r="G48" s="23">
        <f>IFERROR(__xludf.DUMMYFUNCTION("""COMPUTED_VALUE"""),0.3448485962573005)</f>
        <v>0.3448485963</v>
      </c>
      <c r="H48" s="4"/>
      <c r="I48" s="5" t="s">
        <v>2468</v>
      </c>
      <c r="J48" s="5" t="s">
        <v>2352</v>
      </c>
      <c r="K48" s="24">
        <v>187.0</v>
      </c>
      <c r="L48" s="5">
        <v>-0.809252</v>
      </c>
      <c r="M48" s="5">
        <v>1.834812</v>
      </c>
      <c r="N48" s="5">
        <v>1.025561</v>
      </c>
      <c r="O48" s="5">
        <v>0.175886</v>
      </c>
    </row>
    <row r="49">
      <c r="A49" s="12" t="str">
        <f>IFERROR(__xludf.DUMMYFUNCTION("""COMPUTED_VALUE"""),"Rokas Jokubaitis")</f>
        <v>Rokas Jokubaitis</v>
      </c>
      <c r="B49" s="13" t="str">
        <f>IFERROR(__xludf.DUMMYFUNCTION("""COMPUTED_VALUE"""),"ZAL")</f>
        <v>ZAL</v>
      </c>
      <c r="C49" s="14">
        <f>IFERROR(__xludf.DUMMYFUNCTION("""COMPUTED_VALUE"""),38.6)</f>
        <v>38.6</v>
      </c>
      <c r="D49" s="15">
        <f>IFERROR(__xludf.DUMMYFUNCTION("""COMPUTED_VALUE"""),0.6714156619863939)</f>
        <v>0.671415662</v>
      </c>
      <c r="E49" s="15">
        <f>IFERROR(__xludf.DUMMYFUNCTION("""COMPUTED_VALUE"""),0.09991617104895578)</f>
        <v>0.09991617105</v>
      </c>
      <c r="F49" s="15">
        <f>IFERROR(__xludf.DUMMYFUNCTION("""COMPUTED_VALUE"""),0.7713318330353497)</f>
        <v>0.771331833</v>
      </c>
      <c r="G49" s="17">
        <f>IFERROR(__xludf.DUMMYFUNCTION("""COMPUTED_VALUE"""),0.03261592600028913)</f>
        <v>0.032615926</v>
      </c>
      <c r="H49" s="4"/>
      <c r="I49" s="5" t="s">
        <v>2470</v>
      </c>
      <c r="J49" s="5" t="s">
        <v>2471</v>
      </c>
      <c r="K49" s="24">
        <v>846.0</v>
      </c>
      <c r="L49" s="5">
        <v>2.178964</v>
      </c>
      <c r="M49" s="5">
        <v>-1.208567</v>
      </c>
      <c r="N49" s="5">
        <v>0.970397</v>
      </c>
      <c r="O49" s="5">
        <v>0.765996</v>
      </c>
    </row>
    <row r="50">
      <c r="A50" s="18" t="str">
        <f>IFERROR(__xludf.DUMMYFUNCTION("""COMPUTED_VALUE"""),"Martynas Arlauskas")</f>
        <v>Martynas Arlauskas</v>
      </c>
      <c r="B50" s="19" t="str">
        <f>IFERROR(__xludf.DUMMYFUNCTION("""COMPUTED_VALUE"""),"ZAL")</f>
        <v>ZAL</v>
      </c>
      <c r="C50" s="20">
        <f>IFERROR(__xludf.DUMMYFUNCTION("""COMPUTED_VALUE"""),114.6)</f>
        <v>114.6</v>
      </c>
      <c r="D50" s="21">
        <f>IFERROR(__xludf.DUMMYFUNCTION("""COMPUTED_VALUE"""),-0.212182567516896)</f>
        <v>-0.2121825675</v>
      </c>
      <c r="E50" s="21">
        <f>IFERROR(__xludf.DUMMYFUNCTION("""COMPUTED_VALUE"""),0.9510929100370532)</f>
        <v>0.95109291</v>
      </c>
      <c r="F50" s="21">
        <f>IFERROR(__xludf.DUMMYFUNCTION("""COMPUTED_VALUE"""),0.7389103425201572)</f>
        <v>0.7389103425</v>
      </c>
      <c r="G50" s="23">
        <f>IFERROR(__xludf.DUMMYFUNCTION("""COMPUTED_VALUE"""),0.09570096383216255)</f>
        <v>0.09570096383</v>
      </c>
      <c r="H50" s="4"/>
      <c r="I50" s="5" t="s">
        <v>2475</v>
      </c>
      <c r="J50" s="5" t="s">
        <v>2405</v>
      </c>
      <c r="K50" s="24">
        <v>805.0</v>
      </c>
      <c r="L50" s="5">
        <v>3.149008</v>
      </c>
      <c r="M50" s="5">
        <v>-2.214283</v>
      </c>
      <c r="N50" s="5">
        <v>0.934725</v>
      </c>
      <c r="O50" s="5">
        <v>0.715884</v>
      </c>
    </row>
    <row r="51">
      <c r="A51" s="12" t="str">
        <f>IFERROR(__xludf.DUMMYFUNCTION("""COMPUTED_VALUE"""),"Aidas Einikis")</f>
        <v>Aidas Einikis</v>
      </c>
      <c r="B51" s="13" t="str">
        <f>IFERROR(__xludf.DUMMYFUNCTION("""COMPUTED_VALUE"""),"NEP")</f>
        <v>NEP</v>
      </c>
      <c r="C51" s="14">
        <f>IFERROR(__xludf.DUMMYFUNCTION("""COMPUTED_VALUE"""),48.1)</f>
        <v>48.1</v>
      </c>
      <c r="D51" s="15">
        <f>IFERROR(__xludf.DUMMYFUNCTION("""COMPUTED_VALUE"""),1.0465506355430396)</f>
        <v>1.046550636</v>
      </c>
      <c r="E51" s="15">
        <f>IFERROR(__xludf.DUMMYFUNCTION("""COMPUTED_VALUE"""),-0.4038884837780815)</f>
        <v>-0.4038884838</v>
      </c>
      <c r="F51" s="15">
        <f>IFERROR(__xludf.DUMMYFUNCTION("""COMPUTED_VALUE"""),0.6426621517649581)</f>
        <v>0.6426621518</v>
      </c>
      <c r="G51" s="17">
        <f>IFERROR(__xludf.DUMMYFUNCTION("""COMPUTED_VALUE"""),0.04032918680859525)</f>
        <v>0.04032918681</v>
      </c>
      <c r="H51" s="4"/>
      <c r="I51" s="5" t="s">
        <v>725</v>
      </c>
      <c r="J51" s="5" t="s">
        <v>2477</v>
      </c>
      <c r="K51" s="5">
        <v>390.0</v>
      </c>
      <c r="L51" s="5">
        <v>-1.899605</v>
      </c>
      <c r="M51" s="5">
        <v>2.800786</v>
      </c>
      <c r="N51" s="5">
        <v>0.901181</v>
      </c>
      <c r="O51" s="5">
        <v>0.344713</v>
      </c>
    </row>
    <row r="52">
      <c r="A52" s="18" t="str">
        <f>IFERROR(__xludf.DUMMYFUNCTION("""COMPUTED_VALUE"""),"Egidijus Mockevicius")</f>
        <v>Egidijus Mockevicius</v>
      </c>
      <c r="B52" s="19" t="str">
        <f>IFERROR(__xludf.DUMMYFUNCTION("""COMPUTED_VALUE"""),"LIE")</f>
        <v>LIE</v>
      </c>
      <c r="C52" s="20">
        <f>IFERROR(__xludf.DUMMYFUNCTION("""COMPUTED_VALUE"""),200.7)</f>
        <v>200.7</v>
      </c>
      <c r="D52" s="21">
        <f>IFERROR(__xludf.DUMMYFUNCTION("""COMPUTED_VALUE"""),-0.9090108975193334)</f>
        <v>-0.9090108975</v>
      </c>
      <c r="E52" s="21">
        <f>IFERROR(__xludf.DUMMYFUNCTION("""COMPUTED_VALUE"""),1.5277532793309772)</f>
        <v>1.527753279</v>
      </c>
      <c r="F52" s="21">
        <f>IFERROR(__xludf.DUMMYFUNCTION("""COMPUTED_VALUE"""),0.6187423818116436)</f>
        <v>0.6187423818</v>
      </c>
      <c r="G52" s="23">
        <f>IFERROR(__xludf.DUMMYFUNCTION("""COMPUTED_VALUE"""),0.1641219527837181)</f>
        <v>0.1641219528</v>
      </c>
      <c r="H52" s="4"/>
      <c r="I52" s="5" t="s">
        <v>295</v>
      </c>
      <c r="J52" s="5" t="s">
        <v>76</v>
      </c>
      <c r="K52" s="24">
        <v>115.0</v>
      </c>
      <c r="L52" s="5">
        <v>-0.288204</v>
      </c>
      <c r="M52" s="5">
        <v>1.125761</v>
      </c>
      <c r="N52" s="5">
        <v>0.837557</v>
      </c>
      <c r="O52" s="5">
        <v>0.099143</v>
      </c>
    </row>
    <row r="53">
      <c r="A53" s="12" t="str">
        <f>IFERROR(__xludf.DUMMYFUNCTION("""COMPUTED_VALUE"""),"Loukas Mavrokefalidis")</f>
        <v>Loukas Mavrokefalidis</v>
      </c>
      <c r="B53" s="13" t="str">
        <f>IFERROR(__xludf.DUMMYFUNCTION("""COMPUTED_VALUE"""),"LIE")</f>
        <v>LIE</v>
      </c>
      <c r="C53" s="14">
        <f>IFERROR(__xludf.DUMMYFUNCTION("""COMPUTED_VALUE"""),826.8)</f>
        <v>826.8</v>
      </c>
      <c r="D53" s="15">
        <f>IFERROR(__xludf.DUMMYFUNCTION("""COMPUTED_VALUE"""),0.35834628164292825)</f>
        <v>0.3583462816</v>
      </c>
      <c r="E53" s="15">
        <f>IFERROR(__xludf.DUMMYFUNCTION("""COMPUTED_VALUE"""),0.25344548099377373)</f>
        <v>0.253445481</v>
      </c>
      <c r="F53" s="15">
        <f>IFERROR(__xludf.DUMMYFUNCTION("""COMPUTED_VALUE"""),0.611791762636702)</f>
        <v>0.6117917626</v>
      </c>
      <c r="G53" s="17">
        <f>IFERROR(__xludf.DUMMYFUNCTION("""COMPUTED_VALUE"""),0.6743192256360326)</f>
        <v>0.6743192256</v>
      </c>
      <c r="H53" s="4"/>
      <c r="I53" s="5" t="s">
        <v>2482</v>
      </c>
      <c r="J53" s="5" t="s">
        <v>76</v>
      </c>
      <c r="K53" s="24">
        <v>39.0</v>
      </c>
      <c r="L53" s="5">
        <v>0.648261</v>
      </c>
      <c r="M53" s="5">
        <v>0.158728</v>
      </c>
      <c r="N53" s="5">
        <v>0.80699</v>
      </c>
      <c r="O53" s="5">
        <v>0.033034</v>
      </c>
    </row>
    <row r="54">
      <c r="A54" s="18" t="str">
        <f>IFERROR(__xludf.DUMMYFUNCTION("""COMPUTED_VALUE"""),"Rihards Kuksiks")</f>
        <v>Rihards Kuksiks</v>
      </c>
      <c r="B54" s="19" t="str">
        <f>IFERROR(__xludf.DUMMYFUNCTION("""COMPUTED_VALUE"""),"KED")</f>
        <v>KED</v>
      </c>
      <c r="C54" s="20">
        <f>IFERROR(__xludf.DUMMYFUNCTION("""COMPUTED_VALUE"""),132.2)</f>
        <v>132.2</v>
      </c>
      <c r="D54" s="21">
        <f>IFERROR(__xludf.DUMMYFUNCTION("""COMPUTED_VALUE"""),2.677371104035704)</f>
        <v>2.677371104</v>
      </c>
      <c r="E54" s="21">
        <f>IFERROR(__xludf.DUMMYFUNCTION("""COMPUTED_VALUE"""),-2.0980278406208095)</f>
        <v>-2.098027841</v>
      </c>
      <c r="F54" s="21">
        <f>IFERROR(__xludf.DUMMYFUNCTION("""COMPUTED_VALUE"""),0.5793432634148946)</f>
        <v>0.5793432634</v>
      </c>
      <c r="G54" s="23">
        <f>IFERROR(__xludf.DUMMYFUNCTION("""COMPUTED_VALUE"""),0.1096966900187322)</f>
        <v>0.10969669</v>
      </c>
      <c r="H54" s="4"/>
      <c r="I54" s="5" t="s">
        <v>2486</v>
      </c>
      <c r="J54" s="5" t="s">
        <v>2356</v>
      </c>
      <c r="K54" s="24">
        <v>48.0</v>
      </c>
      <c r="L54" s="5">
        <v>1.080401</v>
      </c>
      <c r="M54" s="5">
        <v>-0.391261</v>
      </c>
      <c r="N54" s="5">
        <v>0.68914</v>
      </c>
      <c r="O54" s="5">
        <v>0.041417</v>
      </c>
    </row>
    <row r="55">
      <c r="A55" s="12" t="str">
        <f>IFERROR(__xludf.DUMMYFUNCTION("""COMPUTED_VALUE"""),"Karolis Lukosiunas")</f>
        <v>Karolis Lukosiunas</v>
      </c>
      <c r="B55" s="13" t="str">
        <f>IFERROR(__xludf.DUMMYFUNCTION("""COMPUTED_VALUE"""),"SIA")</f>
        <v>SIA</v>
      </c>
      <c r="C55" s="14">
        <f>IFERROR(__xludf.DUMMYFUNCTION("""COMPUTED_VALUE"""),50.0)</f>
        <v>50</v>
      </c>
      <c r="D55" s="15">
        <f>IFERROR(__xludf.DUMMYFUNCTION("""COMPUTED_VALUE"""),1.187705464663358)</f>
        <v>1.187705465</v>
      </c>
      <c r="E55" s="15">
        <f>IFERROR(__xludf.DUMMYFUNCTION("""COMPUTED_VALUE"""),-0.7294486550422506)</f>
        <v>-0.729448655</v>
      </c>
      <c r="F55" s="15">
        <f>IFERROR(__xludf.DUMMYFUNCTION("""COMPUTED_VALUE"""),0.4582568096211074)</f>
        <v>0.4582568096</v>
      </c>
      <c r="G55" s="17">
        <f>IFERROR(__xludf.DUMMYFUNCTION("""COMPUTED_VALUE"""),0.03724113539391198)</f>
        <v>0.03724113539</v>
      </c>
      <c r="H55" s="4"/>
      <c r="I55" s="5" t="s">
        <v>2333</v>
      </c>
      <c r="J55" s="5" t="s">
        <v>2488</v>
      </c>
      <c r="K55" s="24">
        <v>132.0</v>
      </c>
      <c r="L55" s="5">
        <v>2.658673</v>
      </c>
      <c r="M55" s="5">
        <v>-1.9856</v>
      </c>
      <c r="N55" s="5">
        <v>0.673073</v>
      </c>
      <c r="O55" s="5">
        <v>0.11322</v>
      </c>
    </row>
    <row r="56">
      <c r="A56" s="18" t="str">
        <f>IFERROR(__xludf.DUMMYFUNCTION("""COMPUTED_VALUE"""),"Gintautas Matulis")</f>
        <v>Gintautas Matulis</v>
      </c>
      <c r="B56" s="19" t="str">
        <f>IFERROR(__xludf.DUMMYFUNCTION("""COMPUTED_VALUE"""),"KED")</f>
        <v>KED</v>
      </c>
      <c r="C56" s="20">
        <f>IFERROR(__xludf.DUMMYFUNCTION("""COMPUTED_VALUE"""),865.8)</f>
        <v>865.8</v>
      </c>
      <c r="D56" s="21">
        <f>IFERROR(__xludf.DUMMYFUNCTION("""COMPUTED_VALUE"""),0.809606219891068)</f>
        <v>0.8096062199</v>
      </c>
      <c r="E56" s="21">
        <f>IFERROR(__xludf.DUMMYFUNCTION("""COMPUTED_VALUE"""),-0.4562944700880177)</f>
        <v>-0.4562944701</v>
      </c>
      <c r="F56" s="21">
        <f>IFERROR(__xludf.DUMMYFUNCTION("""COMPUTED_VALUE"""),0.35331174980305025)</f>
        <v>0.3533117498</v>
      </c>
      <c r="G56" s="23">
        <f>IFERROR(__xludf.DUMMYFUNCTION("""COMPUTED_VALUE"""),0.6554656999199191)</f>
        <v>0.6554656999</v>
      </c>
      <c r="H56" s="4"/>
      <c r="I56" s="5" t="s">
        <v>2491</v>
      </c>
      <c r="J56" s="5" t="s">
        <v>2352</v>
      </c>
      <c r="K56" s="24">
        <v>693.0</v>
      </c>
      <c r="L56" s="5">
        <v>0.770261</v>
      </c>
      <c r="M56" s="5">
        <v>-0.200358</v>
      </c>
      <c r="N56" s="5">
        <v>0.569903</v>
      </c>
      <c r="O56" s="5">
        <v>0.55349</v>
      </c>
    </row>
    <row r="57">
      <c r="A57" s="12" t="str">
        <f>IFERROR(__xludf.DUMMYFUNCTION("""COMPUTED_VALUE"""),"Kenny Gaines")</f>
        <v>Kenny Gaines</v>
      </c>
      <c r="B57" s="13" t="str">
        <f>IFERROR(__xludf.DUMMYFUNCTION("""COMPUTED_VALUE"""),"JUV")</f>
        <v>JUV</v>
      </c>
      <c r="C57" s="14">
        <f>IFERROR(__xludf.DUMMYFUNCTION("""COMPUTED_VALUE"""),137.5)</f>
        <v>137.5</v>
      </c>
      <c r="D57" s="15">
        <f>IFERROR(__xludf.DUMMYFUNCTION("""COMPUTED_VALUE"""),0.38850992921272215)</f>
        <v>0.3885099292</v>
      </c>
      <c r="E57" s="15">
        <f>IFERROR(__xludf.DUMMYFUNCTION("""COMPUTED_VALUE"""),-0.04738968947341349)</f>
        <v>-0.04738968947</v>
      </c>
      <c r="F57" s="15">
        <f>IFERROR(__xludf.DUMMYFUNCTION("""COMPUTED_VALUE"""),0.34112023973930866)</f>
        <v>0.3411202397</v>
      </c>
      <c r="G57" s="17">
        <f>IFERROR(__xludf.DUMMYFUNCTION("""COMPUTED_VALUE"""),0.09783167316632133)</f>
        <v>0.09783167317</v>
      </c>
      <c r="H57" s="4"/>
      <c r="I57" s="5" t="s">
        <v>2493</v>
      </c>
      <c r="J57" s="5" t="s">
        <v>2405</v>
      </c>
      <c r="K57" s="24">
        <v>50.0</v>
      </c>
      <c r="L57" s="5">
        <v>1.169791</v>
      </c>
      <c r="M57" s="5">
        <v>-0.711256</v>
      </c>
      <c r="N57" s="5">
        <v>0.458535</v>
      </c>
      <c r="O57" s="5">
        <v>0.037245</v>
      </c>
    </row>
    <row r="58">
      <c r="A58" s="18" t="str">
        <f>IFERROR(__xludf.DUMMYFUNCTION("""COMPUTED_VALUE"""),"Damon Lynn")</f>
        <v>Damon Lynn</v>
      </c>
      <c r="B58" s="19" t="str">
        <f>IFERROR(__xludf.DUMMYFUNCTION("""COMPUTED_VALUE"""),"SIA")</f>
        <v>SIA</v>
      </c>
      <c r="C58" s="20">
        <f>IFERROR(__xludf.DUMMYFUNCTION("""COMPUTED_VALUE"""),29.1)</f>
        <v>29.1</v>
      </c>
      <c r="D58" s="21">
        <f>IFERROR(__xludf.DUMMYFUNCTION("""COMPUTED_VALUE"""),0.37743888139169696)</f>
        <v>0.3774388814</v>
      </c>
      <c r="E58" s="21">
        <f>IFERROR(__xludf.DUMMYFUNCTION("""COMPUTED_VALUE"""),-0.13451740344559893)</f>
        <v>-0.1345174034</v>
      </c>
      <c r="F58" s="21">
        <f>IFERROR(__xludf.DUMMYFUNCTION("""COMPUTED_VALUE"""),0.24292147794609803)</f>
        <v>0.2429214779</v>
      </c>
      <c r="G58" s="23">
        <f>IFERROR(__xludf.DUMMYFUNCTION("""COMPUTED_VALUE"""),0.019775738770950176)</f>
        <v>0.01977573877</v>
      </c>
      <c r="H58" s="4"/>
      <c r="I58" s="5" t="s">
        <v>1911</v>
      </c>
      <c r="J58" s="5" t="s">
        <v>2352</v>
      </c>
      <c r="K58" s="5">
        <v>233.0</v>
      </c>
      <c r="L58" s="5">
        <v>0.007679</v>
      </c>
      <c r="M58" s="5">
        <v>0.40391</v>
      </c>
      <c r="N58" s="5">
        <v>0.411589</v>
      </c>
      <c r="O58" s="5">
        <v>0.17438</v>
      </c>
    </row>
    <row r="59">
      <c r="A59" s="12" t="str">
        <f>IFERROR(__xludf.DUMMYFUNCTION("""COMPUTED_VALUE"""),"Vytas Sulskis")</f>
        <v>Vytas Sulskis</v>
      </c>
      <c r="B59" s="13" t="str">
        <f>IFERROR(__xludf.DUMMYFUNCTION("""COMPUTED_VALUE"""),"NEP")</f>
        <v>NEP</v>
      </c>
      <c r="C59" s="14">
        <f>IFERROR(__xludf.DUMMYFUNCTION("""COMPUTED_VALUE"""),723.2)</f>
        <v>723.2</v>
      </c>
      <c r="D59" s="15">
        <f>IFERROR(__xludf.DUMMYFUNCTION("""COMPUTED_VALUE"""),-1.2745245498599127)</f>
        <v>-1.27452455</v>
      </c>
      <c r="E59" s="15">
        <f>IFERROR(__xludf.DUMMYFUNCTION("""COMPUTED_VALUE"""),1.4265841619040691)</f>
        <v>1.426584162</v>
      </c>
      <c r="F59" s="15">
        <f>IFERROR(__xludf.DUMMYFUNCTION("""COMPUTED_VALUE"""),0.1520596120441564)</f>
        <v>0.152059612</v>
      </c>
      <c r="G59" s="17">
        <f>IFERROR(__xludf.DUMMYFUNCTION("""COMPUTED_VALUE"""),0.49379360191755983)</f>
        <v>0.4937936019</v>
      </c>
      <c r="H59" s="4"/>
      <c r="I59" s="5" t="s">
        <v>2497</v>
      </c>
      <c r="J59" s="5" t="s">
        <v>2488</v>
      </c>
      <c r="K59" s="24">
        <v>799.0</v>
      </c>
      <c r="L59" s="5">
        <v>-0.309252</v>
      </c>
      <c r="M59" s="5">
        <v>0.710449</v>
      </c>
      <c r="N59" s="5">
        <v>0.401197</v>
      </c>
      <c r="O59" s="5">
        <v>0.614688</v>
      </c>
    </row>
    <row r="60">
      <c r="A60" s="18" t="str">
        <f>IFERROR(__xludf.DUMMYFUNCTION("""COMPUTED_VALUE"""),"Ryan Harrow")</f>
        <v>Ryan Harrow</v>
      </c>
      <c r="B60" s="19" t="str">
        <f>IFERROR(__xludf.DUMMYFUNCTION("""COMPUTED_VALUE"""),"PZV")</f>
        <v>PZV</v>
      </c>
      <c r="C60" s="20">
        <f>IFERROR(__xludf.DUMMYFUNCTION("""COMPUTED_VALUE"""),121.9)</f>
        <v>121.9</v>
      </c>
      <c r="D60" s="21">
        <f>IFERROR(__xludf.DUMMYFUNCTION("""COMPUTED_VALUE"""),0.8791926307749156)</f>
        <v>0.8791926308</v>
      </c>
      <c r="E60" s="21">
        <f>IFERROR(__xludf.DUMMYFUNCTION("""COMPUTED_VALUE"""),-0.8317511767449463)</f>
        <v>-0.8317511767</v>
      </c>
      <c r="F60" s="21">
        <f>IFERROR(__xludf.DUMMYFUNCTION("""COMPUTED_VALUE"""),0.0474414540299694)</f>
        <v>0.04744145403</v>
      </c>
      <c r="G60" s="23">
        <f>IFERROR(__xludf.DUMMYFUNCTION("""COMPUTED_VALUE"""),0.07611334374460697)</f>
        <v>0.07611334374</v>
      </c>
      <c r="H60" s="4"/>
      <c r="I60" s="5" t="s">
        <v>2501</v>
      </c>
      <c r="J60" s="5" t="s">
        <v>2431</v>
      </c>
      <c r="K60" s="24">
        <v>138.0</v>
      </c>
      <c r="L60" s="5">
        <v>0.337205</v>
      </c>
      <c r="M60" s="5">
        <v>0.003003</v>
      </c>
      <c r="N60" s="5">
        <v>0.340208</v>
      </c>
      <c r="O60" s="5">
        <v>0.097794</v>
      </c>
    </row>
    <row r="61">
      <c r="A61" s="12" t="str">
        <f>IFERROR(__xludf.DUMMYFUNCTION("""COMPUTED_VALUE"""),"Robert Carter, Jr.")</f>
        <v>Robert Carter, Jr.</v>
      </c>
      <c r="B61" s="13" t="str">
        <f>IFERROR(__xludf.DUMMYFUNCTION("""COMPUTED_VALUE"""),"LIE")</f>
        <v>LIE</v>
      </c>
      <c r="C61" s="14">
        <f>IFERROR(__xludf.DUMMYFUNCTION("""COMPUTED_VALUE"""),232.6)</f>
        <v>232.6</v>
      </c>
      <c r="D61" s="15">
        <f>IFERROR(__xludf.DUMMYFUNCTION("""COMPUTED_VALUE"""),0.05834316298600342)</f>
        <v>0.05834316299</v>
      </c>
      <c r="E61" s="15">
        <f>IFERROR(__xludf.DUMMYFUNCTION("""COMPUTED_VALUE"""),-0.014119601863663213)</f>
        <v>-0.01411960186</v>
      </c>
      <c r="F61" s="15">
        <f>IFERROR(__xludf.DUMMYFUNCTION("""COMPUTED_VALUE"""),0.04422356112234021)</f>
        <v>0.04422356112</v>
      </c>
      <c r="G61" s="17">
        <f>IFERROR(__xludf.DUMMYFUNCTION("""COMPUTED_VALUE"""),0.14847886062156082)</f>
        <v>0.1484788606</v>
      </c>
      <c r="H61" s="4"/>
      <c r="I61" s="5" t="s">
        <v>2504</v>
      </c>
      <c r="J61" s="5" t="s">
        <v>2405</v>
      </c>
      <c r="K61" s="24">
        <v>29.0</v>
      </c>
      <c r="L61" s="5">
        <v>0.366932</v>
      </c>
      <c r="M61" s="5">
        <v>-0.123915</v>
      </c>
      <c r="N61" s="5">
        <v>0.243017</v>
      </c>
      <c r="O61" s="5">
        <v>0.019777</v>
      </c>
    </row>
    <row r="62">
      <c r="A62" s="18" t="str">
        <f>IFERROR(__xludf.DUMMYFUNCTION("""COMPUTED_VALUE"""),"Gabas Maldunas")</f>
        <v>Gabas Maldunas</v>
      </c>
      <c r="B62" s="19" t="str">
        <f>IFERROR(__xludf.DUMMYFUNCTION("""COMPUTED_VALUE"""),"KED")</f>
        <v>KED</v>
      </c>
      <c r="C62" s="20">
        <f>IFERROR(__xludf.DUMMYFUNCTION("""COMPUTED_VALUE"""),859.5)</f>
        <v>859.5</v>
      </c>
      <c r="D62" s="21">
        <f>IFERROR(__xludf.DUMMYFUNCTION("""COMPUTED_VALUE"""),-0.44623923391936116)</f>
        <v>-0.4462392339</v>
      </c>
      <c r="E62" s="21">
        <f>IFERROR(__xludf.DUMMYFUNCTION("""COMPUTED_VALUE"""),0.4277172477893164)</f>
        <v>0.4277172478</v>
      </c>
      <c r="F62" s="21">
        <f>IFERROR(__xludf.DUMMYFUNCTION("""COMPUTED_VALUE"""),-0.018521986130044743)</f>
        <v>-0.01852198613</v>
      </c>
      <c r="G62" s="23">
        <f>IFERROR(__xludf.DUMMYFUNCTION("""COMPUTED_VALUE"""),0.547883301948981)</f>
        <v>0.5478833019</v>
      </c>
      <c r="H62" s="4"/>
      <c r="I62" s="5" t="s">
        <v>2507</v>
      </c>
      <c r="J62" s="5" t="s">
        <v>2488</v>
      </c>
      <c r="K62" s="24">
        <v>799.0</v>
      </c>
      <c r="L62" s="5">
        <v>0.294047</v>
      </c>
      <c r="M62" s="5">
        <v>-0.236557</v>
      </c>
      <c r="N62" s="5">
        <v>0.05749</v>
      </c>
      <c r="O62" s="5">
        <v>0.526504</v>
      </c>
    </row>
    <row r="63">
      <c r="A63" s="12" t="str">
        <f>IFERROR(__xludf.DUMMYFUNCTION("""COMPUTED_VALUE"""),"Antanas Bertasus")</f>
        <v>Antanas Bertasus</v>
      </c>
      <c r="B63" s="13" t="str">
        <f>IFERROR(__xludf.DUMMYFUNCTION("""COMPUTED_VALUE"""),"KED")</f>
        <v>KED</v>
      </c>
      <c r="C63" s="14">
        <f>IFERROR(__xludf.DUMMYFUNCTION("""COMPUTED_VALUE"""),0.8)</f>
        <v>0.8</v>
      </c>
      <c r="D63" s="15">
        <f>IFERROR(__xludf.DUMMYFUNCTION("""COMPUTED_VALUE"""),-0.04496839608876445)</f>
        <v>-0.04496839609</v>
      </c>
      <c r="E63" s="15">
        <f>IFERROR(__xludf.DUMMYFUNCTION("""COMPUTED_VALUE"""),-0.014837855581074894)</f>
        <v>-0.01483785558</v>
      </c>
      <c r="F63" s="15">
        <f>IFERROR(__xludf.DUMMYFUNCTION("""COMPUTED_VALUE"""),-0.05980625166983934)</f>
        <v>-0.05980625167</v>
      </c>
      <c r="G63" s="17">
        <f>IFERROR(__xludf.DUMMYFUNCTION("""COMPUTED_VALUE"""),4.99330407015771E-4)</f>
        <v>0.000499330407</v>
      </c>
      <c r="H63" s="4"/>
      <c r="I63" s="5" t="s">
        <v>2511</v>
      </c>
      <c r="J63" s="5" t="s">
        <v>2408</v>
      </c>
      <c r="K63" s="24">
        <v>122.0</v>
      </c>
      <c r="L63" s="5">
        <v>0.832721</v>
      </c>
      <c r="M63" s="5">
        <v>-0.7869</v>
      </c>
      <c r="N63" s="5">
        <v>0.045822</v>
      </c>
      <c r="O63" s="5">
        <v>0.076053</v>
      </c>
    </row>
    <row r="64">
      <c r="A64" s="18" t="str">
        <f>IFERROR(__xludf.DUMMYFUNCTION("""COMPUTED_VALUE"""),"Mindaungas Kupsas")</f>
        <v>Mindaungas Kupsas</v>
      </c>
      <c r="B64" s="19" t="str">
        <f>IFERROR(__xludf.DUMMYFUNCTION("""COMPUTED_VALUE"""),"JUV")</f>
        <v>JUV</v>
      </c>
      <c r="C64" s="20">
        <f>IFERROR(__xludf.DUMMYFUNCTION("""COMPUTED_VALUE"""),868.3)</f>
        <v>868.3</v>
      </c>
      <c r="D64" s="21">
        <f>IFERROR(__xludf.DUMMYFUNCTION("""COMPUTED_VALUE"""),1.4421435234744797)</f>
        <v>1.442143523</v>
      </c>
      <c r="E64" s="21">
        <f>IFERROR(__xludf.DUMMYFUNCTION("""COMPUTED_VALUE"""),-1.558069032571163)</f>
        <v>-1.558069033</v>
      </c>
      <c r="F64" s="21">
        <f>IFERROR(__xludf.DUMMYFUNCTION("""COMPUTED_VALUE"""),-0.11592550909668331)</f>
        <v>-0.1159255091</v>
      </c>
      <c r="G64" s="23">
        <f>IFERROR(__xludf.DUMMYFUNCTION("""COMPUTED_VALUE"""),0.4971883386911011)</f>
        <v>0.4971883387</v>
      </c>
      <c r="H64" s="4"/>
      <c r="I64" s="5" t="s">
        <v>2513</v>
      </c>
      <c r="J64" s="5" t="s">
        <v>2488</v>
      </c>
      <c r="K64" s="24">
        <v>1.0</v>
      </c>
      <c r="L64" s="5">
        <v>-0.045055</v>
      </c>
      <c r="M64" s="5">
        <v>-0.014162</v>
      </c>
      <c r="N64" s="5">
        <v>-0.059216</v>
      </c>
      <c r="O64" s="5">
        <v>4.97E-4</v>
      </c>
    </row>
    <row r="65">
      <c r="A65" s="12" t="str">
        <f>IFERROR(__xludf.DUMMYFUNCTION("""COMPUTED_VALUE"""),"Tomas Rimsa")</f>
        <v>Tomas Rimsa</v>
      </c>
      <c r="B65" s="13" t="str">
        <f>IFERROR(__xludf.DUMMYFUNCTION("""COMPUTED_VALUE"""),"TEC")</f>
        <v>TEC</v>
      </c>
      <c r="C65" s="14">
        <f>IFERROR(__xludf.DUMMYFUNCTION("""COMPUTED_VALUE"""),6.9)</f>
        <v>6.9</v>
      </c>
      <c r="D65" s="15">
        <f>IFERROR(__xludf.DUMMYFUNCTION("""COMPUTED_VALUE"""),0.059714827131570954)</f>
        <v>0.05971482713</v>
      </c>
      <c r="E65" s="15">
        <f>IFERROR(__xludf.DUMMYFUNCTION("""COMPUTED_VALUE"""),-0.19274406801936922)</f>
        <v>-0.192744068</v>
      </c>
      <c r="F65" s="15">
        <f>IFERROR(__xludf.DUMMYFUNCTION("""COMPUTED_VALUE"""),-0.13302924088779827)</f>
        <v>-0.1330292409</v>
      </c>
      <c r="G65" s="17">
        <f>IFERROR(__xludf.DUMMYFUNCTION("""COMPUTED_VALUE"""),0.003917092846039688)</f>
        <v>0.003917092846</v>
      </c>
      <c r="H65" s="4"/>
      <c r="I65" s="5" t="s">
        <v>2304</v>
      </c>
      <c r="J65" s="5" t="s">
        <v>2488</v>
      </c>
      <c r="K65" s="24">
        <v>674.0</v>
      </c>
      <c r="L65" s="5">
        <v>0.4518</v>
      </c>
      <c r="M65" s="5">
        <v>-0.556381</v>
      </c>
      <c r="N65" s="5">
        <v>-0.104581</v>
      </c>
      <c r="O65" s="5">
        <v>0.409061</v>
      </c>
    </row>
    <row r="66">
      <c r="A66" s="18" t="str">
        <f>IFERROR(__xludf.DUMMYFUNCTION("""COMPUTED_VALUE"""),"Ugnius Nikitinas")</f>
        <v>Ugnius Nikitinas</v>
      </c>
      <c r="B66" s="19" t="str">
        <f>IFERROR(__xludf.DUMMYFUNCTION("""COMPUTED_VALUE"""),"JUV")</f>
        <v>JUV</v>
      </c>
      <c r="C66" s="20">
        <f>IFERROR(__xludf.DUMMYFUNCTION("""COMPUTED_VALUE"""),1.9)</f>
        <v>1.9</v>
      </c>
      <c r="D66" s="21">
        <f>IFERROR(__xludf.DUMMYFUNCTION("""COMPUTED_VALUE"""),-0.15119539838548485)</f>
        <v>-0.1511953984</v>
      </c>
      <c r="E66" s="21">
        <f>IFERROR(__xludf.DUMMYFUNCTION("""COMPUTED_VALUE"""),-0.050688447246008156)</f>
        <v>-0.05068844725</v>
      </c>
      <c r="F66" s="21">
        <f>IFERROR(__xludf.DUMMYFUNCTION("""COMPUTED_VALUE"""),-0.201883845631493)</f>
        <v>-0.2018838456</v>
      </c>
      <c r="G66" s="23">
        <f>IFERROR(__xludf.DUMMYFUNCTION("""COMPUTED_VALUE"""),0.0010383037130287107)</f>
        <v>0.001038303713</v>
      </c>
      <c r="H66" s="4"/>
      <c r="I66" s="5" t="s">
        <v>2518</v>
      </c>
      <c r="J66" s="5" t="s">
        <v>2431</v>
      </c>
      <c r="K66" s="24">
        <v>868.0</v>
      </c>
      <c r="L66" s="5">
        <v>1.329988</v>
      </c>
      <c r="M66" s="5">
        <v>-1.448082</v>
      </c>
      <c r="N66" s="5">
        <v>-0.118094</v>
      </c>
      <c r="O66" s="5">
        <v>0.496616</v>
      </c>
    </row>
    <row r="67">
      <c r="A67" s="12" t="str">
        <f>IFERROR(__xludf.DUMMYFUNCTION("""COMPUTED_VALUE"""),"Martynas Linkevicius")</f>
        <v>Martynas Linkevicius</v>
      </c>
      <c r="B67" s="13" t="str">
        <f>IFERROR(__xludf.DUMMYFUNCTION("""COMPUTED_VALUE"""),"PRI")</f>
        <v>PRI</v>
      </c>
      <c r="C67" s="14">
        <f>IFERROR(__xludf.DUMMYFUNCTION("""COMPUTED_VALUE"""),596.5)</f>
        <v>596.5</v>
      </c>
      <c r="D67" s="15">
        <f>IFERROR(__xludf.DUMMYFUNCTION("""COMPUTED_VALUE"""),0.31903316265459947)</f>
        <v>0.3190331627</v>
      </c>
      <c r="E67" s="15">
        <f>IFERROR(__xludf.DUMMYFUNCTION("""COMPUTED_VALUE"""),-0.5332057629682805)</f>
        <v>-0.533205763</v>
      </c>
      <c r="F67" s="15">
        <f>IFERROR(__xludf.DUMMYFUNCTION("""COMPUTED_VALUE"""),-0.21417260031368102)</f>
        <v>-0.2141726003</v>
      </c>
      <c r="G67" s="17">
        <f>IFERROR(__xludf.DUMMYFUNCTION("""COMPUTED_VALUE"""),0.32463036393260236)</f>
        <v>0.3246303639</v>
      </c>
      <c r="H67" s="4"/>
      <c r="I67" s="5" t="s">
        <v>2520</v>
      </c>
      <c r="J67" s="5" t="s">
        <v>2400</v>
      </c>
      <c r="K67" s="24">
        <v>7.0</v>
      </c>
      <c r="L67" s="5">
        <v>0.059216</v>
      </c>
      <c r="M67" s="5">
        <v>-0.18759</v>
      </c>
      <c r="N67" s="5">
        <v>-0.128374</v>
      </c>
      <c r="O67" s="5">
        <v>0.003925</v>
      </c>
    </row>
    <row r="68">
      <c r="A68" s="18" t="str">
        <f>IFERROR(__xludf.DUMMYFUNCTION("""COMPUTED_VALUE"""),"Giedrius Stankevicius")</f>
        <v>Giedrius Stankevicius</v>
      </c>
      <c r="B68" s="19" t="str">
        <f>IFERROR(__xludf.DUMMYFUNCTION("""COMPUTED_VALUE"""),"SIA")</f>
        <v>SIA</v>
      </c>
      <c r="C68" s="20">
        <f>IFERROR(__xludf.DUMMYFUNCTION("""COMPUTED_VALUE"""),157.1)</f>
        <v>157.1</v>
      </c>
      <c r="D68" s="21">
        <f>IFERROR(__xludf.DUMMYFUNCTION("""COMPUTED_VALUE"""),0.32568070446774916)</f>
        <v>0.3256807045</v>
      </c>
      <c r="E68" s="21">
        <f>IFERROR(__xludf.DUMMYFUNCTION("""COMPUTED_VALUE"""),-0.6136244790795062)</f>
        <v>-0.6136244791</v>
      </c>
      <c r="F68" s="21">
        <f>IFERROR(__xludf.DUMMYFUNCTION("""COMPUTED_VALUE"""),-0.28794377461175713)</f>
        <v>-0.2879437746</v>
      </c>
      <c r="G68" s="23">
        <f>IFERROR(__xludf.DUMMYFUNCTION("""COMPUTED_VALUE"""),0.08149291750283608)</f>
        <v>0.0814929175</v>
      </c>
      <c r="H68" s="4"/>
      <c r="I68" s="5" t="s">
        <v>2523</v>
      </c>
      <c r="J68" s="5" t="s">
        <v>2356</v>
      </c>
      <c r="K68" s="5">
        <v>606.0</v>
      </c>
      <c r="L68" s="5">
        <v>0.380584</v>
      </c>
      <c r="M68" s="5">
        <v>-0.525265</v>
      </c>
      <c r="N68" s="5">
        <v>-0.144681</v>
      </c>
      <c r="O68" s="5">
        <v>0.359832</v>
      </c>
    </row>
    <row r="69">
      <c r="A69" s="12" t="str">
        <f>IFERROR(__xludf.DUMMYFUNCTION("""COMPUTED_VALUE"""),"Ben Madgen")</f>
        <v>Ben Madgen</v>
      </c>
      <c r="B69" s="13" t="str">
        <f>IFERROR(__xludf.DUMMYFUNCTION("""COMPUTED_VALUE"""),"LIE")</f>
        <v>LIE</v>
      </c>
      <c r="C69" s="14">
        <f>IFERROR(__xludf.DUMMYFUNCTION("""COMPUTED_VALUE"""),904.4)</f>
        <v>904.4</v>
      </c>
      <c r="D69" s="15">
        <f>IFERROR(__xludf.DUMMYFUNCTION("""COMPUTED_VALUE"""),0.06375916606978427)</f>
        <v>0.06375916607</v>
      </c>
      <c r="E69" s="15">
        <f>IFERROR(__xludf.DUMMYFUNCTION("""COMPUTED_VALUE"""),-0.3521888827593411)</f>
        <v>-0.3521888828</v>
      </c>
      <c r="F69" s="15">
        <f>IFERROR(__xludf.DUMMYFUNCTION("""COMPUTED_VALUE"""),-0.28842971668955686)</f>
        <v>-0.2884297167</v>
      </c>
      <c r="G69" s="17">
        <f>IFERROR(__xludf.DUMMYFUNCTION("""COMPUTED_VALUE"""),0.48337236492318014)</f>
        <v>0.4833723649</v>
      </c>
      <c r="H69" s="4"/>
      <c r="I69" s="5" t="s">
        <v>2526</v>
      </c>
      <c r="J69" s="5" t="s">
        <v>2431</v>
      </c>
      <c r="K69" s="24">
        <v>2.0</v>
      </c>
      <c r="L69" s="5">
        <v>-0.151911</v>
      </c>
      <c r="M69" s="5">
        <v>-0.049991</v>
      </c>
      <c r="N69" s="5">
        <v>-0.201902</v>
      </c>
      <c r="O69" s="5">
        <v>0.001038</v>
      </c>
    </row>
    <row r="70">
      <c r="A70" s="18" t="str">
        <f>IFERROR(__xludf.DUMMYFUNCTION("""COMPUTED_VALUE"""),"Sean Hill")</f>
        <v>Sean Hill</v>
      </c>
      <c r="B70" s="19" t="str">
        <f>IFERROR(__xludf.DUMMYFUNCTION("""COMPUTED_VALUE"""),"PZV")</f>
        <v>PZV</v>
      </c>
      <c r="C70" s="20">
        <f>IFERROR(__xludf.DUMMYFUNCTION("""COMPUTED_VALUE"""),10.0)</f>
        <v>10</v>
      </c>
      <c r="D70" s="21">
        <f>IFERROR(__xludf.DUMMYFUNCTION("""COMPUTED_VALUE"""),-0.28758750020275337)</f>
        <v>-0.2875875002</v>
      </c>
      <c r="E70" s="21">
        <f>IFERROR(__xludf.DUMMYFUNCTION("""COMPUTED_VALUE"""),-0.026847584209179154)</f>
        <v>-0.02684758421</v>
      </c>
      <c r="F70" s="21">
        <f>IFERROR(__xludf.DUMMYFUNCTION("""COMPUTED_VALUE"""),-0.3144350844119325)</f>
        <v>-0.3144350844</v>
      </c>
      <c r="G70" s="23">
        <f>IFERROR(__xludf.DUMMYFUNCTION("""COMPUTED_VALUE"""),0.005140331016602942)</f>
        <v>0.005140331017</v>
      </c>
      <c r="H70" s="4"/>
      <c r="I70" s="5" t="s">
        <v>2531</v>
      </c>
      <c r="J70" s="5" t="s">
        <v>2471</v>
      </c>
      <c r="K70" s="24">
        <v>597.0</v>
      </c>
      <c r="L70" s="5">
        <v>0.210838</v>
      </c>
      <c r="M70" s="5">
        <v>-0.423923</v>
      </c>
      <c r="N70" s="5">
        <v>-0.213085</v>
      </c>
      <c r="O70" s="5">
        <v>0.324828</v>
      </c>
    </row>
    <row r="71">
      <c r="A71" s="12" t="str">
        <f>IFERROR(__xludf.DUMMYFUNCTION("""COMPUTED_VALUE"""),"Valerii Likhodei")</f>
        <v>Valerii Likhodei</v>
      </c>
      <c r="B71" s="13" t="str">
        <f>IFERROR(__xludf.DUMMYFUNCTION("""COMPUTED_VALUE"""),"KED")</f>
        <v>KED</v>
      </c>
      <c r="C71" s="14">
        <f>IFERROR(__xludf.DUMMYFUNCTION("""COMPUTED_VALUE"""),673.6)</f>
        <v>673.6</v>
      </c>
      <c r="D71" s="15">
        <f>IFERROR(__xludf.DUMMYFUNCTION("""COMPUTED_VALUE"""),0.4952206313653278)</f>
        <v>0.4952206314</v>
      </c>
      <c r="E71" s="15">
        <f>IFERROR(__xludf.DUMMYFUNCTION("""COMPUTED_VALUE"""),-0.8111924603118892)</f>
        <v>-0.8111924603</v>
      </c>
      <c r="F71" s="15">
        <f>IFERROR(__xludf.DUMMYFUNCTION("""COMPUTED_VALUE"""),-0.3159718289465614)</f>
        <v>-0.3159718289</v>
      </c>
      <c r="G71" s="17">
        <f>IFERROR(__xludf.DUMMYFUNCTION("""COMPUTED_VALUE"""),0.36492562152576735)</f>
        <v>0.3649256215</v>
      </c>
      <c r="H71" s="4"/>
      <c r="I71" s="5" t="s">
        <v>2533</v>
      </c>
      <c r="J71" s="5" t="s">
        <v>2352</v>
      </c>
      <c r="K71" s="24">
        <v>70.0</v>
      </c>
      <c r="L71" s="5">
        <v>-0.715403</v>
      </c>
      <c r="M71" s="5">
        <v>0.4423</v>
      </c>
      <c r="N71" s="5">
        <v>-0.273103</v>
      </c>
      <c r="O71" s="5">
        <v>0.03774</v>
      </c>
    </row>
    <row r="72">
      <c r="A72" s="18" t="str">
        <f>IFERROR(__xludf.DUMMYFUNCTION("""COMPUTED_VALUE"""),"Jonte Flowers")</f>
        <v>Jonte Flowers</v>
      </c>
      <c r="B72" s="19" t="str">
        <f>IFERROR(__xludf.DUMMYFUNCTION("""COMPUTED_VALUE"""),"JUV")</f>
        <v>JUV</v>
      </c>
      <c r="C72" s="20">
        <f>IFERROR(__xludf.DUMMYFUNCTION("""COMPUTED_VALUE"""),379.5)</f>
        <v>379.5</v>
      </c>
      <c r="D72" s="21">
        <f>IFERROR(__xludf.DUMMYFUNCTION("""COMPUTED_VALUE"""),-1.3723652296565667)</f>
        <v>-1.37236523</v>
      </c>
      <c r="E72" s="21">
        <f>IFERROR(__xludf.DUMMYFUNCTION("""COMPUTED_VALUE"""),1.0438210844143592)</f>
        <v>1.043821084</v>
      </c>
      <c r="F72" s="21">
        <f>IFERROR(__xludf.DUMMYFUNCTION("""COMPUTED_VALUE"""),-0.32854414524220754)</f>
        <v>-0.3285441452</v>
      </c>
      <c r="G72" s="23">
        <f>IFERROR(__xludf.DUMMYFUNCTION("""COMPUTED_VALUE"""),0.19277901387899155)</f>
        <v>0.1927790139</v>
      </c>
      <c r="H72" s="4"/>
      <c r="I72" s="5" t="s">
        <v>2534</v>
      </c>
      <c r="J72" s="5" t="s">
        <v>2488</v>
      </c>
      <c r="K72" s="24">
        <v>567.0</v>
      </c>
      <c r="L72" s="5">
        <v>1.511709</v>
      </c>
      <c r="M72" s="5">
        <v>-1.797471</v>
      </c>
      <c r="N72" s="5">
        <v>-0.285763</v>
      </c>
      <c r="O72" s="5">
        <v>0.311356</v>
      </c>
    </row>
    <row r="73">
      <c r="A73" s="12" t="str">
        <f>IFERROR(__xludf.DUMMYFUNCTION("""COMPUTED_VALUE"""),"Lester Medford")</f>
        <v>Lester Medford</v>
      </c>
      <c r="B73" s="13" t="str">
        <f>IFERROR(__xludf.DUMMYFUNCTION("""COMPUTED_VALUE"""),"KED")</f>
        <v>KED</v>
      </c>
      <c r="C73" s="14">
        <f>IFERROR(__xludf.DUMMYFUNCTION("""COMPUTED_VALUE"""),626.2)</f>
        <v>626.2</v>
      </c>
      <c r="D73" s="15">
        <f>IFERROR(__xludf.DUMMYFUNCTION("""COMPUTED_VALUE"""),1.7877760366685718)</f>
        <v>1.787776037</v>
      </c>
      <c r="E73" s="15">
        <f>IFERROR(__xludf.DUMMYFUNCTION("""COMPUTED_VALUE"""),-2.121034456970185)</f>
        <v>-2.121034457</v>
      </c>
      <c r="F73" s="15">
        <f>IFERROR(__xludf.DUMMYFUNCTION("""COMPUTED_VALUE"""),-0.33325842030161335)</f>
        <v>-0.3332584203</v>
      </c>
      <c r="G73" s="17">
        <f>IFERROR(__xludf.DUMMYFUNCTION("""COMPUTED_VALUE"""),0.33576409943804586)</f>
        <v>0.3357640994</v>
      </c>
      <c r="H73" s="4"/>
      <c r="I73" s="5" t="s">
        <v>2536</v>
      </c>
      <c r="J73" s="5" t="s">
        <v>2405</v>
      </c>
      <c r="K73" s="5">
        <v>157.0</v>
      </c>
      <c r="L73" s="5">
        <v>0.269032</v>
      </c>
      <c r="M73" s="5">
        <v>-0.556399</v>
      </c>
      <c r="N73" s="5">
        <v>-0.287367</v>
      </c>
      <c r="O73" s="5">
        <v>0.08152</v>
      </c>
    </row>
    <row r="74">
      <c r="A74" s="18" t="str">
        <f>IFERROR(__xludf.DUMMYFUNCTION("""COMPUTED_VALUE"""),"Deividas Sirvydis")</f>
        <v>Deividas Sirvydis</v>
      </c>
      <c r="B74" s="19" t="str">
        <f>IFERROR(__xludf.DUMMYFUNCTION("""COMPUTED_VALUE"""),"LIE")</f>
        <v>LIE</v>
      </c>
      <c r="C74" s="20">
        <f>IFERROR(__xludf.DUMMYFUNCTION("""COMPUTED_VALUE"""),73.8)</f>
        <v>73.8</v>
      </c>
      <c r="D74" s="21">
        <f>IFERROR(__xludf.DUMMYFUNCTION("""COMPUTED_VALUE"""),-0.8530722931856323)</f>
        <v>-0.8530722932</v>
      </c>
      <c r="E74" s="21">
        <f>IFERROR(__xludf.DUMMYFUNCTION("""COMPUTED_VALUE"""),0.4777696825426018)</f>
        <v>0.4777696825</v>
      </c>
      <c r="F74" s="21">
        <f>IFERROR(__xludf.DUMMYFUNCTION("""COMPUTED_VALUE"""),-0.37530261064303044)</f>
        <v>-0.3753026106</v>
      </c>
      <c r="G74" s="23">
        <f>IFERROR(__xludf.DUMMYFUNCTION("""COMPUTED_VALUE"""),0.037441683756776346)</f>
        <v>0.03744168376</v>
      </c>
      <c r="H74" s="4"/>
      <c r="I74" s="5" t="s">
        <v>528</v>
      </c>
      <c r="J74" s="5" t="s">
        <v>2488</v>
      </c>
      <c r="K74" s="24">
        <v>403.0</v>
      </c>
      <c r="L74" s="5">
        <v>0.242433</v>
      </c>
      <c r="M74" s="5">
        <v>-0.547556</v>
      </c>
      <c r="N74" s="5">
        <v>-0.305123</v>
      </c>
      <c r="O74" s="5">
        <v>0.218893</v>
      </c>
    </row>
    <row r="75">
      <c r="A75" s="12" t="str">
        <f>IFERROR(__xludf.DUMMYFUNCTION("""COMPUTED_VALUE"""),"Kristupas Zemaitis")</f>
        <v>Kristupas Zemaitis</v>
      </c>
      <c r="B75" s="13" t="str">
        <f>IFERROR(__xludf.DUMMYFUNCTION("""COMPUTED_VALUE"""),"SIA")</f>
        <v>SIA</v>
      </c>
      <c r="C75" s="14">
        <f>IFERROR(__xludf.DUMMYFUNCTION("""COMPUTED_VALUE"""),617.3)</f>
        <v>617.3</v>
      </c>
      <c r="D75" s="15">
        <f>IFERROR(__xludf.DUMMYFUNCTION("""COMPUTED_VALUE"""),0.44092063510776286)</f>
        <v>0.4409206351</v>
      </c>
      <c r="E75" s="15">
        <f>IFERROR(__xludf.DUMMYFUNCTION("""COMPUTED_VALUE"""),-0.8270648433126984)</f>
        <v>-0.8270648433</v>
      </c>
      <c r="F75" s="15">
        <f>IFERROR(__xludf.DUMMYFUNCTION("""COMPUTED_VALUE"""),-0.38614420820493545)</f>
        <v>-0.3861442082</v>
      </c>
      <c r="G75" s="17">
        <f>IFERROR(__xludf.DUMMYFUNCTION("""COMPUTED_VALUE"""),0.3018468583536693)</f>
        <v>0.3018468584</v>
      </c>
      <c r="H75" s="4"/>
      <c r="I75" s="5" t="s">
        <v>2538</v>
      </c>
      <c r="J75" s="5" t="s">
        <v>2408</v>
      </c>
      <c r="K75" s="5">
        <v>10.0</v>
      </c>
      <c r="L75" s="5">
        <v>-0.291171</v>
      </c>
      <c r="M75" s="5">
        <v>-0.023209</v>
      </c>
      <c r="N75" s="5">
        <v>-0.31438</v>
      </c>
      <c r="O75" s="5">
        <v>0.00514</v>
      </c>
    </row>
    <row r="76">
      <c r="A76" s="18" t="str">
        <f>IFERROR(__xludf.DUMMYFUNCTION("""COMPUTED_VALUE"""),"Dainius Salenga")</f>
        <v>Dainius Salenga</v>
      </c>
      <c r="B76" s="19" t="str">
        <f>IFERROR(__xludf.DUMMYFUNCTION("""COMPUTED_VALUE"""),"DZU")</f>
        <v>DZU</v>
      </c>
      <c r="C76" s="20">
        <f>IFERROR(__xludf.DUMMYFUNCTION("""COMPUTED_VALUE"""),8.3)</f>
        <v>8.3</v>
      </c>
      <c r="D76" s="21">
        <f>IFERROR(__xludf.DUMMYFUNCTION("""COMPUTED_VALUE"""),-0.2977239887799384)</f>
        <v>-0.2977239888</v>
      </c>
      <c r="E76" s="21">
        <f>IFERROR(__xludf.DUMMYFUNCTION("""COMPUTED_VALUE"""),-0.10193346763468825)</f>
        <v>-0.1019334676</v>
      </c>
      <c r="F76" s="21">
        <f>IFERROR(__xludf.DUMMYFUNCTION("""COMPUTED_VALUE"""),-0.39965745641462663)</f>
        <v>-0.3996574564</v>
      </c>
      <c r="G76" s="23">
        <f>IFERROR(__xludf.DUMMYFUNCTION("""COMPUTED_VALUE"""),0.004046780820422506)</f>
        <v>0.00404678082</v>
      </c>
      <c r="H76" s="4"/>
      <c r="I76" s="5" t="s">
        <v>2539</v>
      </c>
      <c r="J76" s="5" t="s">
        <v>2431</v>
      </c>
      <c r="K76" s="24">
        <v>380.0</v>
      </c>
      <c r="L76" s="5">
        <v>-1.479721</v>
      </c>
      <c r="M76" s="5">
        <v>1.152953</v>
      </c>
      <c r="N76" s="5">
        <v>-0.326768</v>
      </c>
      <c r="O76" s="5">
        <v>0.192984</v>
      </c>
    </row>
    <row r="77">
      <c r="A77" s="12" t="str">
        <f>IFERROR(__xludf.DUMMYFUNCTION("""COMPUTED_VALUE"""),"Mantvydas Zukauskas")</f>
        <v>Mantvydas Zukauskas</v>
      </c>
      <c r="B77" s="13" t="str">
        <f>IFERROR(__xludf.DUMMYFUNCTION("""COMPUTED_VALUE"""),"SIA")</f>
        <v>SIA</v>
      </c>
      <c r="C77" s="14">
        <f>IFERROR(__xludf.DUMMYFUNCTION("""COMPUTED_VALUE"""),51.9)</f>
        <v>51.9</v>
      </c>
      <c r="D77" s="15">
        <f>IFERROR(__xludf.DUMMYFUNCTION("""COMPUTED_VALUE"""),0.23200856650799168)</f>
        <v>0.2320085665</v>
      </c>
      <c r="E77" s="15">
        <f>IFERROR(__xludf.DUMMYFUNCTION("""COMPUTED_VALUE"""),-0.6969077279928599)</f>
        <v>-0.696907728</v>
      </c>
      <c r="F77" s="15">
        <f>IFERROR(__xludf.DUMMYFUNCTION("""COMPUTED_VALUE"""),-0.46489916148486826)</f>
        <v>-0.4648991615</v>
      </c>
      <c r="G77" s="17">
        <f>IFERROR(__xludf.DUMMYFUNCTION("""COMPUTED_VALUE"""),0.024139591953402637)</f>
        <v>0.02413959195</v>
      </c>
      <c r="H77" s="4"/>
      <c r="I77" s="5" t="s">
        <v>2541</v>
      </c>
      <c r="J77" s="5" t="s">
        <v>2405</v>
      </c>
      <c r="K77" s="24">
        <v>617.0</v>
      </c>
      <c r="L77" s="5">
        <v>0.334921</v>
      </c>
      <c r="M77" s="5">
        <v>-0.718174</v>
      </c>
      <c r="N77" s="5">
        <v>-0.383253</v>
      </c>
      <c r="O77" s="5">
        <v>0.302388</v>
      </c>
    </row>
    <row r="78">
      <c r="A78" s="18" t="str">
        <f>IFERROR(__xludf.DUMMYFUNCTION("""COMPUTED_VALUE"""),"Vytautas Sarakauskas")</f>
        <v>Vytautas Sarakauskas</v>
      </c>
      <c r="B78" s="19" t="str">
        <f>IFERROR(__xludf.DUMMYFUNCTION("""COMPUTED_VALUE"""),"SIA")</f>
        <v>SIA</v>
      </c>
      <c r="C78" s="20">
        <f>IFERROR(__xludf.DUMMYFUNCTION("""COMPUTED_VALUE"""),709.6)</f>
        <v>709.6</v>
      </c>
      <c r="D78" s="21">
        <f>IFERROR(__xludf.DUMMYFUNCTION("""COMPUTED_VALUE"""),-0.3192371608150277)</f>
        <v>-0.3192371608</v>
      </c>
      <c r="E78" s="21">
        <f>IFERROR(__xludf.DUMMYFUNCTION("""COMPUTED_VALUE"""),-0.19400635229711644)</f>
        <v>-0.1940063523</v>
      </c>
      <c r="F78" s="21">
        <f>IFERROR(__xludf.DUMMYFUNCTION("""COMPUTED_VALUE"""),-0.5132435131121441)</f>
        <v>-0.5132435131</v>
      </c>
      <c r="G78" s="23">
        <f>IFERROR(__xludf.DUMMYFUNCTION("""COMPUTED_VALUE"""),0.31965323704842946)</f>
        <v>0.319653237</v>
      </c>
      <c r="H78" s="4"/>
      <c r="I78" s="5" t="s">
        <v>2542</v>
      </c>
      <c r="J78" s="5" t="s">
        <v>2477</v>
      </c>
      <c r="K78" s="24">
        <v>8.0</v>
      </c>
      <c r="L78" s="5">
        <v>-0.300604</v>
      </c>
      <c r="M78" s="5">
        <v>-0.09893</v>
      </c>
      <c r="N78" s="5">
        <v>-0.399535</v>
      </c>
      <c r="O78" s="5">
        <v>0.004047</v>
      </c>
    </row>
    <row r="79">
      <c r="A79" s="12" t="str">
        <f>IFERROR(__xludf.DUMMYFUNCTION("""COMPUTED_VALUE"""),"Tadas Sedekerskis")</f>
        <v>Tadas Sedekerskis</v>
      </c>
      <c r="B79" s="13" t="str">
        <f>IFERROR(__xludf.DUMMYFUNCTION("""COMPUTED_VALUE"""),"KED")</f>
        <v>KED</v>
      </c>
      <c r="C79" s="14">
        <f>IFERROR(__xludf.DUMMYFUNCTION("""COMPUTED_VALUE"""),403.1)</f>
        <v>403.1</v>
      </c>
      <c r="D79" s="15">
        <f>IFERROR(__xludf.DUMMYFUNCTION("""COMPUTED_VALUE"""),0.2795724064360055)</f>
        <v>0.2795724064</v>
      </c>
      <c r="E79" s="15">
        <f>IFERROR(__xludf.DUMMYFUNCTION("""COMPUTED_VALUE"""),-0.8018921475890244)</f>
        <v>-0.8018921476</v>
      </c>
      <c r="F79" s="15">
        <f>IFERROR(__xludf.DUMMYFUNCTION("""COMPUTED_VALUE"""),-0.5223197411530189)</f>
        <v>-0.5223197412</v>
      </c>
      <c r="G79" s="17">
        <f>IFERROR(__xludf.DUMMYFUNCTION("""COMPUTED_VALUE"""),0.19162236465781618)</f>
        <v>0.1916223647</v>
      </c>
      <c r="H79" s="4"/>
      <c r="I79" s="5" t="s">
        <v>2544</v>
      </c>
      <c r="J79" s="5" t="s">
        <v>2405</v>
      </c>
      <c r="K79" s="5">
        <v>52.0</v>
      </c>
      <c r="L79" s="5">
        <v>0.213096</v>
      </c>
      <c r="M79" s="5">
        <v>-0.677967</v>
      </c>
      <c r="N79" s="5">
        <v>-0.464871</v>
      </c>
      <c r="O79" s="5">
        <v>0.02414</v>
      </c>
    </row>
    <row r="80">
      <c r="A80" s="18" t="str">
        <f>IFERROR(__xludf.DUMMYFUNCTION("""COMPUTED_VALUE"""),"Maksym Kornienko")</f>
        <v>Maksym Kornienko</v>
      </c>
      <c r="B80" s="19" t="str">
        <f>IFERROR(__xludf.DUMMYFUNCTION("""COMPUTED_VALUE"""),"JUV")</f>
        <v>JUV</v>
      </c>
      <c r="C80" s="20">
        <f>IFERROR(__xludf.DUMMYFUNCTION("""COMPUTED_VALUE"""),680.2)</f>
        <v>680.2</v>
      </c>
      <c r="D80" s="21">
        <f>IFERROR(__xludf.DUMMYFUNCTION("""COMPUTED_VALUE"""),-0.7704900323215232)</f>
        <v>-0.7704900323</v>
      </c>
      <c r="E80" s="21">
        <f>IFERROR(__xludf.DUMMYFUNCTION("""COMPUTED_VALUE"""),0.22754721664321342)</f>
        <v>0.2275472166</v>
      </c>
      <c r="F80" s="21">
        <f>IFERROR(__xludf.DUMMYFUNCTION("""COMPUTED_VALUE"""),-0.5429428156783098)</f>
        <v>-0.5429428157</v>
      </c>
      <c r="G80" s="23">
        <f>IFERROR(__xludf.DUMMYFUNCTION("""COMPUTED_VALUE"""),0.3012078509847719)</f>
        <v>0.301207851</v>
      </c>
      <c r="H80" s="4"/>
      <c r="I80" s="5" t="s">
        <v>2545</v>
      </c>
      <c r="J80" s="5" t="s">
        <v>2352</v>
      </c>
      <c r="K80" s="24">
        <v>119.0</v>
      </c>
      <c r="L80" s="5">
        <v>-1.200799</v>
      </c>
      <c r="M80" s="5">
        <v>0.701537</v>
      </c>
      <c r="N80" s="5">
        <v>-0.499262</v>
      </c>
      <c r="O80" s="5">
        <v>0.055472</v>
      </c>
    </row>
    <row r="81">
      <c r="A81" s="12" t="str">
        <f>IFERROR(__xludf.DUMMYFUNCTION("""COMPUTED_VALUE"""),"Tomas Pacesas")</f>
        <v>Tomas Pacesas</v>
      </c>
      <c r="B81" s="13" t="str">
        <f>IFERROR(__xludf.DUMMYFUNCTION("""COMPUTED_VALUE"""),"DZU")</f>
        <v>DZU</v>
      </c>
      <c r="C81" s="14">
        <f>IFERROR(__xludf.DUMMYFUNCTION("""COMPUTED_VALUE"""),15.6)</f>
        <v>15.6</v>
      </c>
      <c r="D81" s="15">
        <f>IFERROR(__xludf.DUMMYFUNCTION("""COMPUTED_VALUE"""),-0.5487180378394163)</f>
        <v>-0.5487180378</v>
      </c>
      <c r="E81" s="15">
        <f>IFERROR(__xludf.DUMMYFUNCTION("""COMPUTED_VALUE"""),-0.03903993080018886)</f>
        <v>-0.0390399308</v>
      </c>
      <c r="F81" s="15">
        <f>IFERROR(__xludf.DUMMYFUNCTION("""COMPUTED_VALUE"""),-0.5877579686396052)</f>
        <v>-0.5877579686</v>
      </c>
      <c r="G81" s="17">
        <f>IFERROR(__xludf.DUMMYFUNCTION("""COMPUTED_VALUE"""),0.0067120065428925325)</f>
        <v>0.006712006543</v>
      </c>
      <c r="H81" s="4"/>
      <c r="I81" s="5" t="s">
        <v>2546</v>
      </c>
      <c r="J81" s="5" t="s">
        <v>2405</v>
      </c>
      <c r="K81" s="24">
        <v>710.0</v>
      </c>
      <c r="L81" s="5">
        <v>-0.427486</v>
      </c>
      <c r="M81" s="5">
        <v>-0.084715</v>
      </c>
      <c r="N81" s="5">
        <v>-0.512201</v>
      </c>
      <c r="O81" s="5">
        <v>0.319877</v>
      </c>
    </row>
    <row r="82">
      <c r="A82" s="18" t="str">
        <f>IFERROR(__xludf.DUMMYFUNCTION("""COMPUTED_VALUE"""),"T.J. Carter")</f>
        <v>T.J. Carter</v>
      </c>
      <c r="B82" s="19" t="str">
        <f>IFERROR(__xludf.DUMMYFUNCTION("""COMPUTED_VALUE"""),"LIE")</f>
        <v>LIE</v>
      </c>
      <c r="C82" s="20">
        <f>IFERROR(__xludf.DUMMYFUNCTION("""COMPUTED_VALUE"""),118.9)</f>
        <v>118.9</v>
      </c>
      <c r="D82" s="21">
        <f>IFERROR(__xludf.DUMMYFUNCTION("""COMPUTED_VALUE"""),-1.1837889625066391)</f>
        <v>-1.183788963</v>
      </c>
      <c r="E82" s="21">
        <f>IFERROR(__xludf.DUMMYFUNCTION("""COMPUTED_VALUE"""),0.48744825340109865)</f>
        <v>0.4874482534</v>
      </c>
      <c r="F82" s="21">
        <f>IFERROR(__xludf.DUMMYFUNCTION("""COMPUTED_VALUE"""),-0.6963407091055405)</f>
        <v>-0.6963407091</v>
      </c>
      <c r="G82" s="23">
        <f>IFERROR(__xludf.DUMMYFUNCTION("""COMPUTED_VALUE"""),0.04840302286663566)</f>
        <v>0.04840302287</v>
      </c>
      <c r="H82" s="4"/>
      <c r="I82" s="5" t="s">
        <v>2548</v>
      </c>
      <c r="J82" s="5" t="s">
        <v>2488</v>
      </c>
      <c r="K82" s="5">
        <v>358.0</v>
      </c>
      <c r="L82" s="5">
        <v>2.408829</v>
      </c>
      <c r="M82" s="5">
        <v>-2.928464</v>
      </c>
      <c r="N82" s="5">
        <v>-0.519635</v>
      </c>
      <c r="O82" s="5">
        <v>0.16994</v>
      </c>
    </row>
    <row r="83">
      <c r="A83" s="12" t="str">
        <f>IFERROR(__xludf.DUMMYFUNCTION("""COMPUTED_VALUE"""),"Dominykas Domarkas")</f>
        <v>Dominykas Domarkas</v>
      </c>
      <c r="B83" s="13" t="str">
        <f>IFERROR(__xludf.DUMMYFUNCTION("""COMPUTED_VALUE"""),"DZU")</f>
        <v>DZU</v>
      </c>
      <c r="C83" s="14">
        <f>IFERROR(__xludf.DUMMYFUNCTION("""COMPUTED_VALUE"""),63.5)</f>
        <v>63.5</v>
      </c>
      <c r="D83" s="15">
        <f>IFERROR(__xludf.DUMMYFUNCTION("""COMPUTED_VALUE"""),-0.7354237863522075)</f>
        <v>-0.7354237864</v>
      </c>
      <c r="E83" s="15">
        <f>IFERROR(__xludf.DUMMYFUNCTION("""COMPUTED_VALUE"""),-0.03346957670715389)</f>
        <v>-0.03346957671</v>
      </c>
      <c r="F83" s="15">
        <f>IFERROR(__xludf.DUMMYFUNCTION("""COMPUTED_VALUE"""),-0.7688933630593614)</f>
        <v>-0.7688933631</v>
      </c>
      <c r="G83" s="17">
        <f>IFERROR(__xludf.DUMMYFUNCTION("""COMPUTED_VALUE"""),0.023817053808145215)</f>
        <v>0.02381705381</v>
      </c>
      <c r="H83" s="4"/>
      <c r="I83" s="5" t="s">
        <v>2549</v>
      </c>
      <c r="J83" s="5" t="s">
        <v>2431</v>
      </c>
      <c r="K83" s="5">
        <v>680.0</v>
      </c>
      <c r="L83" s="5">
        <v>-0.879895</v>
      </c>
      <c r="M83" s="5">
        <v>0.337044</v>
      </c>
      <c r="N83" s="5">
        <v>-0.54285</v>
      </c>
      <c r="O83" s="5">
        <v>0.301227</v>
      </c>
    </row>
    <row r="84">
      <c r="A84" s="18" t="str">
        <f>IFERROR(__xludf.DUMMYFUNCTION("""COMPUTED_VALUE"""),"Dziugas Slavinskas")</f>
        <v>Dziugas Slavinskas</v>
      </c>
      <c r="B84" s="19" t="str">
        <f>IFERROR(__xludf.DUMMYFUNCTION("""COMPUTED_VALUE"""),"NEP")</f>
        <v>NEP</v>
      </c>
      <c r="C84" s="20">
        <f>IFERROR(__xludf.DUMMYFUNCTION("""COMPUTED_VALUE"""),14.0)</f>
        <v>14</v>
      </c>
      <c r="D84" s="21">
        <f>IFERROR(__xludf.DUMMYFUNCTION("""COMPUTED_VALUE"""),-0.5017293502472445)</f>
        <v>-0.5017293502</v>
      </c>
      <c r="E84" s="21">
        <f>IFERROR(__xludf.DUMMYFUNCTION("""COMPUTED_VALUE"""),-0.2849342875241361)</f>
        <v>-0.2849342875</v>
      </c>
      <c r="F84" s="21">
        <f>IFERROR(__xludf.DUMMYFUNCTION("""COMPUTED_VALUE"""),-0.7866636377713806)</f>
        <v>-0.7866636378</v>
      </c>
      <c r="G84" s="23">
        <f>IFERROR(__xludf.DUMMYFUNCTION("""COMPUTED_VALUE"""),0.0053894195404054135)</f>
        <v>0.00538941954</v>
      </c>
      <c r="H84" s="4"/>
      <c r="I84" s="5" t="s">
        <v>2551</v>
      </c>
      <c r="J84" s="5" t="s">
        <v>2488</v>
      </c>
      <c r="K84" s="5">
        <v>779.0</v>
      </c>
      <c r="L84" s="5">
        <v>1.352043</v>
      </c>
      <c r="M84" s="5">
        <v>-1.917379</v>
      </c>
      <c r="N84" s="5">
        <v>-0.565336</v>
      </c>
      <c r="O84" s="5">
        <v>0.357886</v>
      </c>
    </row>
    <row r="85">
      <c r="A85" s="12" t="str">
        <f>IFERROR(__xludf.DUMMYFUNCTION("""COMPUTED_VALUE"""),"Martynas Pocevicius")</f>
        <v>Martynas Pocevicius</v>
      </c>
      <c r="B85" s="13" t="str">
        <f>IFERROR(__xludf.DUMMYFUNCTION("""COMPUTED_VALUE"""),"DZU")</f>
        <v>DZU</v>
      </c>
      <c r="C85" s="14">
        <f>IFERROR(__xludf.DUMMYFUNCTION("""COMPUTED_VALUE"""),22.7)</f>
        <v>22.7</v>
      </c>
      <c r="D85" s="15">
        <f>IFERROR(__xludf.DUMMYFUNCTION("""COMPUTED_VALUE"""),-0.6295452597347723)</f>
        <v>-0.6295452597</v>
      </c>
      <c r="E85" s="15">
        <f>IFERROR(__xludf.DUMMYFUNCTION("""COMPUTED_VALUE"""),-0.17308737353786274)</f>
        <v>-0.1730873735</v>
      </c>
      <c r="F85" s="15">
        <f>IFERROR(__xludf.DUMMYFUNCTION("""COMPUTED_VALUE"""),-0.802632633272635)</f>
        <v>-0.8026326333</v>
      </c>
      <c r="G85" s="17">
        <f>IFERROR(__xludf.DUMMYFUNCTION("""COMPUTED_VALUE"""),0.008280792738693586)</f>
        <v>0.008280792739</v>
      </c>
      <c r="H85" s="4"/>
      <c r="I85" s="5" t="s">
        <v>2552</v>
      </c>
      <c r="J85" s="5" t="s">
        <v>2477</v>
      </c>
      <c r="K85" s="5">
        <v>16.0</v>
      </c>
      <c r="L85" s="5">
        <v>-0.554287</v>
      </c>
      <c r="M85" s="5">
        <v>-0.033368</v>
      </c>
      <c r="N85" s="5">
        <v>-0.587654</v>
      </c>
      <c r="O85" s="5">
        <v>0.006712</v>
      </c>
    </row>
    <row r="86">
      <c r="A86" s="18" t="str">
        <f>IFERROR(__xludf.DUMMYFUNCTION("""COMPUTED_VALUE"""),"Mindaugas Kacinas")</f>
        <v>Mindaugas Kacinas</v>
      </c>
      <c r="B86" s="19" t="str">
        <f>IFERROR(__xludf.DUMMYFUNCTION("""COMPUTED_VALUE"""),"NEP")</f>
        <v>NEP</v>
      </c>
      <c r="C86" s="20">
        <f>IFERROR(__xludf.DUMMYFUNCTION("""COMPUTED_VALUE"""),464.9)</f>
        <v>464.9</v>
      </c>
      <c r="D86" s="21">
        <f>IFERROR(__xludf.DUMMYFUNCTION("""COMPUTED_VALUE"""),-2.229293192512931)</f>
        <v>-2.229293193</v>
      </c>
      <c r="E86" s="21">
        <f>IFERROR(__xludf.DUMMYFUNCTION("""COMPUTED_VALUE"""),1.4107962646451748)</f>
        <v>1.410796265</v>
      </c>
      <c r="F86" s="21">
        <f>IFERROR(__xludf.DUMMYFUNCTION("""COMPUTED_VALUE"""),-0.8184969278677563)</f>
        <v>-0.8184969279</v>
      </c>
      <c r="G86" s="23">
        <f>IFERROR(__xludf.DUMMYFUNCTION("""COMPUTED_VALUE"""),0.1742718113895194)</f>
        <v>0.1742718114</v>
      </c>
      <c r="H86" s="4"/>
      <c r="I86" s="5" t="s">
        <v>2554</v>
      </c>
      <c r="J86" s="5" t="s">
        <v>2356</v>
      </c>
      <c r="K86" s="24">
        <v>103.0</v>
      </c>
      <c r="L86" s="5">
        <v>-0.645607</v>
      </c>
      <c r="M86" s="5">
        <v>-2.49E-4</v>
      </c>
      <c r="N86" s="5">
        <v>-0.645856</v>
      </c>
      <c r="O86" s="5">
        <v>0.044747</v>
      </c>
    </row>
    <row r="87">
      <c r="A87" s="12" t="str">
        <f>IFERROR(__xludf.DUMMYFUNCTION("""COMPUTED_VALUE"""),"Giedrius Staniulis")</f>
        <v>Giedrius Staniulis</v>
      </c>
      <c r="B87" s="13" t="str">
        <f>IFERROR(__xludf.DUMMYFUNCTION("""COMPUTED_VALUE"""),"KED")</f>
        <v>KED</v>
      </c>
      <c r="C87" s="14">
        <f>IFERROR(__xludf.DUMMYFUNCTION("""COMPUTED_VALUE"""),168.5)</f>
        <v>168.5</v>
      </c>
      <c r="D87" s="15">
        <f>IFERROR(__xludf.DUMMYFUNCTION("""COMPUTED_VALUE"""),-1.25068903954264)</f>
        <v>-1.25068904</v>
      </c>
      <c r="E87" s="15">
        <f>IFERROR(__xludf.DUMMYFUNCTION("""COMPUTED_VALUE"""),0.42163419701574834)</f>
        <v>0.421634197</v>
      </c>
      <c r="F87" s="15">
        <f>IFERROR(__xludf.DUMMYFUNCTION("""COMPUTED_VALUE"""),-0.8290548425268917)</f>
        <v>-0.8290548425</v>
      </c>
      <c r="G87" s="17">
        <f>IFERROR(__xludf.DUMMYFUNCTION("""COMPUTED_VALUE"""),0.06347305266181111)</f>
        <v>0.06347305266</v>
      </c>
      <c r="H87" s="4"/>
      <c r="I87" s="5" t="s">
        <v>2556</v>
      </c>
      <c r="J87" s="5" t="s">
        <v>2488</v>
      </c>
      <c r="K87" s="5">
        <v>169.0</v>
      </c>
      <c r="L87" s="5">
        <v>-1.27385</v>
      </c>
      <c r="M87" s="5">
        <v>0.564608</v>
      </c>
      <c r="N87" s="5">
        <v>-0.709242</v>
      </c>
      <c r="O87" s="5">
        <v>0.069683</v>
      </c>
    </row>
    <row r="88">
      <c r="A88" s="18" t="str">
        <f>IFERROR(__xludf.DUMMYFUNCTION("""COMPUTED_VALUE"""),"Mindaugas Susinskas")</f>
        <v>Mindaugas Susinskas</v>
      </c>
      <c r="B88" s="19" t="str">
        <f>IFERROR(__xludf.DUMMYFUNCTION("""COMPUTED_VALUE"""),"DZU")</f>
        <v>DZU</v>
      </c>
      <c r="C88" s="20">
        <f>IFERROR(__xludf.DUMMYFUNCTION("""COMPUTED_VALUE"""),617.1)</f>
        <v>617.1</v>
      </c>
      <c r="D88" s="21">
        <f>IFERROR(__xludf.DUMMYFUNCTION("""COMPUTED_VALUE"""),0.06866429311259548)</f>
        <v>0.06866429311</v>
      </c>
      <c r="E88" s="21">
        <f>IFERROR(__xludf.DUMMYFUNCTION("""COMPUTED_VALUE"""),-0.8989851614976802)</f>
        <v>-0.8989851615</v>
      </c>
      <c r="F88" s="21">
        <f>IFERROR(__xludf.DUMMYFUNCTION("""COMPUTED_VALUE"""),-0.8303208683850847)</f>
        <v>-0.8303208684</v>
      </c>
      <c r="G88" s="23">
        <f>IFERROR(__xludf.DUMMYFUNCTION("""COMPUTED_VALUE"""),0.21990794897909643)</f>
        <v>0.219907949</v>
      </c>
      <c r="H88" s="4"/>
      <c r="I88" s="5" t="s">
        <v>2557</v>
      </c>
      <c r="J88" s="5" t="s">
        <v>2356</v>
      </c>
      <c r="K88" s="5">
        <v>13.0</v>
      </c>
      <c r="L88" s="5">
        <v>-0.476609</v>
      </c>
      <c r="M88" s="5">
        <v>-0.268982</v>
      </c>
      <c r="N88" s="5">
        <v>-0.745591</v>
      </c>
      <c r="O88" s="5">
        <v>0.005181</v>
      </c>
    </row>
    <row r="89">
      <c r="A89" s="12" t="str">
        <f>IFERROR(__xludf.DUMMYFUNCTION("""COMPUTED_VALUE"""),"Edvinas Seskus")</f>
        <v>Edvinas Seskus</v>
      </c>
      <c r="B89" s="13" t="str">
        <f>IFERROR(__xludf.DUMMYFUNCTION("""COMPUTED_VALUE"""),"PRI")</f>
        <v>PRI</v>
      </c>
      <c r="C89" s="14">
        <f>IFERROR(__xludf.DUMMYFUNCTION("""COMPUTED_VALUE"""),731.1)</f>
        <v>731.1</v>
      </c>
      <c r="D89" s="15">
        <f>IFERROR(__xludf.DUMMYFUNCTION("""COMPUTED_VALUE"""),0.6642129490463502)</f>
        <v>0.664212949</v>
      </c>
      <c r="E89" s="15">
        <f>IFERROR(__xludf.DUMMYFUNCTION("""COMPUTED_VALUE"""),-1.526011369596327)</f>
        <v>-1.52601137</v>
      </c>
      <c r="F89" s="15">
        <f>IFERROR(__xludf.DUMMYFUNCTION("""COMPUTED_VALUE"""),-0.8617984205499769)</f>
        <v>-0.8617984205</v>
      </c>
      <c r="G89" s="17">
        <f>IFERROR(__xludf.DUMMYFUNCTION("""COMPUTED_VALUE"""),0.2535917825564673)</f>
        <v>0.2535917826</v>
      </c>
      <c r="H89" s="4"/>
      <c r="I89" s="5" t="s">
        <v>2559</v>
      </c>
      <c r="J89" s="5" t="s">
        <v>2477</v>
      </c>
      <c r="K89" s="24">
        <v>64.0</v>
      </c>
      <c r="L89" s="5">
        <v>-0.758328</v>
      </c>
      <c r="M89" s="5">
        <v>-0.010338</v>
      </c>
      <c r="N89" s="5">
        <v>-0.768666</v>
      </c>
      <c r="O89" s="5">
        <v>0.023821</v>
      </c>
    </row>
    <row r="90">
      <c r="A90" s="18" t="str">
        <f>IFERROR(__xludf.DUMMYFUNCTION("""COMPUTED_VALUE"""),"Tautvydas Paliukenas")</f>
        <v>Tautvydas Paliukenas</v>
      </c>
      <c r="B90" s="19" t="str">
        <f>IFERROR(__xludf.DUMMYFUNCTION("""COMPUTED_VALUE"""),"JUV")</f>
        <v>JUV</v>
      </c>
      <c r="C90" s="20">
        <f>IFERROR(__xludf.DUMMYFUNCTION("""COMPUTED_VALUE"""),16.5)</f>
        <v>16.5</v>
      </c>
      <c r="D90" s="21">
        <f>IFERROR(__xludf.DUMMYFUNCTION("""COMPUTED_VALUE"""),-0.6139118877760193)</f>
        <v>-0.6139118878</v>
      </c>
      <c r="E90" s="21">
        <f>IFERROR(__xludf.DUMMYFUNCTION("""COMPUTED_VALUE"""),-0.24834276827762558)</f>
        <v>-0.2483427683</v>
      </c>
      <c r="F90" s="21">
        <f>IFERROR(__xludf.DUMMYFUNCTION("""COMPUTED_VALUE"""),-0.8622546560536449)</f>
        <v>-0.8622546561</v>
      </c>
      <c r="G90" s="23">
        <f>IFERROR(__xludf.DUMMYFUNCTION("""COMPUTED_VALUE"""),0.005705347145152603)</f>
        <v>0.005705347145</v>
      </c>
      <c r="H90" s="4"/>
      <c r="I90" s="5" t="s">
        <v>2561</v>
      </c>
      <c r="J90" s="5" t="s">
        <v>2400</v>
      </c>
      <c r="K90" s="5">
        <v>83.0</v>
      </c>
      <c r="L90" s="5">
        <v>-0.614013</v>
      </c>
      <c r="M90" s="5">
        <v>-0.159248</v>
      </c>
      <c r="N90" s="5">
        <v>-0.773261</v>
      </c>
      <c r="O90" s="5">
        <v>0.031096</v>
      </c>
    </row>
    <row r="91">
      <c r="A91" s="12" t="str">
        <f>IFERROR(__xludf.DUMMYFUNCTION("""COMPUTED_VALUE"""),"Donatas Sabeckis")</f>
        <v>Donatas Sabeckis</v>
      </c>
      <c r="B91" s="13" t="str">
        <f>IFERROR(__xludf.DUMMYFUNCTION("""COMPUTED_VALUE"""),"SIA")</f>
        <v>SIA</v>
      </c>
      <c r="C91" s="14">
        <f>IFERROR(__xludf.DUMMYFUNCTION("""COMPUTED_VALUE"""),1171.2)</f>
        <v>1171.2</v>
      </c>
      <c r="D91" s="15">
        <f>IFERROR(__xludf.DUMMYFUNCTION("""COMPUTED_VALUE"""),-0.9867925618492582)</f>
        <v>-0.9867925618</v>
      </c>
      <c r="E91" s="15">
        <f>IFERROR(__xludf.DUMMYFUNCTION("""COMPUTED_VALUE"""),0.03938901041246812)</f>
        <v>0.03938901041</v>
      </c>
      <c r="F91" s="15">
        <f>IFERROR(__xludf.DUMMYFUNCTION("""COMPUTED_VALUE"""),-0.9474035514367901)</f>
        <v>-0.9474035514</v>
      </c>
      <c r="G91" s="17">
        <f>IFERROR(__xludf.DUMMYFUNCTION("""COMPUTED_VALUE"""),0.37352409484778676)</f>
        <v>0.3735240948</v>
      </c>
      <c r="H91" s="4"/>
      <c r="I91" s="5" t="s">
        <v>2562</v>
      </c>
      <c r="J91" s="5" t="s">
        <v>2477</v>
      </c>
      <c r="K91" s="5">
        <v>23.0</v>
      </c>
      <c r="L91" s="5">
        <v>-0.637357</v>
      </c>
      <c r="M91" s="5">
        <v>-0.164885</v>
      </c>
      <c r="N91" s="5">
        <v>-0.802242</v>
      </c>
      <c r="O91" s="5">
        <v>0.008283</v>
      </c>
    </row>
    <row r="92">
      <c r="A92" s="18" t="str">
        <f>IFERROR(__xludf.DUMMYFUNCTION("""COMPUTED_VALUE"""),"Arunas Mikalauskas")</f>
        <v>Arunas Mikalauskas</v>
      </c>
      <c r="B92" s="19" t="str">
        <f>IFERROR(__xludf.DUMMYFUNCTION("""COMPUTED_VALUE"""),"NEP")</f>
        <v>NEP</v>
      </c>
      <c r="C92" s="20">
        <f>IFERROR(__xludf.DUMMYFUNCTION("""COMPUTED_VALUE"""),105.7)</f>
        <v>105.7</v>
      </c>
      <c r="D92" s="21">
        <f>IFERROR(__xludf.DUMMYFUNCTION("""COMPUTED_VALUE"""),-0.9203375954126815)</f>
        <v>-0.9203375954</v>
      </c>
      <c r="E92" s="21">
        <f>IFERROR(__xludf.DUMMYFUNCTION("""COMPUTED_VALUE"""),-0.02972265002365715)</f>
        <v>-0.02972265002</v>
      </c>
      <c r="F92" s="21">
        <f>IFERROR(__xludf.DUMMYFUNCTION("""COMPUTED_VALUE"""),-0.9500602454363386)</f>
        <v>-0.9500602454</v>
      </c>
      <c r="G92" s="23">
        <f>IFERROR(__xludf.DUMMYFUNCTION("""COMPUTED_VALUE"""),0.035210493431687695)</f>
        <v>0.03521049343</v>
      </c>
      <c r="H92" s="4"/>
      <c r="I92" s="5" t="s">
        <v>484</v>
      </c>
      <c r="J92" s="5" t="s">
        <v>76</v>
      </c>
      <c r="K92" s="5">
        <v>609.0</v>
      </c>
      <c r="L92" s="5">
        <v>-2.86285</v>
      </c>
      <c r="M92" s="5">
        <v>2.054296</v>
      </c>
      <c r="N92" s="5">
        <v>-0.808554</v>
      </c>
      <c r="O92" s="5">
        <v>0.221256</v>
      </c>
    </row>
    <row r="93">
      <c r="A93" s="12" t="str">
        <f>IFERROR(__xludf.DUMMYFUNCTION("""COMPUTED_VALUE"""),"Malcolm Armstead")</f>
        <v>Malcolm Armstead</v>
      </c>
      <c r="B93" s="13" t="str">
        <f>IFERROR(__xludf.DUMMYFUNCTION("""COMPUTED_VALUE"""),"NEP")</f>
        <v>NEP</v>
      </c>
      <c r="C93" s="14">
        <f>IFERROR(__xludf.DUMMYFUNCTION("""COMPUTED_VALUE"""),98.5)</f>
        <v>98.5</v>
      </c>
      <c r="D93" s="15">
        <f>IFERROR(__xludf.DUMMYFUNCTION("""COMPUTED_VALUE"""),-1.3977081299236829)</f>
        <v>-1.39770813</v>
      </c>
      <c r="E93" s="15">
        <f>IFERROR(__xludf.DUMMYFUNCTION("""COMPUTED_VALUE"""),0.43986449503904357)</f>
        <v>0.439864495</v>
      </c>
      <c r="F93" s="15">
        <f>IFERROR(__xludf.DUMMYFUNCTION("""COMPUTED_VALUE"""),-0.9578436348846393)</f>
        <v>-0.9578436349</v>
      </c>
      <c r="G93" s="17">
        <f>IFERROR(__xludf.DUMMYFUNCTION("""COMPUTED_VALUE"""),0.032568807689274795)</f>
        <v>0.03256880769</v>
      </c>
      <c r="H93" s="4"/>
      <c r="I93" s="5" t="s">
        <v>2565</v>
      </c>
      <c r="J93" s="5" t="s">
        <v>2477</v>
      </c>
      <c r="K93" s="5">
        <v>617.0</v>
      </c>
      <c r="L93" s="5">
        <v>-0.038957</v>
      </c>
      <c r="M93" s="5">
        <v>-0.789806</v>
      </c>
      <c r="N93" s="5">
        <v>-0.828763</v>
      </c>
      <c r="O93" s="5">
        <v>0.220201</v>
      </c>
    </row>
    <row r="94">
      <c r="A94" s="18" t="str">
        <f>IFERROR(__xludf.DUMMYFUNCTION("""COMPUTED_VALUE"""),"Arnas Velicka")</f>
        <v>Arnas Velicka</v>
      </c>
      <c r="B94" s="19" t="str">
        <f>IFERROR(__xludf.DUMMYFUNCTION("""COMPUTED_VALUE"""),"TEC")</f>
        <v>TEC</v>
      </c>
      <c r="C94" s="20">
        <f>IFERROR(__xludf.DUMMYFUNCTION("""COMPUTED_VALUE"""),104.3)</f>
        <v>104.3</v>
      </c>
      <c r="D94" s="21">
        <f>IFERROR(__xludf.DUMMYFUNCTION("""COMPUTED_VALUE"""),-0.6196844046581391)</f>
        <v>-0.6196844047</v>
      </c>
      <c r="E94" s="21">
        <f>IFERROR(__xludf.DUMMYFUNCTION("""COMPUTED_VALUE"""),-0.3874107846346384)</f>
        <v>-0.3874107846</v>
      </c>
      <c r="F94" s="21">
        <f>IFERROR(__xludf.DUMMYFUNCTION("""COMPUTED_VALUE"""),-1.0070951892927775)</f>
        <v>-1.007095189</v>
      </c>
      <c r="G94" s="23">
        <f>IFERROR(__xludf.DUMMYFUNCTION("""COMPUTED_VALUE"""),0.03148974778905512)</f>
        <v>0.03148974779</v>
      </c>
      <c r="H94" s="4"/>
      <c r="I94" s="5" t="s">
        <v>2567</v>
      </c>
      <c r="J94" s="5" t="s">
        <v>2356</v>
      </c>
      <c r="K94" s="5">
        <v>293.0</v>
      </c>
      <c r="L94" s="5">
        <v>-1.397235</v>
      </c>
      <c r="M94" s="5">
        <v>0.545706</v>
      </c>
      <c r="N94" s="5">
        <v>-0.851529</v>
      </c>
      <c r="O94" s="5">
        <v>0.107601</v>
      </c>
    </row>
    <row r="95">
      <c r="A95" s="12" t="str">
        <f>IFERROR(__xludf.DUMMYFUNCTION("""COMPUTED_VALUE"""),"Troy Taylor")</f>
        <v>Troy Taylor</v>
      </c>
      <c r="B95" s="13" t="str">
        <f>IFERROR(__xludf.DUMMYFUNCTION("""COMPUTED_VALUE"""),"SIA")</f>
        <v>SIA</v>
      </c>
      <c r="C95" s="14">
        <f>IFERROR(__xludf.DUMMYFUNCTION("""COMPUTED_VALUE"""),41.0)</f>
        <v>41</v>
      </c>
      <c r="D95" s="15">
        <f>IFERROR(__xludf.DUMMYFUNCTION("""COMPUTED_VALUE"""),-1.0276611237508098)</f>
        <v>-1.027661124</v>
      </c>
      <c r="E95" s="15">
        <f>IFERROR(__xludf.DUMMYFUNCTION("""COMPUTED_VALUE"""),-0.012396286204472862)</f>
        <v>-0.0123962862</v>
      </c>
      <c r="F95" s="15">
        <f>IFERROR(__xludf.DUMMYFUNCTION("""COMPUTED_VALUE"""),-1.0400574099552826)</f>
        <v>-1.04005741</v>
      </c>
      <c r="G95" s="17">
        <f>IFERROR(__xludf.DUMMYFUNCTION("""COMPUTED_VALUE"""),0.011924900806776696)</f>
        <v>0.01192490081</v>
      </c>
      <c r="H95" s="4"/>
      <c r="I95" s="5" t="s">
        <v>1057</v>
      </c>
      <c r="J95" s="5" t="s">
        <v>2400</v>
      </c>
      <c r="K95" s="5">
        <v>343.0</v>
      </c>
      <c r="L95" s="5">
        <v>0.61802</v>
      </c>
      <c r="M95" s="5">
        <v>-1.476698</v>
      </c>
      <c r="N95" s="5">
        <v>-0.858679</v>
      </c>
      <c r="O95" s="5">
        <v>0.11888</v>
      </c>
    </row>
    <row r="96">
      <c r="A96" s="18" t="str">
        <f>IFERROR(__xludf.DUMMYFUNCTION("""COMPUTED_VALUE"""),"Egor Gontarev")</f>
        <v>Egor Gontarev</v>
      </c>
      <c r="B96" s="19" t="str">
        <f>IFERROR(__xludf.DUMMYFUNCTION("""COMPUTED_VALUE"""),"DZU")</f>
        <v>DZU</v>
      </c>
      <c r="C96" s="20">
        <f>IFERROR(__xludf.DUMMYFUNCTION("""COMPUTED_VALUE"""),40.0)</f>
        <v>40</v>
      </c>
      <c r="D96" s="21">
        <f>IFERROR(__xludf.DUMMYFUNCTION("""COMPUTED_VALUE"""),-0.9467019568926625)</f>
        <v>-0.9467019569</v>
      </c>
      <c r="E96" s="21">
        <f>IFERROR(__xludf.DUMMYFUNCTION("""COMPUTED_VALUE"""),-0.11246366666021501)</f>
        <v>-0.1124636667</v>
      </c>
      <c r="F96" s="21">
        <f>IFERROR(__xludf.DUMMYFUNCTION("""COMPUTED_VALUE"""),-1.0591656235528775)</f>
        <v>-1.059165624</v>
      </c>
      <c r="G96" s="23">
        <f>IFERROR(__xludf.DUMMYFUNCTION("""COMPUTED_VALUE"""),0.011465468583092537)</f>
        <v>0.01146546858</v>
      </c>
      <c r="H96" s="4"/>
      <c r="I96" s="5" t="s">
        <v>2569</v>
      </c>
      <c r="J96" s="5" t="s">
        <v>2471</v>
      </c>
      <c r="K96" s="24">
        <v>731.0</v>
      </c>
      <c r="L96" s="5">
        <v>0.555133</v>
      </c>
      <c r="M96" s="5">
        <v>-1.416571</v>
      </c>
      <c r="N96" s="5">
        <v>-0.861438</v>
      </c>
      <c r="O96" s="5">
        <v>0.253672</v>
      </c>
    </row>
    <row r="97">
      <c r="A97" s="12" t="str">
        <f>IFERROR(__xludf.DUMMYFUNCTION("""COMPUTED_VALUE"""),"Arvydas Siksnius")</f>
        <v>Arvydas Siksnius</v>
      </c>
      <c r="B97" s="13" t="str">
        <f>IFERROR(__xludf.DUMMYFUNCTION("""COMPUTED_VALUE"""),"JUV")</f>
        <v>JUV</v>
      </c>
      <c r="C97" s="14">
        <f>IFERROR(__xludf.DUMMYFUNCTION("""COMPUTED_VALUE"""),1047.5)</f>
        <v>1047.5</v>
      </c>
      <c r="D97" s="15">
        <f>IFERROR(__xludf.DUMMYFUNCTION("""COMPUTED_VALUE"""),1.3127057387470094)</f>
        <v>1.312705739</v>
      </c>
      <c r="E97" s="15">
        <f>IFERROR(__xludf.DUMMYFUNCTION("""COMPUTED_VALUE"""),-2.3967500307522522)</f>
        <v>-2.396750031</v>
      </c>
      <c r="F97" s="15">
        <f>IFERROR(__xludf.DUMMYFUNCTION("""COMPUTED_VALUE"""),-1.084044292005243)</f>
        <v>-1.084044292</v>
      </c>
      <c r="G97" s="17">
        <f>IFERROR(__xludf.DUMMYFUNCTION("""COMPUTED_VALUE"""),0.29159600415488385)</f>
        <v>0.2915960042</v>
      </c>
      <c r="H97" s="4"/>
      <c r="I97" s="5" t="s">
        <v>2570</v>
      </c>
      <c r="J97" s="5" t="s">
        <v>2431</v>
      </c>
      <c r="K97" s="5">
        <v>17.0</v>
      </c>
      <c r="L97" s="5">
        <v>-0.619786</v>
      </c>
      <c r="M97" s="5">
        <v>-0.242346</v>
      </c>
      <c r="N97" s="5">
        <v>-0.862132</v>
      </c>
      <c r="O97" s="5">
        <v>0.005706</v>
      </c>
    </row>
    <row r="98">
      <c r="A98" s="18" t="str">
        <f>IFERROR(__xludf.DUMMYFUNCTION("""COMPUTED_VALUE"""),"James Woodard")</f>
        <v>James Woodard</v>
      </c>
      <c r="B98" s="19" t="str">
        <f>IFERROR(__xludf.DUMMYFUNCTION("""COMPUTED_VALUE"""),"KED")</f>
        <v>KED</v>
      </c>
      <c r="C98" s="20">
        <f>IFERROR(__xludf.DUMMYFUNCTION("""COMPUTED_VALUE"""),830.4)</f>
        <v>830.4</v>
      </c>
      <c r="D98" s="21">
        <f>IFERROR(__xludf.DUMMYFUNCTION("""COMPUTED_VALUE"""),1.1902339750498403)</f>
        <v>1.190233975</v>
      </c>
      <c r="E98" s="21">
        <f>IFERROR(__xludf.DUMMYFUNCTION("""COMPUTED_VALUE"""),-2.2914858063996997)</f>
        <v>-2.291485806</v>
      </c>
      <c r="F98" s="21">
        <f>IFERROR(__xludf.DUMMYFUNCTION("""COMPUTED_VALUE"""),-1.1012518313498594)</f>
        <v>-1.101251831</v>
      </c>
      <c r="G98" s="23">
        <f>IFERROR(__xludf.DUMMYFUNCTION("""COMPUTED_VALUE"""),0.24009232904405847)</f>
        <v>0.240092329</v>
      </c>
      <c r="H98" s="4"/>
      <c r="I98" s="5" t="s">
        <v>860</v>
      </c>
      <c r="J98" s="5" t="s">
        <v>2356</v>
      </c>
      <c r="K98" s="24">
        <v>99.0</v>
      </c>
      <c r="L98" s="5">
        <v>-1.338098</v>
      </c>
      <c r="M98" s="5">
        <v>0.46588</v>
      </c>
      <c r="N98" s="5">
        <v>-0.872218</v>
      </c>
      <c r="O98" s="5">
        <v>0.03557</v>
      </c>
    </row>
    <row r="99">
      <c r="A99" s="12" t="str">
        <f>IFERROR(__xludf.DUMMYFUNCTION("""COMPUTED_VALUE"""),"Gary Talton")</f>
        <v>Gary Talton</v>
      </c>
      <c r="B99" s="13" t="str">
        <f>IFERROR(__xludf.DUMMYFUNCTION("""COMPUTED_VALUE"""),"TEC")</f>
        <v>TEC</v>
      </c>
      <c r="C99" s="14">
        <f>IFERROR(__xludf.DUMMYFUNCTION("""COMPUTED_VALUE"""),342.7)</f>
        <v>342.7</v>
      </c>
      <c r="D99" s="15">
        <f>IFERROR(__xludf.DUMMYFUNCTION("""COMPUTED_VALUE"""),0.5909874277085929)</f>
        <v>0.5909874277</v>
      </c>
      <c r="E99" s="15">
        <f>IFERROR(__xludf.DUMMYFUNCTION("""COMPUTED_VALUE"""),-1.703256760359519)</f>
        <v>-1.70325676</v>
      </c>
      <c r="F99" s="15">
        <f>IFERROR(__xludf.DUMMYFUNCTION("""COMPUTED_VALUE"""),-1.112269332650926)</f>
        <v>-1.112269333</v>
      </c>
      <c r="G99" s="17">
        <f>IFERROR(__xludf.DUMMYFUNCTION("""COMPUTED_VALUE"""),0.09250657175844265)</f>
        <v>0.09250657176</v>
      </c>
      <c r="H99" s="4"/>
      <c r="I99" s="5" t="s">
        <v>2573</v>
      </c>
      <c r="J99" s="5" t="s">
        <v>2405</v>
      </c>
      <c r="K99" s="24">
        <v>1171.0</v>
      </c>
      <c r="L99" s="5">
        <v>-1.0956</v>
      </c>
      <c r="M99" s="5">
        <v>0.14878</v>
      </c>
      <c r="N99" s="5">
        <v>-0.94682</v>
      </c>
      <c r="O99" s="5">
        <v>0.373731</v>
      </c>
    </row>
    <row r="100">
      <c r="A100" s="18" t="str">
        <f>IFERROR(__xludf.DUMMYFUNCTION("""COMPUTED_VALUE"""),"Egidijus Dimsa")</f>
        <v>Egidijus Dimsa</v>
      </c>
      <c r="B100" s="19" t="str">
        <f>IFERROR(__xludf.DUMMYFUNCTION("""COMPUTED_VALUE"""),"PRI")</f>
        <v>PRI</v>
      </c>
      <c r="C100" s="20">
        <f>IFERROR(__xludf.DUMMYFUNCTION("""COMPUTED_VALUE"""),556.7)</f>
        <v>556.7</v>
      </c>
      <c r="D100" s="21">
        <f>IFERROR(__xludf.DUMMYFUNCTION("""COMPUTED_VALUE"""),-0.7505438699527285)</f>
        <v>-0.75054387</v>
      </c>
      <c r="E100" s="21">
        <f>IFERROR(__xludf.DUMMYFUNCTION("""COMPUTED_VALUE"""),-0.37156133645520795)</f>
        <v>-0.3715613365</v>
      </c>
      <c r="F100" s="21">
        <f>IFERROR(__xludf.DUMMYFUNCTION("""COMPUTED_VALUE"""),-1.1221052064079364)</f>
        <v>-1.122105206</v>
      </c>
      <c r="G100" s="23">
        <f>IFERROR(__xludf.DUMMYFUNCTION("""COMPUTED_VALUE"""),0.14893710344679903)</f>
        <v>0.1489371034</v>
      </c>
      <c r="H100" s="4"/>
      <c r="I100" s="5" t="s">
        <v>570</v>
      </c>
      <c r="J100" s="5" t="s">
        <v>2400</v>
      </c>
      <c r="K100" s="5">
        <v>342.0</v>
      </c>
      <c r="L100" s="5">
        <v>0.855393</v>
      </c>
      <c r="M100" s="5">
        <v>-1.864659</v>
      </c>
      <c r="N100" s="5">
        <v>-1.009266</v>
      </c>
      <c r="O100" s="5">
        <v>0.102894</v>
      </c>
    </row>
    <row r="101">
      <c r="A101" s="12" t="str">
        <f>IFERROR(__xludf.DUMMYFUNCTION("""COMPUTED_VALUE"""),"Laurynas Beliauskas")</f>
        <v>Laurynas Beliauskas</v>
      </c>
      <c r="B101" s="13" t="str">
        <f>IFERROR(__xludf.DUMMYFUNCTION("""COMPUTED_VALUE"""),"NEP")</f>
        <v>NEP</v>
      </c>
      <c r="C101" s="14">
        <f>IFERROR(__xludf.DUMMYFUNCTION("""COMPUTED_VALUE"""),310.1)</f>
        <v>310.1</v>
      </c>
      <c r="D101" s="15">
        <f>IFERROR(__xludf.DUMMYFUNCTION("""COMPUTED_VALUE"""),-1.6664271751498116)</f>
        <v>-1.666427175</v>
      </c>
      <c r="E101" s="15">
        <f>IFERROR(__xludf.DUMMYFUNCTION("""COMPUTED_VALUE"""),0.5416085196037124)</f>
        <v>0.5416085196</v>
      </c>
      <c r="F101" s="15">
        <f>IFERROR(__xludf.DUMMYFUNCTION("""COMPUTED_VALUE"""),-1.1248186555460993)</f>
        <v>-1.124818656</v>
      </c>
      <c r="G101" s="17">
        <f>IFERROR(__xludf.DUMMYFUNCTION("""COMPUTED_VALUE"""),0.0861058308566155)</f>
        <v>0.08610583086</v>
      </c>
      <c r="H101" s="4"/>
      <c r="I101" s="5" t="s">
        <v>2575</v>
      </c>
      <c r="J101" s="5" t="s">
        <v>2405</v>
      </c>
      <c r="K101" s="5">
        <v>41.0</v>
      </c>
      <c r="L101" s="5">
        <v>-1.042686</v>
      </c>
      <c r="M101" s="5">
        <v>0.002581</v>
      </c>
      <c r="N101" s="5">
        <v>-1.040105</v>
      </c>
      <c r="O101" s="5">
        <v>0.011924</v>
      </c>
    </row>
    <row r="102">
      <c r="A102" s="18" t="str">
        <f>IFERROR(__xludf.DUMMYFUNCTION("""COMPUTED_VALUE"""),"Brandon Fields")</f>
        <v>Brandon Fields</v>
      </c>
      <c r="B102" s="19" t="str">
        <f>IFERROR(__xludf.DUMMYFUNCTION("""COMPUTED_VALUE"""),"NEP")</f>
        <v>NEP</v>
      </c>
      <c r="C102" s="20">
        <f>IFERROR(__xludf.DUMMYFUNCTION("""COMPUTED_VALUE"""),586.3)</f>
        <v>586.3</v>
      </c>
      <c r="D102" s="21">
        <f>IFERROR(__xludf.DUMMYFUNCTION("""COMPUTED_VALUE"""),-0.31173945978364936)</f>
        <v>-0.3117394598</v>
      </c>
      <c r="E102" s="21">
        <f>IFERROR(__xludf.DUMMYFUNCTION("""COMPUTED_VALUE"""),-0.8408183564723974)</f>
        <v>-0.8408183565</v>
      </c>
      <c r="F102" s="21">
        <f>IFERROR(__xludf.DUMMYFUNCTION("""COMPUTED_VALUE"""),-1.1525578162560468)</f>
        <v>-1.152557816</v>
      </c>
      <c r="G102" s="23">
        <f>IFERROR(__xludf.DUMMYFUNCTION("""COMPUTED_VALUE"""),0.15763865345390804)</f>
        <v>0.1576386535</v>
      </c>
      <c r="H102" s="4"/>
      <c r="I102" s="5" t="s">
        <v>2577</v>
      </c>
      <c r="J102" s="5" t="s">
        <v>2477</v>
      </c>
      <c r="K102" s="5">
        <v>40.0</v>
      </c>
      <c r="L102" s="5">
        <v>-0.961214</v>
      </c>
      <c r="M102" s="5">
        <v>-0.097877</v>
      </c>
      <c r="N102" s="5">
        <v>-1.059091</v>
      </c>
      <c r="O102" s="5">
        <v>0.011466</v>
      </c>
    </row>
    <row r="103">
      <c r="A103" s="12" t="str">
        <f>IFERROR(__xludf.DUMMYFUNCTION("""COMPUTED_VALUE"""),"Jerry Johnson")</f>
        <v>Jerry Johnson</v>
      </c>
      <c r="B103" s="13" t="str">
        <f>IFERROR(__xludf.DUMMYFUNCTION("""COMPUTED_VALUE"""),"NEP")</f>
        <v>NEP</v>
      </c>
      <c r="C103" s="14">
        <f>IFERROR(__xludf.DUMMYFUNCTION("""COMPUTED_VALUE"""),733.8)</f>
        <v>733.8</v>
      </c>
      <c r="D103" s="15">
        <f>IFERROR(__xludf.DUMMYFUNCTION("""COMPUTED_VALUE"""),-0.25246693027872846)</f>
        <v>-0.2524669303</v>
      </c>
      <c r="E103" s="15">
        <f>IFERROR(__xludf.DUMMYFUNCTION("""COMPUTED_VALUE"""),-0.9512494990295931)</f>
        <v>-0.951249499</v>
      </c>
      <c r="F103" s="15">
        <f>IFERROR(__xludf.DUMMYFUNCTION("""COMPUTED_VALUE"""),-1.2037164293083216)</f>
        <v>-1.203716429</v>
      </c>
      <c r="G103" s="17">
        <f>IFERROR(__xludf.DUMMYFUNCTION("""COMPUTED_VALUE"""),0.18538654323659445)</f>
        <v>0.1853865432</v>
      </c>
      <c r="H103" s="4"/>
      <c r="I103" s="5" t="s">
        <v>2579</v>
      </c>
      <c r="J103" s="5" t="s">
        <v>2431</v>
      </c>
      <c r="K103" s="24">
        <v>1048.0</v>
      </c>
      <c r="L103" s="5">
        <v>1.204136</v>
      </c>
      <c r="M103" s="5">
        <v>-2.287402</v>
      </c>
      <c r="N103" s="5">
        <v>-1.083266</v>
      </c>
      <c r="O103" s="5">
        <v>0.291844</v>
      </c>
    </row>
    <row r="104">
      <c r="A104" s="18" t="str">
        <f>IFERROR(__xludf.DUMMYFUNCTION("""COMPUTED_VALUE"""),"Paulius Valinskas")</f>
        <v>Paulius Valinskas</v>
      </c>
      <c r="B104" s="19" t="str">
        <f>IFERROR(__xludf.DUMMYFUNCTION("""COMPUTED_VALUE"""),"ZAL")</f>
        <v>ZAL</v>
      </c>
      <c r="C104" s="20">
        <f>IFERROR(__xludf.DUMMYFUNCTION("""COMPUTED_VALUE"""),678.6)</f>
        <v>678.6</v>
      </c>
      <c r="D104" s="21">
        <f>IFERROR(__xludf.DUMMYFUNCTION("""COMPUTED_VALUE"""),-3.11260521636618)</f>
        <v>-3.112605216</v>
      </c>
      <c r="E104" s="21">
        <f>IFERROR(__xludf.DUMMYFUNCTION("""COMPUTED_VALUE"""),1.8265039857302487)</f>
        <v>1.826503986</v>
      </c>
      <c r="F104" s="21">
        <f>IFERROR(__xludf.DUMMYFUNCTION("""COMPUTED_VALUE"""),-1.2861012306359312)</f>
        <v>-1.286101231</v>
      </c>
      <c r="G104" s="23">
        <f>IFERROR(__xludf.DUMMYFUNCTION("""COMPUTED_VALUE"""),0.14770811869317219)</f>
        <v>0.1477081187</v>
      </c>
      <c r="H104" s="4"/>
      <c r="I104" s="5" t="s">
        <v>2581</v>
      </c>
      <c r="J104" s="5" t="s">
        <v>2471</v>
      </c>
      <c r="K104" s="5">
        <v>557.0</v>
      </c>
      <c r="L104" s="5">
        <v>-0.86081</v>
      </c>
      <c r="M104" s="5">
        <v>-0.261909</v>
      </c>
      <c r="N104" s="5">
        <v>-1.12272</v>
      </c>
      <c r="O104" s="5">
        <v>0.148833</v>
      </c>
    </row>
    <row r="105">
      <c r="A105" s="12" t="str">
        <f>IFERROR(__xludf.DUMMYFUNCTION("""COMPUTED_VALUE"""),"Paulius Petrilevicius")</f>
        <v>Paulius Petrilevicius</v>
      </c>
      <c r="B105" s="13" t="str">
        <f>IFERROR(__xludf.DUMMYFUNCTION("""COMPUTED_VALUE"""),"DZU")</f>
        <v>DZU</v>
      </c>
      <c r="C105" s="14">
        <f>IFERROR(__xludf.DUMMYFUNCTION("""COMPUTED_VALUE"""),937.4)</f>
        <v>937.4</v>
      </c>
      <c r="D105" s="15">
        <f>IFERROR(__xludf.DUMMYFUNCTION("""COMPUTED_VALUE"""),-0.9058076791321955)</f>
        <v>-0.9058076791</v>
      </c>
      <c r="E105" s="15">
        <f>IFERROR(__xludf.DUMMYFUNCTION("""COMPUTED_VALUE"""),-0.39650249980736796)</f>
        <v>-0.3965024998</v>
      </c>
      <c r="F105" s="15">
        <f>IFERROR(__xludf.DUMMYFUNCTION("""COMPUTED_VALUE"""),-1.3023101789395635)</f>
        <v>-1.302310179</v>
      </c>
      <c r="G105" s="17">
        <f>IFERROR(__xludf.DUMMYFUNCTION("""COMPUTED_VALUE"""),0.19925350791016527)</f>
        <v>0.1992535079</v>
      </c>
      <c r="H105" s="4"/>
      <c r="I105" s="5" t="s">
        <v>2582</v>
      </c>
      <c r="J105" s="5" t="s">
        <v>2400</v>
      </c>
      <c r="K105" s="5">
        <v>830.0</v>
      </c>
      <c r="L105" s="5">
        <v>0.213003</v>
      </c>
      <c r="M105" s="5">
        <v>-1.421926</v>
      </c>
      <c r="N105" s="5">
        <v>-1.208923</v>
      </c>
      <c r="O105" s="5">
        <v>0.199517</v>
      </c>
    </row>
    <row r="106">
      <c r="A106" s="18" t="str">
        <f>IFERROR(__xludf.DUMMYFUNCTION("""COMPUTED_VALUE"""),"Lorenzo Williams")</f>
        <v>Lorenzo Williams</v>
      </c>
      <c r="B106" s="19" t="str">
        <f>IFERROR(__xludf.DUMMYFUNCTION("""COMPUTED_VALUE"""),"TEC")</f>
        <v>TEC</v>
      </c>
      <c r="C106" s="20">
        <f>IFERROR(__xludf.DUMMYFUNCTION("""COMPUTED_VALUE"""),973.3)</f>
        <v>973.3</v>
      </c>
      <c r="D106" s="21">
        <f>IFERROR(__xludf.DUMMYFUNCTION("""COMPUTED_VALUE"""),0.15278582068783603)</f>
        <v>0.1527858207</v>
      </c>
      <c r="E106" s="21">
        <f>IFERROR(__xludf.DUMMYFUNCTION("""COMPUTED_VALUE"""),-1.4644717169086114)</f>
        <v>-1.464471717</v>
      </c>
      <c r="F106" s="21">
        <f>IFERROR(__xludf.DUMMYFUNCTION("""COMPUTED_VALUE"""),-1.3116858962207754)</f>
        <v>-1.311685896</v>
      </c>
      <c r="G106" s="23">
        <f>IFERROR(__xludf.DUMMYFUNCTION("""COMPUTED_VALUE"""),0.2037092035445741)</f>
        <v>0.2037092035</v>
      </c>
      <c r="H106" s="4"/>
      <c r="I106" s="5" t="s">
        <v>2584</v>
      </c>
      <c r="J106" s="5" t="s">
        <v>2477</v>
      </c>
      <c r="K106" s="5">
        <v>937.0</v>
      </c>
      <c r="L106" s="5">
        <v>-1.015459</v>
      </c>
      <c r="M106" s="5">
        <v>-0.286962</v>
      </c>
      <c r="N106" s="5">
        <v>-1.30242</v>
      </c>
      <c r="O106" s="5">
        <v>0.199222</v>
      </c>
    </row>
    <row r="107">
      <c r="A107" s="12" t="str">
        <f>IFERROR(__xludf.DUMMYFUNCTION("""COMPUTED_VALUE"""),"Laimonas Chatkevicius")</f>
        <v>Laimonas Chatkevicius</v>
      </c>
      <c r="B107" s="13" t="str">
        <f>IFERROR(__xludf.DUMMYFUNCTION("""COMPUTED_VALUE"""),"NEP")</f>
        <v>NEP</v>
      </c>
      <c r="C107" s="14">
        <f>IFERROR(__xludf.DUMMYFUNCTION("""COMPUTED_VALUE"""),28.2)</f>
        <v>28.2</v>
      </c>
      <c r="D107" s="15">
        <f>IFERROR(__xludf.DUMMYFUNCTION("""COMPUTED_VALUE"""),-1.1961466994162153)</f>
        <v>-1.196146699</v>
      </c>
      <c r="E107" s="15">
        <f>IFERROR(__xludf.DUMMYFUNCTION("""COMPUTED_VALUE"""),-0.16446391292312068)</f>
        <v>-0.1644639129</v>
      </c>
      <c r="F107" s="15">
        <f>IFERROR(__xludf.DUMMYFUNCTION("""COMPUTED_VALUE"""),-1.360610612339336)</f>
        <v>-1.360610612</v>
      </c>
      <c r="G107" s="17">
        <f>IFERROR(__xludf.DUMMYFUNCTION("""COMPUTED_VALUE"""),0.0057206750053030225)</f>
        <v>0.005720675005</v>
      </c>
      <c r="H107" s="4"/>
      <c r="I107" s="5" t="s">
        <v>2586</v>
      </c>
      <c r="J107" s="5" t="s">
        <v>2356</v>
      </c>
      <c r="K107" s="5">
        <v>28.0</v>
      </c>
      <c r="L107" s="5">
        <v>-1.180968</v>
      </c>
      <c r="M107" s="5">
        <v>-0.15712</v>
      </c>
      <c r="N107" s="5">
        <v>-1.338088</v>
      </c>
      <c r="O107" s="5">
        <v>0.005977</v>
      </c>
    </row>
    <row r="108">
      <c r="A108" s="18" t="str">
        <f>IFERROR(__xludf.DUMMYFUNCTION("""COMPUTED_VALUE"""),"Jahenns Manigat")</f>
        <v>Jahenns Manigat</v>
      </c>
      <c r="B108" s="19" t="str">
        <f>IFERROR(__xludf.DUMMYFUNCTION("""COMPUTED_VALUE"""),"PZV")</f>
        <v>PZV</v>
      </c>
      <c r="C108" s="20">
        <f>IFERROR(__xludf.DUMMYFUNCTION("""COMPUTED_VALUE"""),548.7)</f>
        <v>548.7</v>
      </c>
      <c r="D108" s="21">
        <f>IFERROR(__xludf.DUMMYFUNCTION("""COMPUTED_VALUE"""),0.2329497206502722)</f>
        <v>0.2329497207</v>
      </c>
      <c r="E108" s="21">
        <f>IFERROR(__xludf.DUMMYFUNCTION("""COMPUTED_VALUE"""),-1.6011640693100377)</f>
        <v>-1.601164069</v>
      </c>
      <c r="F108" s="21">
        <f>IFERROR(__xludf.DUMMYFUNCTION("""COMPUTED_VALUE"""),-1.3682143486597655)</f>
        <v>-1.368214349</v>
      </c>
      <c r="G108" s="23">
        <f>IFERROR(__xludf.DUMMYFUNCTION("""COMPUTED_VALUE"""),0.10571833683848016)</f>
        <v>0.1057183368</v>
      </c>
      <c r="H108" s="4"/>
      <c r="I108" s="5" t="s">
        <v>816</v>
      </c>
      <c r="J108" s="5" t="s">
        <v>2408</v>
      </c>
      <c r="K108" s="5">
        <v>549.0</v>
      </c>
      <c r="L108" s="5">
        <v>0.123306</v>
      </c>
      <c r="M108" s="5">
        <v>-1.491625</v>
      </c>
      <c r="N108" s="5">
        <v>-1.368318</v>
      </c>
      <c r="O108" s="5">
        <v>0.105701</v>
      </c>
    </row>
    <row r="109">
      <c r="A109" s="12" t="str">
        <f>IFERROR(__xludf.DUMMYFUNCTION("""COMPUTED_VALUE"""),"Alexander Zakharov")</f>
        <v>Alexander Zakharov</v>
      </c>
      <c r="B109" s="13" t="str">
        <f>IFERROR(__xludf.DUMMYFUNCTION("""COMPUTED_VALUE"""),"KED")</f>
        <v>KED</v>
      </c>
      <c r="C109" s="14">
        <f>IFERROR(__xludf.DUMMYFUNCTION("""COMPUTED_VALUE"""),419.6)</f>
        <v>419.6</v>
      </c>
      <c r="D109" s="15">
        <f>IFERROR(__xludf.DUMMYFUNCTION("""COMPUTED_VALUE"""),1.4537051186474748)</f>
        <v>1.453705119</v>
      </c>
      <c r="E109" s="15">
        <f>IFERROR(__xludf.DUMMYFUNCTION("""COMPUTED_VALUE"""),-2.8397042224502473)</f>
        <v>-2.839704222</v>
      </c>
      <c r="F109" s="15">
        <f>IFERROR(__xludf.DUMMYFUNCTION("""COMPUTED_VALUE"""),-1.3859991038027726)</f>
        <v>-1.385999104</v>
      </c>
      <c r="G109" s="17">
        <f>IFERROR(__xludf.DUMMYFUNCTION("""COMPUTED_VALUE"""),0.08288146331672068)</f>
        <v>0.08288146332</v>
      </c>
      <c r="H109" s="4"/>
      <c r="I109" s="5" t="s">
        <v>2587</v>
      </c>
      <c r="J109" s="5" t="s">
        <v>2471</v>
      </c>
      <c r="K109" s="5">
        <v>29.0</v>
      </c>
      <c r="L109" s="5">
        <v>-1.109635</v>
      </c>
      <c r="M109" s="5">
        <v>-0.349045</v>
      </c>
      <c r="N109" s="5">
        <v>-1.45868</v>
      </c>
      <c r="O109" s="5">
        <v>0.004768</v>
      </c>
    </row>
    <row r="110">
      <c r="A110" s="18" t="str">
        <f>IFERROR(__xludf.DUMMYFUNCTION("""COMPUTED_VALUE"""),"Bartas Aleksandravicius")</f>
        <v>Bartas Aleksandravicius</v>
      </c>
      <c r="B110" s="19" t="str">
        <f>IFERROR(__xludf.DUMMYFUNCTION("""COMPUTED_VALUE"""),"PRI")</f>
        <v>PRI</v>
      </c>
      <c r="C110" s="20">
        <f>IFERROR(__xludf.DUMMYFUNCTION("""COMPUTED_VALUE"""),28.9)</f>
        <v>28.9</v>
      </c>
      <c r="D110" s="21">
        <f>IFERROR(__xludf.DUMMYFUNCTION("""COMPUTED_VALUE"""),-1.0995863695782637)</f>
        <v>-1.09958637</v>
      </c>
      <c r="E110" s="21">
        <f>IFERROR(__xludf.DUMMYFUNCTION("""COMPUTED_VALUE"""),-0.35950617507016025)</f>
        <v>-0.3595061751</v>
      </c>
      <c r="F110" s="21">
        <f>IFERROR(__xludf.DUMMYFUNCTION("""COMPUTED_VALUE"""),-1.459092544648424)</f>
        <v>-1.459092545</v>
      </c>
      <c r="G110" s="23">
        <f>IFERROR(__xludf.DUMMYFUNCTION("""COMPUTED_VALUE"""),0.004763871284990268)</f>
        <v>0.004763871285</v>
      </c>
      <c r="H110" s="4"/>
      <c r="I110" s="5" t="s">
        <v>2588</v>
      </c>
      <c r="J110" s="5" t="s">
        <v>2356</v>
      </c>
      <c r="K110" s="24">
        <v>354.0</v>
      </c>
      <c r="L110" s="5">
        <v>0.10044</v>
      </c>
      <c r="M110" s="5">
        <v>-1.559401</v>
      </c>
      <c r="N110" s="5">
        <v>-1.458961</v>
      </c>
      <c r="O110" s="5">
        <v>0.061276</v>
      </c>
    </row>
    <row r="111">
      <c r="A111" s="12" t="str">
        <f>IFERROR(__xludf.DUMMYFUNCTION("""COMPUTED_VALUE"""),"Roberts Stumbris")</f>
        <v>Roberts Stumbris</v>
      </c>
      <c r="B111" s="13" t="str">
        <f>IFERROR(__xludf.DUMMYFUNCTION("""COMPUTED_VALUE"""),"KED")</f>
        <v>KED</v>
      </c>
      <c r="C111" s="14">
        <f>IFERROR(__xludf.DUMMYFUNCTION("""COMPUTED_VALUE"""),33.6)</f>
        <v>33.6</v>
      </c>
      <c r="D111" s="15">
        <f>IFERROR(__xludf.DUMMYFUNCTION("""COMPUTED_VALUE"""),-0.9775061656173136)</f>
        <v>-0.9775061656</v>
      </c>
      <c r="E111" s="15">
        <f>IFERROR(__xludf.DUMMYFUNCTION("""COMPUTED_VALUE"""),-0.5439657176953074)</f>
        <v>-0.5439657177</v>
      </c>
      <c r="F111" s="15">
        <f>IFERROR(__xludf.DUMMYFUNCTION("""COMPUTED_VALUE"""),-1.521471883312621)</f>
        <v>-1.521471883</v>
      </c>
      <c r="G111" s="17">
        <f>IFERROR(__xludf.DUMMYFUNCTION("""COMPUTED_VALUE"""),0.005172490045463345)</f>
        <v>0.005172490045</v>
      </c>
      <c r="H111" s="4"/>
      <c r="I111" s="5" t="s">
        <v>2590</v>
      </c>
      <c r="J111" s="5" t="s">
        <v>2488</v>
      </c>
      <c r="K111" s="5">
        <v>34.0</v>
      </c>
      <c r="L111" s="5">
        <v>-0.982354</v>
      </c>
      <c r="M111" s="5">
        <v>-0.515439</v>
      </c>
      <c r="N111" s="5">
        <v>-1.497793</v>
      </c>
      <c r="O111" s="5">
        <v>0.005406</v>
      </c>
    </row>
    <row r="112">
      <c r="A112" s="18" t="str">
        <f>IFERROR(__xludf.DUMMYFUNCTION("""COMPUTED_VALUE"""),"Alexey Zhukanenko")</f>
        <v>Alexey Zhukanenko</v>
      </c>
      <c r="B112" s="19" t="str">
        <f>IFERROR(__xludf.DUMMYFUNCTION("""COMPUTED_VALUE"""),"PZV")</f>
        <v>PZV</v>
      </c>
      <c r="C112" s="20">
        <f>IFERROR(__xludf.DUMMYFUNCTION("""COMPUTED_VALUE"""),86.2)</f>
        <v>86.2</v>
      </c>
      <c r="D112" s="21">
        <f>IFERROR(__xludf.DUMMYFUNCTION("""COMPUTED_VALUE"""),-2.131218889949927)</f>
        <v>-2.13121889</v>
      </c>
      <c r="E112" s="21">
        <f>IFERROR(__xludf.DUMMYFUNCTION("""COMPUTED_VALUE"""),0.5706651903667563)</f>
        <v>0.5706651904</v>
      </c>
      <c r="F112" s="21">
        <f>IFERROR(__xludf.DUMMYFUNCTION("""COMPUTED_VALUE"""),-1.5605536995831708)</f>
        <v>-1.5605537</v>
      </c>
      <c r="G112" s="23">
        <f>IFERROR(__xludf.DUMMYFUNCTION("""COMPUTED_VALUE"""),0.0115520399499895)</f>
        <v>0.01155203995</v>
      </c>
      <c r="H112" s="4"/>
      <c r="I112" s="5" t="s">
        <v>2591</v>
      </c>
      <c r="J112" s="5" t="s">
        <v>2408</v>
      </c>
      <c r="K112" s="24">
        <v>86.0</v>
      </c>
      <c r="L112" s="5">
        <v>-2.162572</v>
      </c>
      <c r="M112" s="5">
        <v>0.602113</v>
      </c>
      <c r="N112" s="5">
        <v>-1.560459</v>
      </c>
      <c r="O112" s="5">
        <v>0.011555</v>
      </c>
    </row>
    <row r="113">
      <c r="A113" s="12" t="str">
        <f>IFERROR(__xludf.DUMMYFUNCTION("""COMPUTED_VALUE"""),"Tadas Klimavicius")</f>
        <v>Tadas Klimavicius</v>
      </c>
      <c r="B113" s="13" t="str">
        <f>IFERROR(__xludf.DUMMYFUNCTION("""COMPUTED_VALUE"""),"PRI")</f>
        <v>PRI</v>
      </c>
      <c r="C113" s="14">
        <f>IFERROR(__xludf.DUMMYFUNCTION("""COMPUTED_VALUE"""),144.0)</f>
        <v>144</v>
      </c>
      <c r="D113" s="15">
        <f>IFERROR(__xludf.DUMMYFUNCTION("""COMPUTED_VALUE"""),-0.6654024270805762)</f>
        <v>-0.6654024271</v>
      </c>
      <c r="E113" s="15">
        <f>IFERROR(__xludf.DUMMYFUNCTION("""COMPUTED_VALUE"""),-1.0357108375584474)</f>
        <v>-1.035710838</v>
      </c>
      <c r="F113" s="15">
        <f>IFERROR(__xludf.DUMMYFUNCTION("""COMPUTED_VALUE"""),-1.7011132646390235)</f>
        <v>-1.701113265</v>
      </c>
      <c r="G113" s="17">
        <f>IFERROR(__xludf.DUMMYFUNCTION("""COMPUTED_VALUE"""),0.01311620941755178)</f>
        <v>0.01311620942</v>
      </c>
      <c r="H113" s="4"/>
      <c r="I113" s="5" t="s">
        <v>2593</v>
      </c>
      <c r="J113" s="5" t="s">
        <v>2471</v>
      </c>
      <c r="K113" s="5">
        <v>144.0</v>
      </c>
      <c r="L113" s="5">
        <v>-0.718781</v>
      </c>
      <c r="M113" s="5">
        <v>-0.982998</v>
      </c>
      <c r="N113" s="5">
        <v>-1.701779</v>
      </c>
      <c r="O113" s="5">
        <v>0.013087</v>
      </c>
    </row>
    <row r="114">
      <c r="A114" s="18" t="str">
        <f>IFERROR(__xludf.DUMMYFUNCTION("""COMPUTED_VALUE"""),"Justas Sinica")</f>
        <v>Justas Sinica</v>
      </c>
      <c r="B114" s="19" t="str">
        <f>IFERROR(__xludf.DUMMYFUNCTION("""COMPUTED_VALUE"""),"PRI")</f>
        <v>PRI</v>
      </c>
      <c r="C114" s="20">
        <f>IFERROR(__xludf.DUMMYFUNCTION("""COMPUTED_VALUE"""),875.6)</f>
        <v>875.6</v>
      </c>
      <c r="D114" s="21">
        <f>IFERROR(__xludf.DUMMYFUNCTION("""COMPUTED_VALUE"""),0.7906317804165508)</f>
        <v>0.7906317804</v>
      </c>
      <c r="E114" s="21">
        <f>IFERROR(__xludf.DUMMYFUNCTION("""COMPUTED_VALUE"""),-2.521049279549595)</f>
        <v>-2.52104928</v>
      </c>
      <c r="F114" s="21">
        <f>IFERROR(__xludf.DUMMYFUNCTION("""COMPUTED_VALUE"""),-1.7304174991330443)</f>
        <v>-1.730417499</v>
      </c>
      <c r="G114" s="23">
        <f>IFERROR(__xludf.DUMMYFUNCTION("""COMPUTED_VALUE"""),0.07193440560761129)</f>
        <v>0.07193440561</v>
      </c>
      <c r="H114" s="4"/>
      <c r="I114" s="5" t="s">
        <v>2594</v>
      </c>
      <c r="J114" s="5" t="s">
        <v>2356</v>
      </c>
      <c r="K114" s="5">
        <v>69.0</v>
      </c>
      <c r="L114" s="5">
        <v>-1.922464</v>
      </c>
      <c r="M114" s="5">
        <v>0.199416</v>
      </c>
      <c r="N114" s="5">
        <v>-1.723048</v>
      </c>
      <c r="O114" s="5">
        <v>0.006101</v>
      </c>
    </row>
    <row r="115">
      <c r="A115" s="12" t="str">
        <f>IFERROR(__xludf.DUMMYFUNCTION("""COMPUTED_VALUE"""),"Julius Kazakauskas")</f>
        <v>Julius Kazakauskas</v>
      </c>
      <c r="B115" s="13" t="str">
        <f>IFERROR(__xludf.DUMMYFUNCTION("""COMPUTED_VALUE"""),"PZV")</f>
        <v>PZV</v>
      </c>
      <c r="C115" s="14">
        <f>IFERROR(__xludf.DUMMYFUNCTION("""COMPUTED_VALUE"""),162.0)</f>
        <v>162</v>
      </c>
      <c r="D115" s="15">
        <f>IFERROR(__xludf.DUMMYFUNCTION("""COMPUTED_VALUE"""),-0.5670267679819646)</f>
        <v>-0.567026768</v>
      </c>
      <c r="E115" s="15">
        <f>IFERROR(__xludf.DUMMYFUNCTION("""COMPUTED_VALUE"""),-1.1946790019675606)</f>
        <v>-1.194679002</v>
      </c>
      <c r="F115" s="15">
        <f>IFERROR(__xludf.DUMMYFUNCTION("""COMPUTED_VALUE"""),-1.761705769949525)</f>
        <v>-1.76170577</v>
      </c>
      <c r="G115" s="17">
        <f>IFERROR(__xludf.DUMMYFUNCTION("""COMPUTED_VALUE"""),0.011772647620832598)</f>
        <v>0.01177264762</v>
      </c>
      <c r="H115" s="4"/>
      <c r="I115" s="5" t="s">
        <v>2595</v>
      </c>
      <c r="J115" s="5" t="s">
        <v>2471</v>
      </c>
      <c r="K115" s="24">
        <v>876.0</v>
      </c>
      <c r="L115" s="5">
        <v>0.680983</v>
      </c>
      <c r="M115" s="5">
        <v>-2.411507</v>
      </c>
      <c r="N115" s="5">
        <v>-1.730525</v>
      </c>
      <c r="O115" s="5">
        <v>0.071906</v>
      </c>
    </row>
    <row r="116">
      <c r="A116" s="18" t="str">
        <f>IFERROR(__xludf.DUMMYFUNCTION("""COMPUTED_VALUE"""),"Dominik Mavra")</f>
        <v>Dominik Mavra</v>
      </c>
      <c r="B116" s="19" t="str">
        <f>IFERROR(__xludf.DUMMYFUNCTION("""COMPUTED_VALUE"""),"TEC")</f>
        <v>TEC</v>
      </c>
      <c r="C116" s="20">
        <f>IFERROR(__xludf.DUMMYFUNCTION("""COMPUTED_VALUE"""),498.4)</f>
        <v>498.4</v>
      </c>
      <c r="D116" s="21">
        <f>IFERROR(__xludf.DUMMYFUNCTION("""COMPUTED_VALUE"""),-0.12604715476190936)</f>
        <v>-0.1260471548</v>
      </c>
      <c r="E116" s="21">
        <f>IFERROR(__xludf.DUMMYFUNCTION("""COMPUTED_VALUE"""),-1.6476148827386725)</f>
        <v>-1.647614883</v>
      </c>
      <c r="F116" s="21">
        <f>IFERROR(__xludf.DUMMYFUNCTION("""COMPUTED_VALUE"""),-1.7736620375005818)</f>
        <v>-1.773662038</v>
      </c>
      <c r="G116" s="23">
        <f>IFERROR(__xludf.DUMMYFUNCTION("""COMPUTED_VALUE"""),0.03430146702699292)</f>
        <v>0.03430146703</v>
      </c>
      <c r="H116" s="4"/>
      <c r="I116" s="5" t="s">
        <v>2597</v>
      </c>
      <c r="J116" s="5" t="s">
        <v>2408</v>
      </c>
      <c r="K116" s="5">
        <v>162.0</v>
      </c>
      <c r="L116" s="5">
        <v>-0.625017</v>
      </c>
      <c r="M116" s="5">
        <v>-1.135744</v>
      </c>
      <c r="N116" s="5">
        <v>-1.760761</v>
      </c>
      <c r="O116" s="5">
        <v>0.011819</v>
      </c>
    </row>
    <row r="117">
      <c r="A117" s="12" t="str">
        <f>IFERROR(__xludf.DUMMYFUNCTION("""COMPUTED_VALUE"""),"Jameel McKay")</f>
        <v>Jameel McKay</v>
      </c>
      <c r="B117" s="13" t="str">
        <f>IFERROR(__xludf.DUMMYFUNCTION("""COMPUTED_VALUE"""),"NEP")</f>
        <v>NEP</v>
      </c>
      <c r="C117" s="14">
        <f>IFERROR(__xludf.DUMMYFUNCTION("""COMPUTED_VALUE"""),68.8)</f>
        <v>68.8</v>
      </c>
      <c r="D117" s="15">
        <f>IFERROR(__xludf.DUMMYFUNCTION("""COMPUTED_VALUE"""),-1.9730830651800348)</f>
        <v>-1.973083065</v>
      </c>
      <c r="E117" s="15">
        <f>IFERROR(__xludf.DUMMYFUNCTION("""COMPUTED_VALUE"""),0.18104169695975614)</f>
        <v>0.181041697</v>
      </c>
      <c r="F117" s="15">
        <f>IFERROR(__xludf.DUMMYFUNCTION("""COMPUTED_VALUE"""),-1.7920413682202787)</f>
        <v>-1.792041368</v>
      </c>
      <c r="G117" s="17">
        <f>IFERROR(__xludf.DUMMYFUNCTION("""COMPUTED_VALUE"""),0.004539396657705308)</f>
        <v>0.004539396658</v>
      </c>
      <c r="H117" s="4"/>
      <c r="I117" s="5" t="s">
        <v>1043</v>
      </c>
      <c r="J117" s="5" t="s">
        <v>2408</v>
      </c>
      <c r="K117" s="5">
        <v>57.0</v>
      </c>
      <c r="L117" s="5">
        <v>-0.938306</v>
      </c>
      <c r="M117" s="5">
        <v>-0.902884</v>
      </c>
      <c r="N117" s="5">
        <v>-1.84119</v>
      </c>
      <c r="O117" s="5">
        <v>0.002751</v>
      </c>
    </row>
    <row r="118">
      <c r="A118" s="18" t="str">
        <f>IFERROR(__xludf.DUMMYFUNCTION("""COMPUTED_VALUE"""),"Ryan Anderson")</f>
        <v>Ryan Anderson</v>
      </c>
      <c r="B118" s="19" t="str">
        <f>IFERROR(__xludf.DUMMYFUNCTION("""COMPUTED_VALUE"""),"PZV")</f>
        <v>PZV</v>
      </c>
      <c r="C118" s="20">
        <f>IFERROR(__xludf.DUMMYFUNCTION("""COMPUTED_VALUE"""),56.8)</f>
        <v>56.8</v>
      </c>
      <c r="D118" s="21">
        <f>IFERROR(__xludf.DUMMYFUNCTION("""COMPUTED_VALUE"""),-0.9170872079383067)</f>
        <v>-0.9170872079</v>
      </c>
      <c r="E118" s="21">
        <f>IFERROR(__xludf.DUMMYFUNCTION("""COMPUTED_VALUE"""),-0.9237053844512771)</f>
        <v>-0.9237053845</v>
      </c>
      <c r="F118" s="21">
        <f>IFERROR(__xludf.DUMMYFUNCTION("""COMPUTED_VALUE"""),-1.8407925923895838)</f>
        <v>-1.840792592</v>
      </c>
      <c r="G118" s="23">
        <f>IFERROR(__xludf.DUMMYFUNCTION("""COMPUTED_VALUE"""),0.0027577647122079426)</f>
        <v>0.002757764712</v>
      </c>
      <c r="H118" s="4"/>
      <c r="I118" s="5" t="s">
        <v>2598</v>
      </c>
      <c r="J118" s="5" t="s">
        <v>2471</v>
      </c>
      <c r="K118" s="24">
        <v>64.0</v>
      </c>
      <c r="L118" s="5">
        <v>-1.020381</v>
      </c>
      <c r="M118" s="5">
        <v>-0.971315</v>
      </c>
      <c r="N118" s="5">
        <v>-1.991696</v>
      </c>
      <c r="O118" s="5">
        <v>1.62E-4</v>
      </c>
    </row>
    <row r="119">
      <c r="A119" s="12" t="str">
        <f>IFERROR(__xludf.DUMMYFUNCTION("""COMPUTED_VALUE"""),"Karlis Apsitis")</f>
        <v>Karlis Apsitis</v>
      </c>
      <c r="B119" s="13" t="str">
        <f>IFERROR(__xludf.DUMMYFUNCTION("""COMPUTED_VALUE"""),"PRI")</f>
        <v>PRI</v>
      </c>
      <c r="C119" s="14">
        <f>IFERROR(__xludf.DUMMYFUNCTION("""COMPUTED_VALUE"""),63.900000000000006)</f>
        <v>63.9</v>
      </c>
      <c r="D119" s="15">
        <f>IFERROR(__xludf.DUMMYFUNCTION("""COMPUTED_VALUE"""),-0.9802117525634346)</f>
        <v>-0.9802117526</v>
      </c>
      <c r="E119" s="15">
        <f>IFERROR(__xludf.DUMMYFUNCTION("""COMPUTED_VALUE"""),-1.0257970710046156)</f>
        <v>-1.025797071</v>
      </c>
      <c r="F119" s="15">
        <f>IFERROR(__xludf.DUMMYFUNCTION("""COMPUTED_VALUE"""),-2.00600882356805)</f>
        <v>-2.006008824</v>
      </c>
      <c r="G119" s="17">
        <f>IFERROR(__xludf.DUMMYFUNCTION("""COMPUTED_VALUE"""),-1.1701176200848747E-4)</f>
        <v>-0.000117011762</v>
      </c>
      <c r="H119" s="4"/>
      <c r="I119" s="5" t="s">
        <v>917</v>
      </c>
      <c r="J119" s="5" t="s">
        <v>2408</v>
      </c>
      <c r="K119" s="24">
        <v>608.0</v>
      </c>
      <c r="L119" s="5">
        <v>-1.360242</v>
      </c>
      <c r="M119" s="5">
        <v>-0.686311</v>
      </c>
      <c r="N119" s="5">
        <v>-2.046553</v>
      </c>
      <c r="O119" s="5">
        <v>-0.008633</v>
      </c>
    </row>
    <row r="120">
      <c r="A120" s="18" t="str">
        <f>IFERROR(__xludf.DUMMYFUNCTION("""COMPUTED_VALUE"""),"Osvaldas Olisevicius")</f>
        <v>Osvaldas Olisevicius</v>
      </c>
      <c r="B120" s="19" t="str">
        <f>IFERROR(__xludf.DUMMYFUNCTION("""COMPUTED_VALUE"""),"PZV")</f>
        <v>PZV</v>
      </c>
      <c r="C120" s="20">
        <f>IFERROR(__xludf.DUMMYFUNCTION("""COMPUTED_VALUE"""),608.1)</f>
        <v>608.1</v>
      </c>
      <c r="D120" s="21">
        <f>IFERROR(__xludf.DUMMYFUNCTION("""COMPUTED_VALUE"""),-1.249674384699846)</f>
        <v>-1.249674385</v>
      </c>
      <c r="E120" s="21">
        <f>IFERROR(__xludf.DUMMYFUNCTION("""COMPUTED_VALUE"""),-0.7960146416692493)</f>
        <v>-0.7960146417</v>
      </c>
      <c r="F120" s="21">
        <f>IFERROR(__xludf.DUMMYFUNCTION("""COMPUTED_VALUE"""),-2.045689026369095)</f>
        <v>-2.045689026</v>
      </c>
      <c r="G120" s="23">
        <f>IFERROR(__xludf.DUMMYFUNCTION("""COMPUTED_VALUE"""),-0.00847290838366124)</f>
        <v>-0.008472908384</v>
      </c>
      <c r="H120" s="4"/>
      <c r="I120" s="5" t="s">
        <v>265</v>
      </c>
      <c r="J120" s="5" t="s">
        <v>2477</v>
      </c>
      <c r="K120" s="5">
        <v>273.0</v>
      </c>
      <c r="L120" s="5">
        <v>-2.137449</v>
      </c>
      <c r="M120" s="5">
        <v>0.067204</v>
      </c>
      <c r="N120" s="5">
        <v>-2.070245</v>
      </c>
      <c r="O120" s="5">
        <v>-0.005847</v>
      </c>
    </row>
    <row r="121">
      <c r="A121" s="12" t="str">
        <f>IFERROR(__xludf.DUMMYFUNCTION("""COMPUTED_VALUE"""),"Alan Wiggins, Jr.")</f>
        <v>Alan Wiggins, Jr.</v>
      </c>
      <c r="B121" s="13" t="str">
        <f>IFERROR(__xludf.DUMMYFUNCTION("""COMPUTED_VALUE"""),"DZU")</f>
        <v>DZU</v>
      </c>
      <c r="C121" s="14">
        <f>IFERROR(__xludf.DUMMYFUNCTION("""COMPUTED_VALUE"""),273.2)</f>
        <v>273.2</v>
      </c>
      <c r="D121" s="15">
        <f>IFERROR(__xludf.DUMMYFUNCTION("""COMPUTED_VALUE"""),-2.038137535394069)</f>
        <v>-2.038137535</v>
      </c>
      <c r="E121" s="15">
        <f>IFERROR(__xludf.DUMMYFUNCTION("""COMPUTED_VALUE"""),-0.03245456258308055)</f>
        <v>-0.03245456258</v>
      </c>
      <c r="F121" s="15">
        <f>IFERROR(__xludf.DUMMYFUNCTION("""COMPUTED_VALUE"""),-2.0705920979771495)</f>
        <v>-2.070592098</v>
      </c>
      <c r="G121" s="17">
        <f>IFERROR(__xludf.DUMMYFUNCTION("""COMPUTED_VALUE"""),-0.0058756433199320945)</f>
        <v>-0.00587564332</v>
      </c>
      <c r="H121" s="4"/>
      <c r="I121" s="5" t="s">
        <v>2601</v>
      </c>
      <c r="J121" s="5" t="s">
        <v>2477</v>
      </c>
      <c r="K121" s="5">
        <v>796.0</v>
      </c>
      <c r="L121" s="5">
        <v>-1.314968</v>
      </c>
      <c r="M121" s="5">
        <v>-0.774608</v>
      </c>
      <c r="N121" s="5">
        <v>-2.089576</v>
      </c>
      <c r="O121" s="5">
        <v>-0.021718</v>
      </c>
    </row>
    <row r="122">
      <c r="A122" s="18" t="str">
        <f>IFERROR(__xludf.DUMMYFUNCTION("""COMPUTED_VALUE"""),"Gediminas Zalalis")</f>
        <v>Gediminas Zalalis</v>
      </c>
      <c r="B122" s="19" t="str">
        <f>IFERROR(__xludf.DUMMYFUNCTION("""COMPUTED_VALUE"""),"DZU")</f>
        <v>DZU</v>
      </c>
      <c r="C122" s="20">
        <f>IFERROR(__xludf.DUMMYFUNCTION("""COMPUTED_VALUE"""),795.8)</f>
        <v>795.8</v>
      </c>
      <c r="D122" s="21">
        <f>IFERROR(__xludf.DUMMYFUNCTION("""COMPUTED_VALUE"""),-1.2072417017809127)</f>
        <v>-1.207241702</v>
      </c>
      <c r="E122" s="21">
        <f>IFERROR(__xludf.DUMMYFUNCTION("""COMPUTED_VALUE"""),-0.8838061581833423)</f>
        <v>-0.8838061582</v>
      </c>
      <c r="F122" s="21">
        <f>IFERROR(__xludf.DUMMYFUNCTION("""COMPUTED_VALUE"""),-2.091047859964255)</f>
        <v>-2.09104786</v>
      </c>
      <c r="G122" s="23">
        <f>IFERROR(__xludf.DUMMYFUNCTION("""COMPUTED_VALUE"""),-0.022074573282813138)</f>
        <v>-0.02207457328</v>
      </c>
      <c r="H122" s="4"/>
      <c r="I122" s="5" t="s">
        <v>2602</v>
      </c>
      <c r="J122" s="5" t="s">
        <v>2400</v>
      </c>
      <c r="K122" s="24">
        <v>638.0</v>
      </c>
      <c r="L122" s="5">
        <v>-0.23093</v>
      </c>
      <c r="M122" s="5">
        <v>-1.910594</v>
      </c>
      <c r="N122" s="5">
        <v>-2.141524</v>
      </c>
      <c r="O122" s="5">
        <v>-0.027426</v>
      </c>
    </row>
    <row r="123">
      <c r="A123" s="12" t="str">
        <f>IFERROR(__xludf.DUMMYFUNCTION("""COMPUTED_VALUE"""),"Povilas Cukinas")</f>
        <v>Povilas Cukinas</v>
      </c>
      <c r="B123" s="13" t="str">
        <f>IFERROR(__xludf.DUMMYFUNCTION("""COMPUTED_VALUE"""),"DZU")</f>
        <v>DZU</v>
      </c>
      <c r="C123" s="14">
        <f>IFERROR(__xludf.DUMMYFUNCTION("""COMPUTED_VALUE"""),347.2)</f>
        <v>347.2</v>
      </c>
      <c r="D123" s="15">
        <f>IFERROR(__xludf.DUMMYFUNCTION("""COMPUTED_VALUE"""),-1.8935057520587097)</f>
        <v>-1.893505752</v>
      </c>
      <c r="E123" s="15">
        <f>IFERROR(__xludf.DUMMYFUNCTION("""COMPUTED_VALUE"""),-0.277989263138803)</f>
        <v>-0.2779892631</v>
      </c>
      <c r="F123" s="15">
        <f>IFERROR(__xludf.DUMMYFUNCTION("""COMPUTED_VALUE"""),-2.1714950151975128)</f>
        <v>-2.171495015</v>
      </c>
      <c r="G123" s="17">
        <f>IFERROR(__xludf.DUMMYFUNCTION("""COMPUTED_VALUE"""),-0.018140525240731852)</f>
        <v>-0.01814052524</v>
      </c>
      <c r="H123" s="4"/>
      <c r="I123" s="5" t="s">
        <v>2604</v>
      </c>
      <c r="J123" s="5" t="s">
        <v>2477</v>
      </c>
      <c r="K123" s="5">
        <v>347.0</v>
      </c>
      <c r="L123" s="5">
        <v>-2.002505</v>
      </c>
      <c r="M123" s="5">
        <v>-0.168564</v>
      </c>
      <c r="N123" s="5">
        <v>-2.171069</v>
      </c>
      <c r="O123" s="5">
        <v>-0.018095</v>
      </c>
    </row>
    <row r="124">
      <c r="A124" s="18" t="str">
        <f>IFERROR(__xludf.DUMMYFUNCTION("""COMPUTED_VALUE"""),"Charles Callison")</f>
        <v>Charles Callison</v>
      </c>
      <c r="B124" s="19" t="str">
        <f>IFERROR(__xludf.DUMMYFUNCTION("""COMPUTED_VALUE"""),"DZU")</f>
        <v>DZU</v>
      </c>
      <c r="C124" s="20">
        <f>IFERROR(__xludf.DUMMYFUNCTION("""COMPUTED_VALUE"""),290.4)</f>
        <v>290.4</v>
      </c>
      <c r="D124" s="21">
        <f>IFERROR(__xludf.DUMMYFUNCTION("""COMPUTED_VALUE"""),-1.23482944842176)</f>
        <v>-1.234829448</v>
      </c>
      <c r="E124" s="21">
        <f>IFERROR(__xludf.DUMMYFUNCTION("""COMPUTED_VALUE"""),-0.9808021960694997)</f>
        <v>-0.9808021961</v>
      </c>
      <c r="F124" s="21">
        <f>IFERROR(__xludf.DUMMYFUNCTION("""COMPUTED_VALUE"""),-2.2156316444912596)</f>
        <v>-2.215631644</v>
      </c>
      <c r="G124" s="23">
        <f>IFERROR(__xludf.DUMMYFUNCTION("""COMPUTED_VALUE"""),-0.01907777607535977)</f>
        <v>-0.01907777608</v>
      </c>
      <c r="H124" s="4"/>
      <c r="I124" s="5" t="s">
        <v>2605</v>
      </c>
      <c r="J124" s="5" t="s">
        <v>2477</v>
      </c>
      <c r="K124" s="5">
        <v>290.0</v>
      </c>
      <c r="L124" s="5">
        <v>-1.341989</v>
      </c>
      <c r="M124" s="5">
        <v>-0.874585</v>
      </c>
      <c r="N124" s="5">
        <v>-2.216574</v>
      </c>
      <c r="O124" s="5">
        <v>-0.019161</v>
      </c>
    </row>
    <row r="125">
      <c r="A125" s="12" t="str">
        <f>IFERROR(__xludf.DUMMYFUNCTION("""COMPUTED_VALUE"""),"LaMelo Ball")</f>
        <v>LaMelo Ball</v>
      </c>
      <c r="B125" s="13" t="str">
        <f>IFERROR(__xludf.DUMMYFUNCTION("""COMPUTED_VALUE"""),"PRI")</f>
        <v>PRI</v>
      </c>
      <c r="C125" s="14">
        <f>IFERROR(__xludf.DUMMYFUNCTION("""COMPUTED_VALUE"""),102.3)</f>
        <v>102.3</v>
      </c>
      <c r="D125" s="15">
        <f>IFERROR(__xludf.DUMMYFUNCTION("""COMPUTED_VALUE"""),-0.8897985578158916)</f>
        <v>-0.8897985578</v>
      </c>
      <c r="E125" s="15">
        <f>IFERROR(__xludf.DUMMYFUNCTION("""COMPUTED_VALUE"""),-1.3319436369921798)</f>
        <v>-1.331943637</v>
      </c>
      <c r="F125" s="15">
        <f>IFERROR(__xludf.DUMMYFUNCTION("""COMPUTED_VALUE"""),-2.2217421948080713)</f>
        <v>-2.221742195</v>
      </c>
      <c r="G125" s="17">
        <f>IFERROR(__xludf.DUMMYFUNCTION("""COMPUTED_VALUE"""),-0.00691294631477407)</f>
        <v>-0.006912946315</v>
      </c>
      <c r="H125" s="4"/>
      <c r="I125" s="5" t="s">
        <v>2607</v>
      </c>
      <c r="J125" s="5" t="s">
        <v>2471</v>
      </c>
      <c r="K125" s="24">
        <v>102.0</v>
      </c>
      <c r="L125" s="5">
        <v>-0.929143</v>
      </c>
      <c r="M125" s="5">
        <v>-1.294242</v>
      </c>
      <c r="N125" s="5">
        <v>-2.223385</v>
      </c>
      <c r="O125" s="5">
        <v>-0.006964</v>
      </c>
    </row>
    <row r="126">
      <c r="A126" s="18" t="str">
        <f>IFERROR(__xludf.DUMMYFUNCTION("""COMPUTED_VALUE"""),"Nikolao Stylianou")</f>
        <v>Nikolao Stylianou</v>
      </c>
      <c r="B126" s="19" t="str">
        <f>IFERROR(__xludf.DUMMYFUNCTION("""COMPUTED_VALUE"""),"DZU")</f>
        <v>DZU</v>
      </c>
      <c r="C126" s="20">
        <f>IFERROR(__xludf.DUMMYFUNCTION("""COMPUTED_VALUE"""),304.1)</f>
        <v>304.1</v>
      </c>
      <c r="D126" s="21">
        <f>IFERROR(__xludf.DUMMYFUNCTION("""COMPUTED_VALUE"""),0.5039285326649253)</f>
        <v>0.5039285327</v>
      </c>
      <c r="E126" s="21">
        <f>IFERROR(__xludf.DUMMYFUNCTION("""COMPUTED_VALUE"""),-2.768728459436341)</f>
        <v>-2.768728459</v>
      </c>
      <c r="F126" s="21">
        <f>IFERROR(__xludf.DUMMYFUNCTION("""COMPUTED_VALUE"""),-2.2647999267714156)</f>
        <v>-2.264799927</v>
      </c>
      <c r="G126" s="23">
        <f>IFERROR(__xludf.DUMMYFUNCTION("""COMPUTED_VALUE"""),-0.02453312777367683)</f>
        <v>-0.02453312777</v>
      </c>
      <c r="H126" s="4"/>
      <c r="I126" s="5" t="s">
        <v>2608</v>
      </c>
      <c r="J126" s="5" t="s">
        <v>2400</v>
      </c>
      <c r="K126" s="5">
        <v>570.0</v>
      </c>
      <c r="L126" s="5">
        <v>-0.704282</v>
      </c>
      <c r="M126" s="5">
        <v>-1.519804</v>
      </c>
      <c r="N126" s="5">
        <v>-2.224086</v>
      </c>
      <c r="O126" s="5">
        <v>-0.038815</v>
      </c>
    </row>
    <row r="127">
      <c r="A127" s="12" t="str">
        <f>IFERROR(__xludf.DUMMYFUNCTION("""COMPUTED_VALUE"""),"Lukas Aukstikalnis")</f>
        <v>Lukas Aukstikalnis</v>
      </c>
      <c r="B127" s="13" t="str">
        <f>IFERROR(__xludf.DUMMYFUNCTION("""COMPUTED_VALUE"""),"TEC")</f>
        <v>TEC</v>
      </c>
      <c r="C127" s="14">
        <f>IFERROR(__xludf.DUMMYFUNCTION("""COMPUTED_VALUE"""),755.5)</f>
        <v>755.5</v>
      </c>
      <c r="D127" s="15">
        <f>IFERROR(__xludf.DUMMYFUNCTION("""COMPUTED_VALUE"""),-0.01925551484916921)</f>
        <v>-0.01925551485</v>
      </c>
      <c r="E127" s="15">
        <f>IFERROR(__xludf.DUMMYFUNCTION("""COMPUTED_VALUE"""),-2.328721771171516)</f>
        <v>-2.328721771</v>
      </c>
      <c r="F127" s="15">
        <f>IFERROR(__xludf.DUMMYFUNCTION("""COMPUTED_VALUE"""),-2.347977286020685)</f>
        <v>-2.347977286</v>
      </c>
      <c r="G127" s="17">
        <f>IFERROR(__xludf.DUMMYFUNCTION("""COMPUTED_VALUE"""),-0.07993972026788339)</f>
        <v>-0.07993972027</v>
      </c>
      <c r="H127" s="4"/>
      <c r="I127" s="5" t="s">
        <v>906</v>
      </c>
      <c r="J127" s="5" t="s">
        <v>2477</v>
      </c>
      <c r="K127" s="5">
        <v>304.0</v>
      </c>
      <c r="L127" s="5">
        <v>0.393556</v>
      </c>
      <c r="M127" s="5">
        <v>-2.659059</v>
      </c>
      <c r="N127" s="5">
        <v>-2.265503</v>
      </c>
      <c r="O127" s="5">
        <v>-0.024598</v>
      </c>
    </row>
    <row r="128">
      <c r="A128" s="18" t="str">
        <f>IFERROR(__xludf.DUMMYFUNCTION("""COMPUTED_VALUE"""),"Gintaras Leonavicius")</f>
        <v>Gintaras Leonavicius</v>
      </c>
      <c r="B128" s="19" t="str">
        <f>IFERROR(__xludf.DUMMYFUNCTION("""COMPUTED_VALUE"""),"TEC")</f>
        <v>TEC</v>
      </c>
      <c r="C128" s="20">
        <f>IFERROR(__xludf.DUMMYFUNCTION("""COMPUTED_VALUE"""),697.0)</f>
        <v>697</v>
      </c>
      <c r="D128" s="21">
        <f>IFERROR(__xludf.DUMMYFUNCTION("""COMPUTED_VALUE"""),-1.1464432663586333)</f>
        <v>-1.146443266</v>
      </c>
      <c r="E128" s="21">
        <f>IFERROR(__xludf.DUMMYFUNCTION("""COMPUTED_VALUE"""),-1.2476765172818316)</f>
        <v>-1.247676517</v>
      </c>
      <c r="F128" s="21">
        <f>IFERROR(__xludf.DUMMYFUNCTION("""COMPUTED_VALUE"""),-2.394119783640465)</f>
        <v>-2.394119784</v>
      </c>
      <c r="G128" s="23">
        <f>IFERROR(__xludf.DUMMYFUNCTION("""COMPUTED_VALUE"""),-0.08352919052953649)</f>
        <v>-0.08352919053</v>
      </c>
      <c r="H128" s="4"/>
      <c r="I128" s="5" t="s">
        <v>2610</v>
      </c>
      <c r="J128" s="5" t="s">
        <v>2352</v>
      </c>
      <c r="K128" s="5">
        <v>251.0</v>
      </c>
      <c r="L128" s="5">
        <v>-1.587179</v>
      </c>
      <c r="M128" s="5">
        <v>-0.759353</v>
      </c>
      <c r="N128" s="5">
        <v>-2.346532</v>
      </c>
      <c r="O128" s="5">
        <v>-0.027024</v>
      </c>
    </row>
    <row r="129">
      <c r="A129" s="12" t="str">
        <f>IFERROR(__xludf.DUMMYFUNCTION("""COMPUTED_VALUE"""),"Lis Shoshi")</f>
        <v>Lis Shoshi</v>
      </c>
      <c r="B129" s="13" t="str">
        <f>IFERROR(__xludf.DUMMYFUNCTION("""COMPUTED_VALUE"""),"PZV")</f>
        <v>PZV</v>
      </c>
      <c r="C129" s="14">
        <f>IFERROR(__xludf.DUMMYFUNCTION("""COMPUTED_VALUE"""),226.4)</f>
        <v>226.4</v>
      </c>
      <c r="D129" s="15">
        <f>IFERROR(__xludf.DUMMYFUNCTION("""COMPUTED_VALUE"""),-1.7363704033684326)</f>
        <v>-1.736370403</v>
      </c>
      <c r="E129" s="15">
        <f>IFERROR(__xludf.DUMMYFUNCTION("""COMPUTED_VALUE"""),-0.6872443720754753)</f>
        <v>-0.6872443721</v>
      </c>
      <c r="F129" s="15">
        <f>IFERROR(__xludf.DUMMYFUNCTION("""COMPUTED_VALUE"""),-2.423614775443908)</f>
        <v>-2.423614775</v>
      </c>
      <c r="G129" s="17">
        <f>IFERROR(__xludf.DUMMYFUNCTION("""COMPUTED_VALUE"""),-0.029247794716870536)</f>
        <v>-0.02924779472</v>
      </c>
      <c r="H129" s="4"/>
      <c r="I129" s="5" t="s">
        <v>2611</v>
      </c>
      <c r="J129" s="5" t="s">
        <v>2408</v>
      </c>
      <c r="K129" s="5">
        <v>226.0</v>
      </c>
      <c r="L129" s="5">
        <v>-1.819551</v>
      </c>
      <c r="M129" s="5">
        <v>-0.604501</v>
      </c>
      <c r="N129" s="5">
        <v>-2.424052</v>
      </c>
      <c r="O129" s="5">
        <v>-0.029278</v>
      </c>
    </row>
    <row r="130">
      <c r="A130" s="18" t="str">
        <f>IFERROR(__xludf.DUMMYFUNCTION("""COMPUTED_VALUE"""),"Andrejs Selakovs")</f>
        <v>Andrejs Selakovs</v>
      </c>
      <c r="B130" s="19" t="str">
        <f>IFERROR(__xludf.DUMMYFUNCTION("""COMPUTED_VALUE"""),"DZU")</f>
        <v>DZU</v>
      </c>
      <c r="C130" s="20">
        <f>IFERROR(__xludf.DUMMYFUNCTION("""COMPUTED_VALUE"""),143.7)</f>
        <v>143.7</v>
      </c>
      <c r="D130" s="21">
        <f>IFERROR(__xludf.DUMMYFUNCTION("""COMPUTED_VALUE"""),-3.0178144014744652)</f>
        <v>-3.017814401</v>
      </c>
      <c r="E130" s="21">
        <f>IFERROR(__xludf.DUMMYFUNCTION("""COMPUTED_VALUE"""),0.5601458958764445)</f>
        <v>0.5601458959</v>
      </c>
      <c r="F130" s="21">
        <f>IFERROR(__xludf.DUMMYFUNCTION("""COMPUTED_VALUE"""),-2.4576685055980207)</f>
        <v>-2.457668506</v>
      </c>
      <c r="G130" s="23">
        <f>IFERROR(__xludf.DUMMYFUNCTION("""COMPUTED_VALUE"""),-0.02003671106577016)</f>
        <v>-0.02003671107</v>
      </c>
      <c r="H130" s="4"/>
      <c r="I130" s="5" t="s">
        <v>2613</v>
      </c>
      <c r="J130" s="5" t="s">
        <v>2477</v>
      </c>
      <c r="K130" s="24">
        <v>144.0</v>
      </c>
      <c r="L130" s="5">
        <v>-3.069172</v>
      </c>
      <c r="M130" s="5">
        <v>0.612408</v>
      </c>
      <c r="N130" s="5">
        <v>-2.456764</v>
      </c>
      <c r="O130" s="5">
        <v>-0.019997</v>
      </c>
    </row>
    <row r="131">
      <c r="A131" s="12" t="str">
        <f>IFERROR(__xludf.DUMMYFUNCTION("""COMPUTED_VALUE"""),"Alex Hernandez")</f>
        <v>Alex Hernandez</v>
      </c>
      <c r="B131" s="13" t="str">
        <f>IFERROR(__xludf.DUMMYFUNCTION("""COMPUTED_VALUE"""),"DZU")</f>
        <v>DZU</v>
      </c>
      <c r="C131" s="14">
        <f>IFERROR(__xludf.DUMMYFUNCTION("""COMPUTED_VALUE"""),552.5)</f>
        <v>552.5</v>
      </c>
      <c r="D131" s="15">
        <f>IFERROR(__xludf.DUMMYFUNCTION("""COMPUTED_VALUE"""),-1.3402049561401088)</f>
        <v>-1.340204956</v>
      </c>
      <c r="E131" s="15">
        <f>IFERROR(__xludf.DUMMYFUNCTION("""COMPUTED_VALUE"""),-1.1461988066264115)</f>
        <v>-1.146198807</v>
      </c>
      <c r="F131" s="15">
        <f>IFERROR(__xludf.DUMMYFUNCTION("""COMPUTED_VALUE"""),-2.4864037627665203)</f>
        <v>-2.486403763</v>
      </c>
      <c r="G131" s="17">
        <f>IFERROR(__xludf.DUMMYFUNCTION("""COMPUTED_VALUE"""),-0.08187434680774976)</f>
        <v>-0.08187434681</v>
      </c>
      <c r="H131" s="4"/>
      <c r="I131" s="5" t="s">
        <v>2615</v>
      </c>
      <c r="J131" s="5" t="s">
        <v>2477</v>
      </c>
      <c r="K131" s="5">
        <v>553.0</v>
      </c>
      <c r="L131" s="5">
        <v>-1.448042</v>
      </c>
      <c r="M131" s="5">
        <v>-1.036981</v>
      </c>
      <c r="N131" s="5">
        <v>-2.485023</v>
      </c>
      <c r="O131" s="5">
        <v>-0.081642</v>
      </c>
    </row>
    <row r="132">
      <c r="A132" s="18" t="str">
        <f>IFERROR(__xludf.DUMMYFUNCTION("""COMPUTED_VALUE"""),"Evaldas Saulys")</f>
        <v>Evaldas Saulys</v>
      </c>
      <c r="B132" s="19" t="str">
        <f>IFERROR(__xludf.DUMMYFUNCTION("""COMPUTED_VALUE"""),"SIA")</f>
        <v>SIA</v>
      </c>
      <c r="C132" s="20">
        <f>IFERROR(__xludf.DUMMYFUNCTION("""COMPUTED_VALUE"""),635.6)</f>
        <v>635.6</v>
      </c>
      <c r="D132" s="21">
        <f>IFERROR(__xludf.DUMMYFUNCTION("""COMPUTED_VALUE"""),-1.7439882826890267)</f>
        <v>-1.743988283</v>
      </c>
      <c r="E132" s="21">
        <f>IFERROR(__xludf.DUMMYFUNCTION("""COMPUTED_VALUE"""),-0.86146176710055)</f>
        <v>-0.8614617671</v>
      </c>
      <c r="F132" s="21">
        <f>IFERROR(__xludf.DUMMYFUNCTION("""COMPUTED_VALUE"""),-2.6054500497895767)</f>
        <v>-2.60545005</v>
      </c>
      <c r="G132" s="23">
        <f>IFERROR(__xludf.DUMMYFUNCTION("""COMPUTED_VALUE"""),-0.1165971313827122)</f>
        <v>-0.1165971314</v>
      </c>
      <c r="H132" s="4"/>
      <c r="I132" s="5" t="s">
        <v>2617</v>
      </c>
      <c r="J132" s="5" t="s">
        <v>2405</v>
      </c>
      <c r="K132" s="5">
        <v>636.0</v>
      </c>
      <c r="L132" s="5">
        <v>-1.853405</v>
      </c>
      <c r="M132" s="5">
        <v>-0.751963</v>
      </c>
      <c r="N132" s="5">
        <v>-2.605368</v>
      </c>
      <c r="O132" s="5">
        <v>-0.116581</v>
      </c>
    </row>
    <row r="133">
      <c r="A133" s="12" t="str">
        <f>IFERROR(__xludf.DUMMYFUNCTION("""COMPUTED_VALUE"""),"Sarunas Valunta")</f>
        <v>Sarunas Valunta</v>
      </c>
      <c r="B133" s="13" t="str">
        <f>IFERROR(__xludf.DUMMYFUNCTION("""COMPUTED_VALUE"""),"PZV")</f>
        <v>PZV</v>
      </c>
      <c r="C133" s="14">
        <f>IFERROR(__xludf.DUMMYFUNCTION("""COMPUTED_VALUE"""),42.6)</f>
        <v>42.6</v>
      </c>
      <c r="D133" s="15">
        <f>IFERROR(__xludf.DUMMYFUNCTION("""COMPUTED_VALUE"""),-2.157425961365449)</f>
        <v>-2.157425961</v>
      </c>
      <c r="E133" s="15">
        <f>IFERROR(__xludf.DUMMYFUNCTION("""COMPUTED_VALUE"""),-0.6684425253161987)</f>
        <v>-0.6684425253</v>
      </c>
      <c r="F133" s="15">
        <f>IFERROR(__xludf.DUMMYFUNCTION("""COMPUTED_VALUE"""),-2.8258684866816477)</f>
        <v>-2.825868487</v>
      </c>
      <c r="G133" s="17">
        <f>IFERROR(__xludf.DUMMYFUNCTION("""COMPUTED_VALUE"""),-0.010729169281503081)</f>
        <v>-0.01072916928</v>
      </c>
      <c r="H133" s="4"/>
      <c r="I133" s="5" t="s">
        <v>2618</v>
      </c>
      <c r="J133" s="5" t="s">
        <v>2356</v>
      </c>
      <c r="K133" s="5">
        <v>315.0</v>
      </c>
      <c r="L133" s="5">
        <v>-3.257525</v>
      </c>
      <c r="M133" s="5">
        <v>0.529341</v>
      </c>
      <c r="N133" s="5">
        <v>-2.728185</v>
      </c>
      <c r="O133" s="5">
        <v>-0.073541</v>
      </c>
    </row>
    <row r="134">
      <c r="A134" s="18" t="str">
        <f>IFERROR(__xludf.DUMMYFUNCTION("""COMPUTED_VALUE"""),"Omar Prewitt")</f>
        <v>Omar Prewitt</v>
      </c>
      <c r="B134" s="19" t="str">
        <f>IFERROR(__xludf.DUMMYFUNCTION("""COMPUTED_VALUE"""),"SIA")</f>
        <v>SIA</v>
      </c>
      <c r="C134" s="20">
        <f>IFERROR(__xludf.DUMMYFUNCTION("""COMPUTED_VALUE"""),286.8)</f>
        <v>286.8</v>
      </c>
      <c r="D134" s="21">
        <f>IFERROR(__xludf.DUMMYFUNCTION("""COMPUTED_VALUE"""),-0.724693365357742)</f>
        <v>-0.7246933654</v>
      </c>
      <c r="E134" s="21">
        <f>IFERROR(__xludf.DUMMYFUNCTION("""COMPUTED_VALUE"""),-2.101780334850964)</f>
        <v>-2.101780335</v>
      </c>
      <c r="F134" s="21">
        <f>IFERROR(__xludf.DUMMYFUNCTION("""COMPUTED_VALUE"""),-2.826473700208706)</f>
        <v>-2.8264737</v>
      </c>
      <c r="G134" s="23">
        <f>IFERROR(__xludf.DUMMYFUNCTION("""COMPUTED_VALUE"""),-0.07181808870216443)</f>
        <v>-0.0718180887</v>
      </c>
      <c r="H134" s="4"/>
      <c r="I134" s="5" t="s">
        <v>2620</v>
      </c>
      <c r="J134" s="5" t="s">
        <v>2408</v>
      </c>
      <c r="K134" s="24">
        <v>43.0</v>
      </c>
      <c r="L134" s="5">
        <v>-2.172684</v>
      </c>
      <c r="M134" s="5">
        <v>-0.652943</v>
      </c>
      <c r="N134" s="5">
        <v>-2.825628</v>
      </c>
      <c r="O134" s="5">
        <v>-0.010726</v>
      </c>
    </row>
    <row r="135">
      <c r="A135" s="12" t="str">
        <f>IFERROR(__xludf.DUMMYFUNCTION("""COMPUTED_VALUE"""),"Kervin Bristol")</f>
        <v>Kervin Bristol</v>
      </c>
      <c r="B135" s="13" t="str">
        <f>IFERROR(__xludf.DUMMYFUNCTION("""COMPUTED_VALUE"""),"PRI")</f>
        <v>PRI</v>
      </c>
      <c r="C135" s="14">
        <f>IFERROR(__xludf.DUMMYFUNCTION("""COMPUTED_VALUE"""),284.1)</f>
        <v>284.1</v>
      </c>
      <c r="D135" s="15">
        <f>IFERROR(__xludf.DUMMYFUNCTION("""COMPUTED_VALUE"""),-4.234693330770276)</f>
        <v>-4.234693331</v>
      </c>
      <c r="E135" s="15">
        <f>IFERROR(__xludf.DUMMYFUNCTION("""COMPUTED_VALUE"""),1.3979502448183707)</f>
        <v>1.397950245</v>
      </c>
      <c r="F135" s="15">
        <f>IFERROR(__xludf.DUMMYFUNCTION("""COMPUTED_VALUE"""),-2.8367430859519054)</f>
        <v>-2.836743086</v>
      </c>
      <c r="G135" s="17">
        <f>IFERROR(__xludf.DUMMYFUNCTION("""COMPUTED_VALUE"""),-0.07244402550495457)</f>
        <v>-0.0724440255</v>
      </c>
      <c r="H135" s="4"/>
      <c r="I135" s="5" t="s">
        <v>978</v>
      </c>
      <c r="J135" s="5" t="s">
        <v>2405</v>
      </c>
      <c r="K135" s="5">
        <v>287.0</v>
      </c>
      <c r="L135" s="5">
        <v>-0.830379</v>
      </c>
      <c r="M135" s="5">
        <v>-1.996906</v>
      </c>
      <c r="N135" s="5">
        <v>-2.827285</v>
      </c>
      <c r="O135" s="5">
        <v>-0.071889</v>
      </c>
    </row>
    <row r="136">
      <c r="A136" s="18" t="str">
        <f>IFERROR(__xludf.DUMMYFUNCTION("""COMPUTED_VALUE"""),"Tomas Dimsa")</f>
        <v>Tomas Dimsa</v>
      </c>
      <c r="B136" s="19" t="str">
        <f>IFERROR(__xludf.DUMMYFUNCTION("""COMPUTED_VALUE"""),"PRI")</f>
        <v>PRI</v>
      </c>
      <c r="C136" s="20">
        <f>IFERROR(__xludf.DUMMYFUNCTION("""COMPUTED_VALUE"""),804.6)</f>
        <v>804.6</v>
      </c>
      <c r="D136" s="21">
        <f>IFERROR(__xludf.DUMMYFUNCTION("""COMPUTED_VALUE"""),-0.9171598783783858)</f>
        <v>-0.9171598784</v>
      </c>
      <c r="E136" s="21">
        <f>IFERROR(__xludf.DUMMYFUNCTION("""COMPUTED_VALUE"""),-2.0775831859175424)</f>
        <v>-2.077583186</v>
      </c>
      <c r="F136" s="21">
        <f>IFERROR(__xludf.DUMMYFUNCTION("""COMPUTED_VALUE"""),-2.9947430642959283)</f>
        <v>-2.994743064</v>
      </c>
      <c r="G136" s="23">
        <f>IFERROR(__xludf.DUMMYFUNCTION("""COMPUTED_VALUE"""),-0.24391030913832615)</f>
        <v>-0.2439103091</v>
      </c>
      <c r="H136" s="4"/>
      <c r="I136" s="5" t="s">
        <v>2622</v>
      </c>
      <c r="J136" s="5" t="s">
        <v>2471</v>
      </c>
      <c r="K136" s="24">
        <v>284.0</v>
      </c>
      <c r="L136" s="5">
        <v>-4.33653</v>
      </c>
      <c r="M136" s="5">
        <v>1.50133</v>
      </c>
      <c r="N136" s="5">
        <v>-2.8352</v>
      </c>
      <c r="O136" s="5">
        <v>-0.07231</v>
      </c>
    </row>
    <row r="137">
      <c r="A137" s="12" t="str">
        <f>IFERROR(__xludf.DUMMYFUNCTION("""COMPUTED_VALUE"""),"Brad Tinsley")</f>
        <v>Brad Tinsley</v>
      </c>
      <c r="B137" s="13" t="str">
        <f>IFERROR(__xludf.DUMMYFUNCTION("""COMPUTED_VALUE"""),"PRI")</f>
        <v>PRI</v>
      </c>
      <c r="C137" s="14">
        <f>IFERROR(__xludf.DUMMYFUNCTION("""COMPUTED_VALUE"""),151.1)</f>
        <v>151.1</v>
      </c>
      <c r="D137" s="15">
        <f>IFERROR(__xludf.DUMMYFUNCTION("""COMPUTED_VALUE"""),-1.4984433284020124)</f>
        <v>-1.498443328</v>
      </c>
      <c r="E137" s="15">
        <f>IFERROR(__xludf.DUMMYFUNCTION("""COMPUTED_VALUE"""),-1.7575616778762633)</f>
        <v>-1.757561678</v>
      </c>
      <c r="F137" s="15">
        <f>IFERROR(__xludf.DUMMYFUNCTION("""COMPUTED_VALUE"""),-3.2560050062782757)</f>
        <v>-3.256005006</v>
      </c>
      <c r="G137" s="17">
        <f>IFERROR(__xludf.DUMMYFUNCTION("""COMPUTED_VALUE"""),-0.05783557309971985)</f>
        <v>-0.0578355731</v>
      </c>
      <c r="H137" s="4"/>
      <c r="I137" s="5" t="s">
        <v>2402</v>
      </c>
      <c r="J137" s="5" t="s">
        <v>2471</v>
      </c>
      <c r="K137" s="5">
        <v>805.0</v>
      </c>
      <c r="L137" s="5">
        <v>-1.027056</v>
      </c>
      <c r="M137" s="5">
        <v>-1.967997</v>
      </c>
      <c r="N137" s="5">
        <v>-2.995054</v>
      </c>
      <c r="O137" s="5">
        <v>-0.243986</v>
      </c>
    </row>
    <row r="138">
      <c r="A138" s="18" t="str">
        <f>IFERROR(__xludf.DUMMYFUNCTION("""COMPUTED_VALUE"""),"Margiris Normantas")</f>
        <v>Margiris Normantas</v>
      </c>
      <c r="B138" s="19" t="str">
        <f>IFERROR(__xludf.DUMMYFUNCTION("""COMPUTED_VALUE"""),"LIE")</f>
        <v>LIE</v>
      </c>
      <c r="C138" s="20">
        <f>IFERROR(__xludf.DUMMYFUNCTION("""COMPUTED_VALUE"""),275.6)</f>
        <v>275.6</v>
      </c>
      <c r="D138" s="21">
        <f>IFERROR(__xludf.DUMMYFUNCTION("""COMPUTED_VALUE"""),-1.8586245440805855)</f>
        <v>-1.858624544</v>
      </c>
      <c r="E138" s="21">
        <f>IFERROR(__xludf.DUMMYFUNCTION("""COMPUTED_VALUE"""),-1.4779307144885274)</f>
        <v>-1.477930714</v>
      </c>
      <c r="F138" s="21">
        <f>IFERROR(__xludf.DUMMYFUNCTION("""COMPUTED_VALUE"""),-3.336555258569113)</f>
        <v>-3.336555259</v>
      </c>
      <c r="G138" s="23">
        <f>IFERROR(__xludf.DUMMYFUNCTION("""COMPUTED_VALUE"""),-0.11502511033118387)</f>
        <v>-0.1150251103</v>
      </c>
      <c r="H138" s="4"/>
      <c r="I138" s="5" t="s">
        <v>2624</v>
      </c>
      <c r="J138" s="5" t="s">
        <v>2471</v>
      </c>
      <c r="K138" s="5">
        <v>151.0</v>
      </c>
      <c r="L138" s="5">
        <v>-1.553853</v>
      </c>
      <c r="M138" s="5">
        <v>-1.702356</v>
      </c>
      <c r="N138" s="5">
        <v>-3.256209</v>
      </c>
      <c r="O138" s="5">
        <v>-0.057845</v>
      </c>
    </row>
    <row r="139">
      <c r="A139" s="12" t="str">
        <f>IFERROR(__xludf.DUMMYFUNCTION("""COMPUTED_VALUE"""),"Denys Lukashov")</f>
        <v>Denys Lukashov</v>
      </c>
      <c r="B139" s="13" t="str">
        <f>IFERROR(__xludf.DUMMYFUNCTION("""COMPUTED_VALUE"""),"PRI")</f>
        <v>PRI</v>
      </c>
      <c r="C139" s="14">
        <f>IFERROR(__xludf.DUMMYFUNCTION("""COMPUTED_VALUE"""),466.5)</f>
        <v>466.5</v>
      </c>
      <c r="D139" s="15">
        <f>IFERROR(__xludf.DUMMYFUNCTION("""COMPUTED_VALUE"""),-2.386933033147901)</f>
        <v>-2.386933033</v>
      </c>
      <c r="E139" s="15">
        <f>IFERROR(__xludf.DUMMYFUNCTION("""COMPUTED_VALUE"""),-0.9742429237513122)</f>
        <v>-0.9742429238</v>
      </c>
      <c r="F139" s="15">
        <f>IFERROR(__xludf.DUMMYFUNCTION("""COMPUTED_VALUE"""),-3.361175956899213)</f>
        <v>-3.361175957</v>
      </c>
      <c r="G139" s="17">
        <f>IFERROR(__xludf.DUMMYFUNCTION("""COMPUTED_VALUE"""),-0.19351076332112246)</f>
        <v>-0.1935107633</v>
      </c>
      <c r="H139" s="4"/>
      <c r="I139" s="5" t="s">
        <v>2626</v>
      </c>
      <c r="J139" s="5" t="s">
        <v>2356</v>
      </c>
      <c r="K139" s="5">
        <v>228.0</v>
      </c>
      <c r="L139" s="5">
        <v>-3.496765</v>
      </c>
      <c r="M139" s="5">
        <v>0.214033</v>
      </c>
      <c r="N139" s="5">
        <v>-3.282733</v>
      </c>
      <c r="O139" s="5">
        <v>-0.093442</v>
      </c>
    </row>
    <row r="140">
      <c r="A140" s="18" t="str">
        <f>IFERROR(__xludf.DUMMYFUNCTION("""COMPUTED_VALUE"""),"Regimantas Miniotas")</f>
        <v>Regimantas Miniotas</v>
      </c>
      <c r="B140" s="19" t="str">
        <f>IFERROR(__xludf.DUMMYFUNCTION("""COMPUTED_VALUE"""),"PRI")</f>
        <v>PRI</v>
      </c>
      <c r="C140" s="20">
        <f>IFERROR(__xludf.DUMMYFUNCTION("""COMPUTED_VALUE"""),472.4)</f>
        <v>472.4</v>
      </c>
      <c r="D140" s="21">
        <f>IFERROR(__xludf.DUMMYFUNCTION("""COMPUTED_VALUE"""),-1.5500855128113198)</f>
        <v>-1.550085513</v>
      </c>
      <c r="E140" s="21">
        <f>IFERROR(__xludf.DUMMYFUNCTION("""COMPUTED_VALUE"""),-1.8774730646845366)</f>
        <v>-1.877473065</v>
      </c>
      <c r="F140" s="21">
        <f>IFERROR(__xludf.DUMMYFUNCTION("""COMPUTED_VALUE"""),-3.4275585774958564)</f>
        <v>-3.427558577</v>
      </c>
      <c r="G140" s="23">
        <f>IFERROR(__xludf.DUMMYFUNCTION("""COMPUTED_VALUE"""),-0.20551476813612374)</f>
        <v>-0.2055147681</v>
      </c>
      <c r="H140" s="4"/>
      <c r="I140" s="5" t="s">
        <v>2627</v>
      </c>
      <c r="J140" s="5" t="s">
        <v>2471</v>
      </c>
      <c r="K140" s="5">
        <v>467.0</v>
      </c>
      <c r="L140" s="5">
        <v>-2.495303</v>
      </c>
      <c r="M140" s="5">
        <v>-0.864929</v>
      </c>
      <c r="N140" s="5">
        <v>-3.360232</v>
      </c>
      <c r="O140" s="5">
        <v>-0.193377</v>
      </c>
    </row>
    <row r="141">
      <c r="A141" s="12" t="str">
        <f>IFERROR(__xludf.DUMMYFUNCTION("""COMPUTED_VALUE"""),"Karolis Guscikas")</f>
        <v>Karolis Guscikas</v>
      </c>
      <c r="B141" s="13" t="str">
        <f>IFERROR(__xludf.DUMMYFUNCTION("""COMPUTED_VALUE"""),"JUV")</f>
        <v>JUV</v>
      </c>
      <c r="C141" s="14">
        <f>IFERROR(__xludf.DUMMYFUNCTION("""COMPUTED_VALUE"""),742.6)</f>
        <v>742.6</v>
      </c>
      <c r="D141" s="15">
        <f>IFERROR(__xludf.DUMMYFUNCTION("""COMPUTED_VALUE"""),-2.365602484801152)</f>
        <v>-2.365602485</v>
      </c>
      <c r="E141" s="15">
        <f>IFERROR(__xludf.DUMMYFUNCTION("""COMPUTED_VALUE"""),-1.1940817754372115)</f>
        <v>-1.194081775</v>
      </c>
      <c r="F141" s="15">
        <f>IFERROR(__xludf.DUMMYFUNCTION("""COMPUTED_VALUE"""),-3.5596842602383636)</f>
        <v>-3.55968426</v>
      </c>
      <c r="G141" s="17">
        <f>IFERROR(__xludf.DUMMYFUNCTION("""COMPUTED_VALUE"""),-0.35200164873824613)</f>
        <v>-0.3520016487</v>
      </c>
      <c r="H141" s="4"/>
      <c r="I141" s="5" t="s">
        <v>2629</v>
      </c>
      <c r="J141" s="5" t="s">
        <v>2471</v>
      </c>
      <c r="K141" s="5">
        <v>472.0</v>
      </c>
      <c r="L141" s="5">
        <v>-1.659796</v>
      </c>
      <c r="M141" s="5">
        <v>-1.76792</v>
      </c>
      <c r="N141" s="5">
        <v>-3.427716</v>
      </c>
      <c r="O141" s="5">
        <v>-0.205537</v>
      </c>
    </row>
    <row r="142">
      <c r="A142" s="18" t="str">
        <f>IFERROR(__xludf.DUMMYFUNCTION("""COMPUTED_VALUE"""),"Carl Lindbom")</f>
        <v>Carl Lindbom</v>
      </c>
      <c r="B142" s="19" t="str">
        <f>IFERROR(__xludf.DUMMYFUNCTION("""COMPUTED_VALUE"""),"JUV")</f>
        <v>JUV</v>
      </c>
      <c r="C142" s="20">
        <f>IFERROR(__xludf.DUMMYFUNCTION("""COMPUTED_VALUE"""),126.3)</f>
        <v>126.3</v>
      </c>
      <c r="D142" s="21">
        <f>IFERROR(__xludf.DUMMYFUNCTION("""COMPUTED_VALUE"""),-2.32577776233234)</f>
        <v>-2.325777762</v>
      </c>
      <c r="E142" s="21">
        <f>IFERROR(__xludf.DUMMYFUNCTION("""COMPUTED_VALUE"""),-1.2390415839825244)</f>
        <v>-1.239041584</v>
      </c>
      <c r="F142" s="21">
        <f>IFERROR(__xludf.DUMMYFUNCTION("""COMPUTED_VALUE"""),-3.5648193463148643)</f>
        <v>-3.564819346</v>
      </c>
      <c r="G142" s="23">
        <f>IFERROR(__xludf.DUMMYFUNCTION("""COMPUTED_VALUE"""),-0.060064880958134816)</f>
        <v>-0.06006488096</v>
      </c>
      <c r="H142" s="4"/>
      <c r="I142" s="5" t="s">
        <v>2631</v>
      </c>
      <c r="J142" s="5" t="s">
        <v>2488</v>
      </c>
      <c r="K142" s="24">
        <v>132.0</v>
      </c>
      <c r="L142" s="5">
        <v>-2.876017</v>
      </c>
      <c r="M142" s="5">
        <v>-0.674695</v>
      </c>
      <c r="N142" s="5">
        <v>-3.550712</v>
      </c>
      <c r="O142" s="5">
        <v>-0.065483</v>
      </c>
    </row>
    <row r="143">
      <c r="A143" s="12" t="str">
        <f>IFERROR(__xludf.DUMMYFUNCTION("""COMPUTED_VALUE"""),"Rytis Juknevicius")</f>
        <v>Rytis Juknevicius</v>
      </c>
      <c r="B143" s="13" t="str">
        <f>IFERROR(__xludf.DUMMYFUNCTION("""COMPUTED_VALUE"""),"KED")</f>
        <v>KED</v>
      </c>
      <c r="C143" s="14">
        <f>IFERROR(__xludf.DUMMYFUNCTION("""COMPUTED_VALUE"""),131.8)</f>
        <v>131.8</v>
      </c>
      <c r="D143" s="15">
        <f>IFERROR(__xludf.DUMMYFUNCTION("""COMPUTED_VALUE"""),-2.855890340512624)</f>
        <v>-2.855890341</v>
      </c>
      <c r="E143" s="15">
        <f>IFERROR(__xludf.DUMMYFUNCTION("""COMPUTED_VALUE"""),-0.7867079518038675)</f>
        <v>-0.7867079518</v>
      </c>
      <c r="F143" s="15">
        <f>IFERROR(__xludf.DUMMYFUNCTION("""COMPUTED_VALUE"""),-3.6425982923164915)</f>
        <v>-3.642598292</v>
      </c>
      <c r="G143" s="17">
        <f>IFERROR(__xludf.DUMMYFUNCTION("""COMPUTED_VALUE"""),-0.06964656518746636)</f>
        <v>-0.06964656519</v>
      </c>
      <c r="H143" s="4"/>
      <c r="I143" s="5" t="s">
        <v>2632</v>
      </c>
      <c r="J143" s="5" t="s">
        <v>2431</v>
      </c>
      <c r="K143" s="5">
        <v>743.0</v>
      </c>
      <c r="L143" s="5">
        <v>-2.474772</v>
      </c>
      <c r="M143" s="5">
        <v>-1.084627</v>
      </c>
      <c r="N143" s="5">
        <v>-3.559398</v>
      </c>
      <c r="O143" s="5">
        <v>-0.351937</v>
      </c>
    </row>
    <row r="144">
      <c r="A144" s="18" t="str">
        <f>IFERROR(__xludf.DUMMYFUNCTION("""COMPUTED_VALUE"""),"Matas Jucikas")</f>
        <v>Matas Jucikas</v>
      </c>
      <c r="B144" s="19" t="str">
        <f>IFERROR(__xludf.DUMMYFUNCTION("""COMPUTED_VALUE"""),"NEP")</f>
        <v>NEP</v>
      </c>
      <c r="C144" s="20">
        <f>IFERROR(__xludf.DUMMYFUNCTION("""COMPUTED_VALUE"""),255.2)</f>
        <v>255.2</v>
      </c>
      <c r="D144" s="21">
        <f>IFERROR(__xludf.DUMMYFUNCTION("""COMPUTED_VALUE"""),-3.923106487502644)</f>
        <v>-3.923106488</v>
      </c>
      <c r="E144" s="21">
        <f>IFERROR(__xludf.DUMMYFUNCTION("""COMPUTED_VALUE"""),0.24814732285728747)</f>
        <v>0.2481473229</v>
      </c>
      <c r="F144" s="21">
        <f>IFERROR(__xludf.DUMMYFUNCTION("""COMPUTED_VALUE"""),-3.6749591646453563)</f>
        <v>-3.674959165</v>
      </c>
      <c r="G144" s="23">
        <f>IFERROR(__xludf.DUMMYFUNCTION("""COMPUTED_VALUE"""),-0.13561809429719268)</f>
        <v>-0.1356180943</v>
      </c>
      <c r="H144" s="4"/>
      <c r="I144" s="5" t="s">
        <v>2634</v>
      </c>
      <c r="J144" s="5" t="s">
        <v>2431</v>
      </c>
      <c r="K144" s="5">
        <v>126.0</v>
      </c>
      <c r="L144" s="5">
        <v>-2.370892</v>
      </c>
      <c r="M144" s="5">
        <v>-1.193112</v>
      </c>
      <c r="N144" s="5">
        <v>-3.564003</v>
      </c>
      <c r="O144" s="5">
        <v>-0.060034</v>
      </c>
    </row>
    <row r="145">
      <c r="A145" s="12" t="str">
        <f>IFERROR(__xludf.DUMMYFUNCTION("""COMPUTED_VALUE"""),"Ignas Fiodorovas")</f>
        <v>Ignas Fiodorovas</v>
      </c>
      <c r="B145" s="13" t="str">
        <f>IFERROR(__xludf.DUMMYFUNCTION("""COMPUTED_VALUE"""),"PZV")</f>
        <v>PZV</v>
      </c>
      <c r="C145" s="14">
        <f>IFERROR(__xludf.DUMMYFUNCTION("""COMPUTED_VALUE"""),208.8)</f>
        <v>208.8</v>
      </c>
      <c r="D145" s="15">
        <f>IFERROR(__xludf.DUMMYFUNCTION("""COMPUTED_VALUE"""),-2.806618873174509)</f>
        <v>-2.806618873</v>
      </c>
      <c r="E145" s="15">
        <f>IFERROR(__xludf.DUMMYFUNCTION("""COMPUTED_VALUE"""),-1.0055113077957785)</f>
        <v>-1.005511308</v>
      </c>
      <c r="F145" s="15">
        <f>IFERROR(__xludf.DUMMYFUNCTION("""COMPUTED_VALUE"""),-3.8121301809702874)</f>
        <v>-3.812130181</v>
      </c>
      <c r="G145" s="17">
        <f>IFERROR(__xludf.DUMMYFUNCTION("""COMPUTED_VALUE"""),-0.11538928747679879)</f>
        <v>-0.1153892875</v>
      </c>
      <c r="H145" s="4"/>
      <c r="I145" s="5" t="s">
        <v>2636</v>
      </c>
      <c r="J145" s="5" t="s">
        <v>2488</v>
      </c>
      <c r="K145" s="5">
        <v>274.0</v>
      </c>
      <c r="L145" s="5">
        <v>0.564925</v>
      </c>
      <c r="M145" s="5">
        <v>-4.272743</v>
      </c>
      <c r="N145" s="5">
        <v>-3.707819</v>
      </c>
      <c r="O145" s="5">
        <v>-0.149651</v>
      </c>
    </row>
    <row r="146">
      <c r="A146" s="18" t="str">
        <f>IFERROR(__xludf.DUMMYFUNCTION("""COMPUTED_VALUE"""),"Anatoly Kashirov")</f>
        <v>Anatoly Kashirov</v>
      </c>
      <c r="B146" s="19" t="str">
        <f>IFERROR(__xludf.DUMMYFUNCTION("""COMPUTED_VALUE"""),"DZU")</f>
        <v>DZU</v>
      </c>
      <c r="C146" s="20">
        <f>IFERROR(__xludf.DUMMYFUNCTION("""COMPUTED_VALUE"""),618.4)</f>
        <v>618.4</v>
      </c>
      <c r="D146" s="21">
        <f>IFERROR(__xludf.DUMMYFUNCTION("""COMPUTED_VALUE"""),-2.2511790439328325)</f>
        <v>-2.251179044</v>
      </c>
      <c r="E146" s="21">
        <f>IFERROR(__xludf.DUMMYFUNCTION("""COMPUTED_VALUE"""),-1.5871169814508006)</f>
        <v>-1.587116981</v>
      </c>
      <c r="F146" s="21">
        <f>IFERROR(__xludf.DUMMYFUNCTION("""COMPUTED_VALUE"""),-3.838296025383633)</f>
        <v>-3.838296025</v>
      </c>
      <c r="G146" s="23">
        <f>IFERROR(__xludf.DUMMYFUNCTION("""COMPUTED_VALUE"""),-0.3463407308331108)</f>
        <v>-0.3463407308</v>
      </c>
      <c r="H146" s="4"/>
      <c r="I146" s="5" t="s">
        <v>2638</v>
      </c>
      <c r="J146" s="5" t="s">
        <v>2408</v>
      </c>
      <c r="K146" s="5">
        <v>209.0</v>
      </c>
      <c r="L146" s="5">
        <v>-2.880954</v>
      </c>
      <c r="M146" s="5">
        <v>-0.929624</v>
      </c>
      <c r="N146" s="5">
        <v>-3.810578</v>
      </c>
      <c r="O146" s="5">
        <v>-0.11529</v>
      </c>
    </row>
    <row r="147">
      <c r="A147" s="12" t="str">
        <f>IFERROR(__xludf.DUMMYFUNCTION("""COMPUTED_VALUE"""),"Malcolm Grant")</f>
        <v>Malcolm Grant</v>
      </c>
      <c r="B147" s="13" t="str">
        <f>IFERROR(__xludf.DUMMYFUNCTION("""COMPUTED_VALUE"""),"KED")</f>
        <v>KED</v>
      </c>
      <c r="C147" s="14">
        <f>IFERROR(__xludf.DUMMYFUNCTION("""COMPUTED_VALUE"""),273.5)</f>
        <v>273.5</v>
      </c>
      <c r="D147" s="15">
        <f>IFERROR(__xludf.DUMMYFUNCTION("""COMPUTED_VALUE"""),0.6076973228401796)</f>
        <v>0.6076973228</v>
      </c>
      <c r="E147" s="15">
        <f>IFERROR(__xludf.DUMMYFUNCTION("""COMPUTED_VALUE"""),-4.505477873180446)</f>
        <v>-4.505477873</v>
      </c>
      <c r="F147" s="15">
        <f>IFERROR(__xludf.DUMMYFUNCTION("""COMPUTED_VALUE"""),-3.8977805503402663)</f>
        <v>-3.89778055</v>
      </c>
      <c r="G147" s="17">
        <f>IFERROR(__xludf.DUMMYFUNCTION("""COMPUTED_VALUE"""),-0.16697684377128755)</f>
        <v>-0.1669768438</v>
      </c>
      <c r="H147" s="4"/>
      <c r="I147" s="5" t="s">
        <v>2640</v>
      </c>
      <c r="J147" s="5" t="s">
        <v>2477</v>
      </c>
      <c r="K147" s="5">
        <v>618.0</v>
      </c>
      <c r="L147" s="5">
        <v>-2.362457</v>
      </c>
      <c r="M147" s="5">
        <v>-1.477286</v>
      </c>
      <c r="N147" s="5">
        <v>-3.839743</v>
      </c>
      <c r="O147" s="5">
        <v>-0.346613</v>
      </c>
    </row>
    <row r="148">
      <c r="A148" s="18" t="str">
        <f>IFERROR(__xludf.DUMMYFUNCTION("""COMPUTED_VALUE"""),"Steponas Babrauskas")</f>
        <v>Steponas Babrauskas</v>
      </c>
      <c r="B148" s="19" t="str">
        <f>IFERROR(__xludf.DUMMYFUNCTION("""COMPUTED_VALUE"""),"PZV")</f>
        <v>PZV</v>
      </c>
      <c r="C148" s="20">
        <f>IFERROR(__xludf.DUMMYFUNCTION("""COMPUTED_VALUE"""),672.7)</f>
        <v>672.7</v>
      </c>
      <c r="D148" s="21">
        <f>IFERROR(__xludf.DUMMYFUNCTION("""COMPUTED_VALUE"""),-2.5585736268508095)</f>
        <v>-2.558573627</v>
      </c>
      <c r="E148" s="21">
        <f>IFERROR(__xludf.DUMMYFUNCTION("""COMPUTED_VALUE"""),-1.3803637113604954)</f>
        <v>-1.380363711</v>
      </c>
      <c r="F148" s="21">
        <f>IFERROR(__xludf.DUMMYFUNCTION("""COMPUTED_VALUE"""),-3.938937338211305)</f>
        <v>-3.938937338</v>
      </c>
      <c r="G148" s="23">
        <f>IFERROR(__xludf.DUMMYFUNCTION("""COMPUTED_VALUE"""),-0.39776888260574855)</f>
        <v>-0.3977688826</v>
      </c>
      <c r="H148" s="4"/>
      <c r="I148" s="5" t="s">
        <v>2641</v>
      </c>
      <c r="J148" s="5" t="s">
        <v>2408</v>
      </c>
      <c r="K148" s="5">
        <v>673.0</v>
      </c>
      <c r="L148" s="5">
        <v>-2.666901</v>
      </c>
      <c r="M148" s="5">
        <v>-1.271059</v>
      </c>
      <c r="N148" s="5">
        <v>-3.93796</v>
      </c>
      <c r="O148" s="5">
        <v>-0.397568</v>
      </c>
    </row>
    <row r="149">
      <c r="A149" s="12" t="str">
        <f>IFERROR(__xludf.DUMMYFUNCTION("""COMPUTED_VALUE"""),"Rytis Pipiras")</f>
        <v>Rytis Pipiras</v>
      </c>
      <c r="B149" s="13" t="str">
        <f>IFERROR(__xludf.DUMMYFUNCTION("""COMPUTED_VALUE"""),"SIA")</f>
        <v>SIA</v>
      </c>
      <c r="C149" s="14">
        <f>IFERROR(__xludf.DUMMYFUNCTION("""COMPUTED_VALUE"""),188.1)</f>
        <v>188.1</v>
      </c>
      <c r="D149" s="15">
        <f>IFERROR(__xludf.DUMMYFUNCTION("""COMPUTED_VALUE"""),-3.107437739517665)</f>
        <v>-3.10743774</v>
      </c>
      <c r="E149" s="15">
        <f>IFERROR(__xludf.DUMMYFUNCTION("""COMPUTED_VALUE"""),-0.9493080671482934)</f>
        <v>-0.9493080671</v>
      </c>
      <c r="F149" s="15">
        <f>IFERROR(__xludf.DUMMYFUNCTION("""COMPUTED_VALUE"""),-4.056745806665958)</f>
        <v>-4.056745807</v>
      </c>
      <c r="G149" s="17">
        <f>IFERROR(__xludf.DUMMYFUNCTION("""COMPUTED_VALUE"""),-0.11721820699298693)</f>
        <v>-0.117218207</v>
      </c>
      <c r="H149" s="4"/>
      <c r="I149" s="5" t="s">
        <v>2643</v>
      </c>
      <c r="J149" s="5" t="s">
        <v>2405</v>
      </c>
      <c r="K149" s="24">
        <v>188.0</v>
      </c>
      <c r="L149" s="5">
        <v>-3.175544</v>
      </c>
      <c r="M149" s="5">
        <v>-0.880741</v>
      </c>
      <c r="N149" s="5">
        <v>-4.056285</v>
      </c>
      <c r="O149" s="5">
        <v>-0.117192</v>
      </c>
    </row>
    <row r="150">
      <c r="A150" s="18" t="str">
        <f>IFERROR(__xludf.DUMMYFUNCTION("""COMPUTED_VALUE"""),"Arturs Ausejs")</f>
        <v>Arturs Ausejs</v>
      </c>
      <c r="B150" s="19" t="str">
        <f>IFERROR(__xludf.DUMMYFUNCTION("""COMPUTED_VALUE"""),"PZV")</f>
        <v>PZV</v>
      </c>
      <c r="C150" s="20">
        <f>IFERROR(__xludf.DUMMYFUNCTION("""COMPUTED_VALUE"""),1012.5)</f>
        <v>1012.5</v>
      </c>
      <c r="D150" s="21">
        <f>IFERROR(__xludf.DUMMYFUNCTION("""COMPUTED_VALUE"""),-1.0971939872099883)</f>
        <v>-1.097193987</v>
      </c>
      <c r="E150" s="21">
        <f>IFERROR(__xludf.DUMMYFUNCTION("""COMPUTED_VALUE"""),-3.049890472677448)</f>
        <v>-3.049890473</v>
      </c>
      <c r="F150" s="21">
        <f>IFERROR(__xludf.DUMMYFUNCTION("""COMPUTED_VALUE"""),-4.147084459887436)</f>
        <v>-4.14708446</v>
      </c>
      <c r="G150" s="23">
        <f>IFERROR(__xludf.DUMMYFUNCTION("""COMPUTED_VALUE"""),-0.6629637222297196)</f>
        <v>-0.6629637222</v>
      </c>
      <c r="H150" s="4"/>
      <c r="I150" s="5" t="s">
        <v>2645</v>
      </c>
      <c r="J150" s="5" t="s">
        <v>2408</v>
      </c>
      <c r="K150" s="24">
        <v>1013.0</v>
      </c>
      <c r="L150" s="5">
        <v>-1.207212</v>
      </c>
      <c r="M150" s="5">
        <v>-2.940284</v>
      </c>
      <c r="N150" s="5">
        <v>-4.147496</v>
      </c>
      <c r="O150" s="5">
        <v>-0.663091</v>
      </c>
    </row>
    <row r="151">
      <c r="A151" s="12" t="str">
        <f>IFERROR(__xludf.DUMMYFUNCTION("""COMPUTED_VALUE"""),"LiAngelo Ball")</f>
        <v>LiAngelo Ball</v>
      </c>
      <c r="B151" s="13" t="str">
        <f>IFERROR(__xludf.DUMMYFUNCTION("""COMPUTED_VALUE"""),"PRI")</f>
        <v>PRI</v>
      </c>
      <c r="C151" s="14">
        <f>IFERROR(__xludf.DUMMYFUNCTION("""COMPUTED_VALUE"""),303.4)</f>
        <v>303.4</v>
      </c>
      <c r="D151" s="15">
        <f>IFERROR(__xludf.DUMMYFUNCTION("""COMPUTED_VALUE"""),0.3541917631894791)</f>
        <v>0.3541917632</v>
      </c>
      <c r="E151" s="15">
        <f>IFERROR(__xludf.DUMMYFUNCTION("""COMPUTED_VALUE"""),-4.681544222183875)</f>
        <v>-4.681544222</v>
      </c>
      <c r="F151" s="15">
        <f>IFERROR(__xludf.DUMMYFUNCTION("""COMPUTED_VALUE"""),-4.327352458994396)</f>
        <v>-4.327352459</v>
      </c>
      <c r="G151" s="17">
        <f>IFERROR(__xludf.DUMMYFUNCTION("""COMPUTED_VALUE"""),-0.21518745230390632)</f>
        <v>-0.2151874523</v>
      </c>
      <c r="H151" s="4"/>
      <c r="I151" s="5" t="s">
        <v>2647</v>
      </c>
      <c r="J151" s="5" t="s">
        <v>2471</v>
      </c>
      <c r="K151" s="24">
        <v>303.0</v>
      </c>
      <c r="L151" s="5">
        <v>0.241005</v>
      </c>
      <c r="M151" s="5">
        <v>-4.571372</v>
      </c>
      <c r="N151" s="5">
        <v>-4.330367</v>
      </c>
      <c r="O151" s="5">
        <v>-0.215466</v>
      </c>
    </row>
    <row r="152">
      <c r="A152" s="18" t="str">
        <f>IFERROR(__xludf.DUMMYFUNCTION("""COMPUTED_VALUE"""),"Laurynas Samenas")</f>
        <v>Laurynas Samenas</v>
      </c>
      <c r="B152" s="19" t="str">
        <f>IFERROR(__xludf.DUMMYFUNCTION("""COMPUTED_VALUE"""),"JUV")</f>
        <v>JUV</v>
      </c>
      <c r="C152" s="20">
        <f>IFERROR(__xludf.DUMMYFUNCTION("""COMPUTED_VALUE"""),211.4)</f>
        <v>211.4</v>
      </c>
      <c r="D152" s="21">
        <f>IFERROR(__xludf.DUMMYFUNCTION("""COMPUTED_VALUE"""),-1.6474183686001416)</f>
        <v>-1.647418369</v>
      </c>
      <c r="E152" s="21">
        <f>IFERROR(__xludf.DUMMYFUNCTION("""COMPUTED_VALUE"""),-2.8573589196534686)</f>
        <v>-2.85735892</v>
      </c>
      <c r="F152" s="21">
        <f>IFERROR(__xludf.DUMMYFUNCTION("""COMPUTED_VALUE"""),-4.50477728825361)</f>
        <v>-4.504777288</v>
      </c>
      <c r="G152" s="23">
        <f>IFERROR(__xludf.DUMMYFUNCTION("""COMPUTED_VALUE"""),-0.16092635072376896)</f>
        <v>-0.1609263507</v>
      </c>
      <c r="H152" s="4"/>
      <c r="I152" s="5" t="s">
        <v>2648</v>
      </c>
      <c r="J152" s="5" t="s">
        <v>2431</v>
      </c>
      <c r="K152" s="5">
        <v>211.0</v>
      </c>
      <c r="L152" s="5">
        <v>-1.723982</v>
      </c>
      <c r="M152" s="5">
        <v>-2.780294</v>
      </c>
      <c r="N152" s="5">
        <v>-4.504277</v>
      </c>
      <c r="O152" s="5">
        <v>-0.160894</v>
      </c>
    </row>
    <row r="153">
      <c r="A153" s="12" t="str">
        <f>IFERROR(__xludf.DUMMYFUNCTION("""COMPUTED_VALUE"""),"Simas Buterlevicius")</f>
        <v>Simas Buterlevicius</v>
      </c>
      <c r="B153" s="13" t="str">
        <f>IFERROR(__xludf.DUMMYFUNCTION("""COMPUTED_VALUE"""),"JUV")</f>
        <v>JUV</v>
      </c>
      <c r="C153" s="14">
        <f>IFERROR(__xludf.DUMMYFUNCTION("""COMPUTED_VALUE"""),1051.3)</f>
        <v>1051.3</v>
      </c>
      <c r="D153" s="15">
        <f>IFERROR(__xludf.DUMMYFUNCTION("""COMPUTED_VALUE"""),-3.2929746725109457)</f>
        <v>-3.292974673</v>
      </c>
      <c r="E153" s="15">
        <f>IFERROR(__xludf.DUMMYFUNCTION("""COMPUTED_VALUE"""),-1.2325022802550318)</f>
        <v>-1.23250228</v>
      </c>
      <c r="F153" s="15">
        <f>IFERROR(__xludf.DUMMYFUNCTION("""COMPUTED_VALUE"""),-4.5254769527659775)</f>
        <v>-4.525476953</v>
      </c>
      <c r="G153" s="17">
        <f>IFERROR(__xludf.DUMMYFUNCTION("""COMPUTED_VALUE"""),-0.8069063576447566)</f>
        <v>-0.8069063576</v>
      </c>
      <c r="H153" s="4"/>
      <c r="I153" s="5" t="s">
        <v>2650</v>
      </c>
      <c r="J153" s="5" t="s">
        <v>2431</v>
      </c>
      <c r="K153" s="24">
        <v>1051.0</v>
      </c>
      <c r="L153" s="5">
        <v>-3.399423</v>
      </c>
      <c r="M153" s="5">
        <v>-1.123532</v>
      </c>
      <c r="N153" s="5">
        <v>-4.522955</v>
      </c>
      <c r="O153" s="5">
        <v>-0.8061</v>
      </c>
    </row>
    <row r="154">
      <c r="A154" s="18" t="str">
        <f>IFERROR(__xludf.DUMMYFUNCTION("""COMPUTED_VALUE"""),"Paulius Danisevicius")</f>
        <v>Paulius Danisevicius</v>
      </c>
      <c r="B154" s="19" t="str">
        <f>IFERROR(__xludf.DUMMYFUNCTION("""COMPUTED_VALUE"""),"DZU")</f>
        <v>DZU</v>
      </c>
      <c r="C154" s="20">
        <f>IFERROR(__xludf.DUMMYFUNCTION("""COMPUTED_VALUE"""),424.4)</f>
        <v>424.4</v>
      </c>
      <c r="D154" s="21">
        <f>IFERROR(__xludf.DUMMYFUNCTION("""COMPUTED_VALUE"""),-1.3025850947899138)</f>
        <v>-1.302585095</v>
      </c>
      <c r="E154" s="21">
        <f>IFERROR(__xludf.DUMMYFUNCTION("""COMPUTED_VALUE"""),-3.2564779545185734)</f>
        <v>-3.256477955</v>
      </c>
      <c r="F154" s="21">
        <f>IFERROR(__xludf.DUMMYFUNCTION("""COMPUTED_VALUE"""),-4.559063049308487)</f>
        <v>-4.559063049</v>
      </c>
      <c r="G154" s="23">
        <f>IFERROR(__xludf.DUMMYFUNCTION("""COMPUTED_VALUE"""),-0.33088341635849067)</f>
        <v>-0.3308834164</v>
      </c>
      <c r="H154" s="4"/>
      <c r="I154" s="5" t="s">
        <v>2652</v>
      </c>
      <c r="J154" s="5" t="s">
        <v>2477</v>
      </c>
      <c r="K154" s="5">
        <v>424.0</v>
      </c>
      <c r="L154" s="5">
        <v>-1.411689</v>
      </c>
      <c r="M154" s="5">
        <v>-3.147034</v>
      </c>
      <c r="N154" s="5">
        <v>-4.558724</v>
      </c>
      <c r="O154" s="5">
        <v>-0.33084</v>
      </c>
    </row>
    <row r="155">
      <c r="A155" s="12" t="str">
        <f>IFERROR(__xludf.DUMMYFUNCTION("""COMPUTED_VALUE"""),"Gediminas Navickas")</f>
        <v>Gediminas Navickas</v>
      </c>
      <c r="B155" s="13" t="str">
        <f>IFERROR(__xludf.DUMMYFUNCTION("""COMPUTED_VALUE"""),"DZU")</f>
        <v>DZU</v>
      </c>
      <c r="C155" s="14">
        <f>IFERROR(__xludf.DUMMYFUNCTION("""COMPUTED_VALUE"""),661.3)</f>
        <v>661.3</v>
      </c>
      <c r="D155" s="15">
        <f>IFERROR(__xludf.DUMMYFUNCTION("""COMPUTED_VALUE"""),-2.0443066129085437)</f>
        <v>-2.044306613</v>
      </c>
      <c r="E155" s="15">
        <f>IFERROR(__xludf.DUMMYFUNCTION("""COMPUTED_VALUE"""),-2.6949423378028894)</f>
        <v>-2.694942338</v>
      </c>
      <c r="F155" s="15">
        <f>IFERROR(__xludf.DUMMYFUNCTION("""COMPUTED_VALUE"""),-4.739248950711433)</f>
        <v>-4.739248951</v>
      </c>
      <c r="G155" s="17">
        <f>IFERROR(__xludf.DUMMYFUNCTION("""COMPUTED_VALUE"""),-0.5518850969705821)</f>
        <v>-0.551885097</v>
      </c>
      <c r="H155" s="4"/>
      <c r="I155" s="5" t="s">
        <v>2653</v>
      </c>
      <c r="J155" s="5" t="s">
        <v>2400</v>
      </c>
      <c r="K155" s="5">
        <v>439.0</v>
      </c>
      <c r="L155" s="5">
        <v>-3.598284</v>
      </c>
      <c r="M155" s="5">
        <v>-1.115908</v>
      </c>
      <c r="N155" s="5">
        <v>-4.714192</v>
      </c>
      <c r="O155" s="5">
        <v>-0.362153</v>
      </c>
    </row>
    <row r="156">
      <c r="A156" s="18" t="str">
        <f>IFERROR(__xludf.DUMMYFUNCTION("""COMPUTED_VALUE"""),"Vaidotas Volkus")</f>
        <v>Vaidotas Volkus</v>
      </c>
      <c r="B156" s="19" t="str">
        <f>IFERROR(__xludf.DUMMYFUNCTION("""COMPUTED_VALUE"""),"KED")</f>
        <v>KED</v>
      </c>
      <c r="C156" s="20">
        <f>IFERROR(__xludf.DUMMYFUNCTION("""COMPUTED_VALUE"""),481.2)</f>
        <v>481.2</v>
      </c>
      <c r="D156" s="21">
        <f>IFERROR(__xludf.DUMMYFUNCTION("""COMPUTED_VALUE"""),-2.636430679028834)</f>
        <v>-2.636430679</v>
      </c>
      <c r="E156" s="21">
        <f>IFERROR(__xludf.DUMMYFUNCTION("""COMPUTED_VALUE"""),-2.1110486594723277)</f>
        <v>-2.111048659</v>
      </c>
      <c r="F156" s="21">
        <f>IFERROR(__xludf.DUMMYFUNCTION("""COMPUTED_VALUE"""),-4.7474793385011615)</f>
        <v>-4.747479339</v>
      </c>
      <c r="G156" s="23">
        <f>IFERROR(__xludf.DUMMYFUNCTION("""COMPUTED_VALUE"""),-0.42531723261734916)</f>
        <v>-0.4253172326</v>
      </c>
      <c r="H156" s="4"/>
      <c r="I156" s="5" t="s">
        <v>2655</v>
      </c>
      <c r="J156" s="5" t="s">
        <v>2488</v>
      </c>
      <c r="K156" s="5">
        <v>454.0</v>
      </c>
      <c r="L156" s="5">
        <v>-3.122514</v>
      </c>
      <c r="M156" s="5">
        <v>-1.602663</v>
      </c>
      <c r="N156" s="5">
        <v>-4.725177</v>
      </c>
      <c r="O156" s="5">
        <v>-0.396397</v>
      </c>
    </row>
    <row r="157">
      <c r="A157" s="12" t="str">
        <f>IFERROR(__xludf.DUMMYFUNCTION("""COMPUTED_VALUE"""),"Tomas Lekunas")</f>
        <v>Tomas Lekunas</v>
      </c>
      <c r="B157" s="13" t="str">
        <f>IFERROR(__xludf.DUMMYFUNCTION("""COMPUTED_VALUE"""),"PZV")</f>
        <v>PZV</v>
      </c>
      <c r="C157" s="14">
        <f>IFERROR(__xludf.DUMMYFUNCTION("""COMPUTED_VALUE"""),729.0)</f>
        <v>729</v>
      </c>
      <c r="D157" s="15">
        <f>IFERROR(__xludf.DUMMYFUNCTION("""COMPUTED_VALUE"""),-3.336140461124785)</f>
        <v>-3.336140461</v>
      </c>
      <c r="E157" s="15">
        <f>IFERROR(__xludf.DUMMYFUNCTION("""COMPUTED_VALUE"""),-1.4579858152953555)</f>
        <v>-1.457985815</v>
      </c>
      <c r="F157" s="15">
        <f>IFERROR(__xludf.DUMMYFUNCTION("""COMPUTED_VALUE"""),-4.79412627642014)</f>
        <v>-4.794126276</v>
      </c>
      <c r="G157" s="17">
        <f>IFERROR(__xludf.DUMMYFUNCTION("""COMPUTED_VALUE"""),-0.6211824274572709)</f>
        <v>-0.6211824275</v>
      </c>
      <c r="H157" s="4"/>
      <c r="I157" s="5" t="s">
        <v>2656</v>
      </c>
      <c r="J157" s="5" t="s">
        <v>2477</v>
      </c>
      <c r="K157" s="5">
        <v>661.0</v>
      </c>
      <c r="L157" s="5">
        <v>-2.154822</v>
      </c>
      <c r="M157" s="5">
        <v>-2.585248</v>
      </c>
      <c r="N157" s="5">
        <v>-4.740069</v>
      </c>
      <c r="O157" s="5">
        <v>-0.55205</v>
      </c>
    </row>
    <row r="158">
      <c r="A158" s="18" t="str">
        <f>IFERROR(__xludf.DUMMYFUNCTION("""COMPUTED_VALUE"""),"Jonas Zakas")</f>
        <v>Jonas Zakas</v>
      </c>
      <c r="B158" s="19" t="str">
        <f>IFERROR(__xludf.DUMMYFUNCTION("""COMPUTED_VALUE"""),"JUV")</f>
        <v>JUV</v>
      </c>
      <c r="C158" s="20">
        <f>IFERROR(__xludf.DUMMYFUNCTION("""COMPUTED_VALUE"""),111.8)</f>
        <v>111.8</v>
      </c>
      <c r="D158" s="21">
        <f>IFERROR(__xludf.DUMMYFUNCTION("""COMPUTED_VALUE"""),-2.5320936264115708)</f>
        <v>-2.532093626</v>
      </c>
      <c r="E158" s="21">
        <f>IFERROR(__xludf.DUMMYFUNCTION("""COMPUTED_VALUE"""),-2.3680177011030126)</f>
        <v>-2.368017701</v>
      </c>
      <c r="F158" s="21">
        <f>IFERROR(__xludf.DUMMYFUNCTION("""COMPUTED_VALUE"""),-4.900111327514583)</f>
        <v>-4.900111328</v>
      </c>
      <c r="G158" s="23">
        <f>IFERROR(__xludf.DUMMYFUNCTION("""COMPUTED_VALUE"""),-0.0985393144522418)</f>
        <v>-0.09853931445</v>
      </c>
      <c r="H158" s="4"/>
      <c r="I158" s="5" t="s">
        <v>2658</v>
      </c>
      <c r="J158" s="5" t="s">
        <v>2408</v>
      </c>
      <c r="K158" s="5">
        <v>729.0</v>
      </c>
      <c r="L158" s="5">
        <v>-3.446604</v>
      </c>
      <c r="M158" s="5">
        <v>-1.3483</v>
      </c>
      <c r="N158" s="5">
        <v>-4.794905</v>
      </c>
      <c r="O158" s="5">
        <v>-0.621355</v>
      </c>
    </row>
    <row r="159">
      <c r="A159" s="12" t="str">
        <f>IFERROR(__xludf.DUMMYFUNCTION("""COMPUTED_VALUE"""),"Ignas Vaitkus")</f>
        <v>Ignas Vaitkus</v>
      </c>
      <c r="B159" s="13" t="str">
        <f>IFERROR(__xludf.DUMMYFUNCTION("""COMPUTED_VALUE"""),"SIA")</f>
        <v>SIA</v>
      </c>
      <c r="C159" s="14">
        <f>IFERROR(__xludf.DUMMYFUNCTION("""COMPUTED_VALUE"""),192.9)</f>
        <v>192.9</v>
      </c>
      <c r="D159" s="15">
        <f>IFERROR(__xludf.DUMMYFUNCTION("""COMPUTED_VALUE"""),-3.7457670608888134)</f>
        <v>-3.745767061</v>
      </c>
      <c r="E159" s="15">
        <f>IFERROR(__xludf.DUMMYFUNCTION("""COMPUTED_VALUE"""),-1.2189013444355763)</f>
        <v>-1.218901344</v>
      </c>
      <c r="F159" s="15">
        <f>IFERROR(__xludf.DUMMYFUNCTION("""COMPUTED_VALUE"""),-4.96466840532439)</f>
        <v>-4.964668405</v>
      </c>
      <c r="G159" s="17">
        <f>IFERROR(__xludf.DUMMYFUNCTION("""COMPUTED_VALUE"""),-0.17327424318468268)</f>
        <v>-0.1732742432</v>
      </c>
      <c r="H159" s="4"/>
      <c r="I159" s="5" t="s">
        <v>2660</v>
      </c>
      <c r="J159" s="5" t="s">
        <v>2488</v>
      </c>
      <c r="K159" s="5">
        <v>722.0</v>
      </c>
      <c r="L159" s="5">
        <v>-1.796279</v>
      </c>
      <c r="M159" s="5">
        <v>-3.066952</v>
      </c>
      <c r="N159" s="5">
        <v>-4.863232</v>
      </c>
      <c r="O159" s="5">
        <v>-0.661871</v>
      </c>
    </row>
    <row r="160">
      <c r="A160" s="18" t="str">
        <f>IFERROR(__xludf.DUMMYFUNCTION("""COMPUTED_VALUE"""),"Katin Reinhardt")</f>
        <v>Katin Reinhardt</v>
      </c>
      <c r="B160" s="19" t="str">
        <f>IFERROR(__xludf.DUMMYFUNCTION("""COMPUTED_VALUE"""),"DZU")</f>
        <v>DZU</v>
      </c>
      <c r="C160" s="20">
        <f>IFERROR(__xludf.DUMMYFUNCTION("""COMPUTED_VALUE"""),376.6)</f>
        <v>376.6</v>
      </c>
      <c r="D160" s="21">
        <f>IFERROR(__xludf.DUMMYFUNCTION("""COMPUTED_VALUE"""),-1.447105814951345)</f>
        <v>-1.447105815</v>
      </c>
      <c r="E160" s="21">
        <f>IFERROR(__xludf.DUMMYFUNCTION("""COMPUTED_VALUE"""),-3.6171450474363107)</f>
        <v>-3.617145047</v>
      </c>
      <c r="F160" s="21">
        <f>IFERROR(__xludf.DUMMYFUNCTION("""COMPUTED_VALUE"""),-5.064250862387656)</f>
        <v>-5.064250862</v>
      </c>
      <c r="G160" s="23">
        <f>IFERROR(__xludf.DUMMYFUNCTION("""COMPUTED_VALUE"""),-0.35157928015679685)</f>
        <v>-0.3515792802</v>
      </c>
      <c r="H160" s="4"/>
      <c r="I160" s="5" t="s">
        <v>2661</v>
      </c>
      <c r="J160" s="5" t="s">
        <v>2431</v>
      </c>
      <c r="K160" s="24">
        <v>112.0</v>
      </c>
      <c r="L160" s="5">
        <v>-2.573362</v>
      </c>
      <c r="M160" s="5">
        <v>-2.327123</v>
      </c>
      <c r="N160" s="5">
        <v>-4.900485</v>
      </c>
      <c r="O160" s="5">
        <v>-0.098552</v>
      </c>
    </row>
    <row r="161">
      <c r="A161" s="12" t="str">
        <f>IFERROR(__xludf.DUMMYFUNCTION("""COMPUTED_VALUE"""),"Akeem Wright")</f>
        <v>Akeem Wright</v>
      </c>
      <c r="B161" s="13" t="str">
        <f>IFERROR(__xludf.DUMMYFUNCTION("""COMPUTED_VALUE"""),"SIA")</f>
        <v>SIA</v>
      </c>
      <c r="C161" s="14">
        <f>IFERROR(__xludf.DUMMYFUNCTION("""COMPUTED_VALUE"""),768.1)</f>
        <v>768.1</v>
      </c>
      <c r="D161" s="15">
        <f>IFERROR(__xludf.DUMMYFUNCTION("""COMPUTED_VALUE"""),-4.8860257271354675)</f>
        <v>-4.886025727</v>
      </c>
      <c r="E161" s="15">
        <f>IFERROR(__xludf.DUMMYFUNCTION("""COMPUTED_VALUE"""),-0.27268691470394124)</f>
        <v>-0.2726869147</v>
      </c>
      <c r="F161" s="15">
        <f>IFERROR(__xludf.DUMMYFUNCTION("""COMPUTED_VALUE"""),-5.158712641839409)</f>
        <v>-5.158712642</v>
      </c>
      <c r="G161" s="17">
        <f>IFERROR(__xludf.DUMMYFUNCTION("""COMPUTED_VALUE"""),-0.7351120496260821)</f>
        <v>-0.7351120496</v>
      </c>
      <c r="H161" s="4"/>
      <c r="I161" s="5" t="s">
        <v>2663</v>
      </c>
      <c r="J161" s="5" t="s">
        <v>2405</v>
      </c>
      <c r="K161" s="5">
        <v>193.0</v>
      </c>
      <c r="L161" s="5">
        <v>-3.817042</v>
      </c>
      <c r="M161" s="5">
        <v>-1.148329</v>
      </c>
      <c r="N161" s="5">
        <v>-4.965372</v>
      </c>
      <c r="O161" s="5">
        <v>-0.173315</v>
      </c>
    </row>
    <row r="162">
      <c r="A162" s="18" t="str">
        <f>IFERROR(__xludf.DUMMYFUNCTION("""COMPUTED_VALUE"""),"Justas Tamulis")</f>
        <v>Justas Tamulis</v>
      </c>
      <c r="B162" s="19" t="str">
        <f>IFERROR(__xludf.DUMMYFUNCTION("""COMPUTED_VALUE"""),"KED")</f>
        <v>KED</v>
      </c>
      <c r="C162" s="20">
        <f>IFERROR(__xludf.DUMMYFUNCTION("""COMPUTED_VALUE"""),738.5)</f>
        <v>738.5</v>
      </c>
      <c r="D162" s="21">
        <f>IFERROR(__xludf.DUMMYFUNCTION("""COMPUTED_VALUE"""),-1.8665135179904726)</f>
        <v>-1.866513518</v>
      </c>
      <c r="E162" s="21">
        <f>IFERROR(__xludf.DUMMYFUNCTION("""COMPUTED_VALUE"""),-3.326428220758508)</f>
        <v>-3.326428221</v>
      </c>
      <c r="F162" s="21">
        <f>IFERROR(__xludf.DUMMYFUNCTION("""COMPUTED_VALUE"""),-5.1929417387489805)</f>
        <v>-5.192941739</v>
      </c>
      <c r="G162" s="23">
        <f>IFERROR(__xludf.DUMMYFUNCTION("""COMPUTED_VALUE"""),-0.7585678274250159)</f>
        <v>-0.7585678274</v>
      </c>
      <c r="H162" s="4"/>
      <c r="I162" s="5" t="s">
        <v>859</v>
      </c>
      <c r="J162" s="5" t="s">
        <v>2477</v>
      </c>
      <c r="K162" s="24">
        <v>377.0</v>
      </c>
      <c r="L162" s="5">
        <v>-1.562168</v>
      </c>
      <c r="M162" s="5">
        <v>-3.50664</v>
      </c>
      <c r="N162" s="5">
        <v>-5.068809</v>
      </c>
      <c r="O162" s="5">
        <v>-0.352102</v>
      </c>
    </row>
    <row r="163">
      <c r="A163" s="12" t="str">
        <f>IFERROR(__xludf.DUMMYFUNCTION("""COMPUTED_VALUE"""),"Vladislav Korenyuk")</f>
        <v>Vladislav Korenyuk</v>
      </c>
      <c r="B163" s="13" t="str">
        <f>IFERROR(__xludf.DUMMYFUNCTION("""COMPUTED_VALUE"""),"KED")</f>
        <v>KED</v>
      </c>
      <c r="C163" s="14">
        <f>IFERROR(__xludf.DUMMYFUNCTION("""COMPUTED_VALUE"""),415.9)</f>
        <v>415.9</v>
      </c>
      <c r="D163" s="15">
        <f>IFERROR(__xludf.DUMMYFUNCTION("""COMPUTED_VALUE"""),-2.7922686142956086)</f>
        <v>-2.792268614</v>
      </c>
      <c r="E163" s="15">
        <f>IFERROR(__xludf.DUMMYFUNCTION("""COMPUTED_VALUE"""),-2.683467820182321)</f>
        <v>-2.68346782</v>
      </c>
      <c r="F163" s="15">
        <f>IFERROR(__xludf.DUMMYFUNCTION("""COMPUTED_VALUE"""),-5.47573643447793)</f>
        <v>-5.475736434</v>
      </c>
      <c r="G163" s="17">
        <f>IFERROR(__xludf.DUMMYFUNCTION("""COMPUTED_VALUE"""),-0.4650382572304073)</f>
        <v>-0.4650382572</v>
      </c>
      <c r="H163" s="4"/>
      <c r="I163" s="5" t="s">
        <v>2665</v>
      </c>
      <c r="J163" s="5" t="s">
        <v>2405</v>
      </c>
      <c r="K163" s="5">
        <v>768.0</v>
      </c>
      <c r="L163" s="5">
        <v>-4.997142</v>
      </c>
      <c r="M163" s="5">
        <v>-0.162885</v>
      </c>
      <c r="N163" s="5">
        <v>-5.160027</v>
      </c>
      <c r="O163" s="5">
        <v>-0.735418</v>
      </c>
    </row>
    <row r="164">
      <c r="A164" s="18" t="str">
        <f>IFERROR(__xludf.DUMMYFUNCTION("""COMPUTED_VALUE"""),"Sarunas Beniusis")</f>
        <v>Sarunas Beniusis</v>
      </c>
      <c r="B164" s="19" t="str">
        <f>IFERROR(__xludf.DUMMYFUNCTION("""COMPUTED_VALUE"""),"SIA")</f>
        <v>SIA</v>
      </c>
      <c r="C164" s="20">
        <f>IFERROR(__xludf.DUMMYFUNCTION("""COMPUTED_VALUE"""),307.8)</f>
        <v>307.8</v>
      </c>
      <c r="D164" s="21">
        <f>IFERROR(__xludf.DUMMYFUNCTION("""COMPUTED_VALUE"""),-3.955586784823396)</f>
        <v>-3.955586785</v>
      </c>
      <c r="E164" s="21">
        <f>IFERROR(__xludf.DUMMYFUNCTION("""COMPUTED_VALUE"""),-1.9358855445131953)</f>
        <v>-1.935885545</v>
      </c>
      <c r="F164" s="21">
        <f>IFERROR(__xludf.DUMMYFUNCTION("""COMPUTED_VALUE"""),-5.891472329336591)</f>
        <v>-5.891472329</v>
      </c>
      <c r="G164" s="23">
        <f>IFERROR(__xludf.DUMMYFUNCTION("""COMPUTED_VALUE"""),-0.36291775870259335)</f>
        <v>-0.3629177587</v>
      </c>
      <c r="H164" s="4"/>
      <c r="I164" s="5" t="s">
        <v>2667</v>
      </c>
      <c r="J164" s="5" t="s">
        <v>2488</v>
      </c>
      <c r="K164" s="24">
        <v>332.0</v>
      </c>
      <c r="L164" s="5">
        <v>-3.750203</v>
      </c>
      <c r="M164" s="5">
        <v>-1.484431</v>
      </c>
      <c r="N164" s="5">
        <v>-5.234634</v>
      </c>
      <c r="O164" s="5">
        <v>-0.343756</v>
      </c>
    </row>
    <row r="165">
      <c r="A165" s="12" t="str">
        <f>IFERROR(__xludf.DUMMYFUNCTION("""COMPUTED_VALUE"""),"Dom Samac")</f>
        <v>Dom Samac</v>
      </c>
      <c r="B165" s="13" t="str">
        <f>IFERROR(__xludf.DUMMYFUNCTION("""COMPUTED_VALUE"""),"DZU")</f>
        <v>DZU</v>
      </c>
      <c r="C165" s="14">
        <f>IFERROR(__xludf.DUMMYFUNCTION("""COMPUTED_VALUE"""),322.9)</f>
        <v>322.9</v>
      </c>
      <c r="D165" s="15">
        <f>IFERROR(__xludf.DUMMYFUNCTION("""COMPUTED_VALUE"""),-3.9653902186036594)</f>
        <v>-3.965390219</v>
      </c>
      <c r="E165" s="15">
        <f>IFERROR(__xludf.DUMMYFUNCTION("""COMPUTED_VALUE"""),-1.9555002039491227)</f>
        <v>-1.955500204</v>
      </c>
      <c r="F165" s="15">
        <f>IFERROR(__xludf.DUMMYFUNCTION("""COMPUTED_VALUE"""),-5.920890422552782)</f>
        <v>-5.920890423</v>
      </c>
      <c r="G165" s="17">
        <f>IFERROR(__xludf.DUMMYFUNCTION("""COMPUTED_VALUE"""),-0.38571931795535896)</f>
        <v>-0.385719318</v>
      </c>
      <c r="H165" s="4"/>
      <c r="I165" s="5" t="s">
        <v>2669</v>
      </c>
      <c r="J165" s="5" t="s">
        <v>2488</v>
      </c>
      <c r="K165" s="5">
        <v>416.0</v>
      </c>
      <c r="L165" s="5">
        <v>-2.840039</v>
      </c>
      <c r="M165" s="5">
        <v>-2.428299</v>
      </c>
      <c r="N165" s="5">
        <v>-5.268339</v>
      </c>
      <c r="O165" s="5">
        <v>-0.435508</v>
      </c>
    </row>
    <row r="166">
      <c r="A166" s="18" t="str">
        <f>IFERROR(__xludf.DUMMYFUNCTION("""COMPUTED_VALUE"""),"Mauro Veljacic")</f>
        <v>Mauro Veljacic</v>
      </c>
      <c r="B166" s="19" t="str">
        <f>IFERROR(__xludf.DUMMYFUNCTION("""COMPUTED_VALUE"""),"KED")</f>
        <v>KED</v>
      </c>
      <c r="C166" s="20">
        <f>IFERROR(__xludf.DUMMYFUNCTION("""COMPUTED_VALUE"""),337.9)</f>
        <v>337.9</v>
      </c>
      <c r="D166" s="21">
        <f>IFERROR(__xludf.DUMMYFUNCTION("""COMPUTED_VALUE"""),-4.168979046071862)</f>
        <v>-4.168979046</v>
      </c>
      <c r="E166" s="21">
        <f>IFERROR(__xludf.DUMMYFUNCTION("""COMPUTED_VALUE"""),-1.7646810485157571)</f>
        <v>-1.764681049</v>
      </c>
      <c r="F166" s="21">
        <f>IFERROR(__xludf.DUMMYFUNCTION("""COMPUTED_VALUE"""),-5.933660094587619)</f>
        <v>-5.933660095</v>
      </c>
      <c r="G166" s="23">
        <f>IFERROR(__xludf.DUMMYFUNCTION("""COMPUTED_VALUE"""),-0.4276002470376673)</f>
        <v>-0.427600247</v>
      </c>
      <c r="H166" s="4"/>
      <c r="I166" s="5" t="s">
        <v>2670</v>
      </c>
      <c r="J166" s="5" t="s">
        <v>2405</v>
      </c>
      <c r="K166" s="5">
        <v>308.0</v>
      </c>
      <c r="L166" s="5">
        <v>-4.064038</v>
      </c>
      <c r="M166" s="5">
        <v>-1.826558</v>
      </c>
      <c r="N166" s="5">
        <v>-5.890597</v>
      </c>
      <c r="O166" s="5">
        <v>-0.362836</v>
      </c>
    </row>
    <row r="167">
      <c r="A167" s="12" t="str">
        <f>IFERROR(__xludf.DUMMYFUNCTION("""COMPUTED_VALUE"""),"Dino Pita")</f>
        <v>Dino Pita</v>
      </c>
      <c r="B167" s="13" t="str">
        <f>IFERROR(__xludf.DUMMYFUNCTION("""COMPUTED_VALUE"""),"JUV")</f>
        <v>JUV</v>
      </c>
      <c r="C167" s="14">
        <f>IFERROR(__xludf.DUMMYFUNCTION("""COMPUTED_VALUE"""),268.4)</f>
        <v>268.4</v>
      </c>
      <c r="D167" s="15">
        <f>IFERROR(__xludf.DUMMYFUNCTION("""COMPUTED_VALUE"""),-3.7450084361143876)</f>
        <v>-3.745008436</v>
      </c>
      <c r="E167" s="15">
        <f>IFERROR(__xludf.DUMMYFUNCTION("""COMPUTED_VALUE"""),-2.4241913436673386)</f>
        <v>-2.424191344</v>
      </c>
      <c r="F167" s="15">
        <f>IFERROR(__xludf.DUMMYFUNCTION("""COMPUTED_VALUE"""),-6.169199779781726)</f>
        <v>-6.16919978</v>
      </c>
      <c r="G167" s="17">
        <f>IFERROR(__xludf.DUMMYFUNCTION("""COMPUTED_VALUE"""),-0.34008562951874405)</f>
        <v>-0.3400856295</v>
      </c>
      <c r="H167" s="4"/>
      <c r="I167" s="5" t="s">
        <v>2672</v>
      </c>
      <c r="J167" s="5" t="s">
        <v>2477</v>
      </c>
      <c r="K167" s="5">
        <v>323.0</v>
      </c>
      <c r="L167" s="5">
        <v>-4.073554</v>
      </c>
      <c r="M167" s="5">
        <v>-1.846224</v>
      </c>
      <c r="N167" s="5">
        <v>-5.919778</v>
      </c>
      <c r="O167" s="5">
        <v>-0.38561</v>
      </c>
    </row>
    <row r="168">
      <c r="A168" s="18" t="str">
        <f>IFERROR(__xludf.DUMMYFUNCTION("""COMPUTED_VALUE"""),"Rashaun Broadus")</f>
        <v>Rashaun Broadus</v>
      </c>
      <c r="B168" s="19" t="str">
        <f>IFERROR(__xludf.DUMMYFUNCTION("""COMPUTED_VALUE"""),"PRI")</f>
        <v>PRI</v>
      </c>
      <c r="C168" s="20">
        <f>IFERROR(__xludf.DUMMYFUNCTION("""COMPUTED_VALUE"""),255.4)</f>
        <v>255.4</v>
      </c>
      <c r="D168" s="21">
        <f>IFERROR(__xludf.DUMMYFUNCTION("""COMPUTED_VALUE"""),-3.240631841200086)</f>
        <v>-3.240631841</v>
      </c>
      <c r="E168" s="21">
        <f>IFERROR(__xludf.DUMMYFUNCTION("""COMPUTED_VALUE"""),-2.9823756391746876)</f>
        <v>-2.982375639</v>
      </c>
      <c r="F168" s="21">
        <f>IFERROR(__xludf.DUMMYFUNCTION("""COMPUTED_VALUE"""),-6.223007480374774)</f>
        <v>-6.22300748</v>
      </c>
      <c r="G168" s="23">
        <f>IFERROR(__xludf.DUMMYFUNCTION("""COMPUTED_VALUE"""),-0.3286865646393255)</f>
        <v>-0.3286865646</v>
      </c>
      <c r="H168" s="4"/>
      <c r="I168" s="5" t="s">
        <v>2673</v>
      </c>
      <c r="J168" s="5" t="s">
        <v>2431</v>
      </c>
      <c r="K168" s="5">
        <v>268.0</v>
      </c>
      <c r="L168" s="5">
        <v>-3.841245</v>
      </c>
      <c r="M168" s="5">
        <v>-2.326521</v>
      </c>
      <c r="N168" s="5">
        <v>-6.167766</v>
      </c>
      <c r="O168" s="5">
        <v>-0.339969</v>
      </c>
    </row>
    <row r="169">
      <c r="A169" s="12" t="str">
        <f>IFERROR(__xludf.DUMMYFUNCTION("""COMPUTED_VALUE"""),"Zygimantas Skucas")</f>
        <v>Zygimantas Skucas</v>
      </c>
      <c r="B169" s="13" t="str">
        <f>IFERROR(__xludf.DUMMYFUNCTION("""COMPUTED_VALUE"""),"TEC")</f>
        <v>TEC</v>
      </c>
      <c r="C169" s="14">
        <f>IFERROR(__xludf.DUMMYFUNCTION("""COMPUTED_VALUE"""),541.5)</f>
        <v>541.5</v>
      </c>
      <c r="D169" s="15">
        <f>IFERROR(__xludf.DUMMYFUNCTION("""COMPUTED_VALUE"""),-5.292272878081316)</f>
        <v>-5.292272878</v>
      </c>
      <c r="E169" s="15">
        <f>IFERROR(__xludf.DUMMYFUNCTION("""COMPUTED_VALUE"""),-1.2104108146328443)</f>
        <v>-1.210410815</v>
      </c>
      <c r="F169" s="15">
        <f>IFERROR(__xludf.DUMMYFUNCTION("""COMPUTED_VALUE"""),-6.50268369271416)</f>
        <v>-6.502683693</v>
      </c>
      <c r="G169" s="17">
        <f>IFERROR(__xludf.DUMMYFUNCTION("""COMPUTED_VALUE"""),-0.7413907433670237)</f>
        <v>-0.7413907434</v>
      </c>
      <c r="H169" s="4"/>
      <c r="I169" s="5" t="s">
        <v>2675</v>
      </c>
      <c r="J169" s="5" t="s">
        <v>2471</v>
      </c>
      <c r="K169" s="5">
        <v>255.0</v>
      </c>
      <c r="L169" s="5">
        <v>-3.333864</v>
      </c>
      <c r="M169" s="5">
        <v>-2.88914</v>
      </c>
      <c r="N169" s="5">
        <v>-6.223003</v>
      </c>
      <c r="O169" s="5">
        <v>-0.328686</v>
      </c>
    </row>
    <row r="170">
      <c r="A170" s="18" t="str">
        <f>IFERROR(__xludf.DUMMYFUNCTION("""COMPUTED_VALUE"""),"Paulius Ivanauskas")</f>
        <v>Paulius Ivanauskas</v>
      </c>
      <c r="B170" s="19" t="str">
        <f>IFERROR(__xludf.DUMMYFUNCTION("""COMPUTED_VALUE"""),"PRI")</f>
        <v>PRI</v>
      </c>
      <c r="C170" s="20">
        <f>IFERROR(__xludf.DUMMYFUNCTION("""COMPUTED_VALUE"""),214.0)</f>
        <v>214</v>
      </c>
      <c r="D170" s="21">
        <f>IFERROR(__xludf.DUMMYFUNCTION("""COMPUTED_VALUE"""),-5.319801234692477)</f>
        <v>-5.319801235</v>
      </c>
      <c r="E170" s="21">
        <f>IFERROR(__xludf.DUMMYFUNCTION("""COMPUTED_VALUE"""),-1.1934323708143646)</f>
        <v>-1.193432371</v>
      </c>
      <c r="F170" s="21">
        <f>IFERROR(__xludf.DUMMYFUNCTION("""COMPUTED_VALUE"""),-6.513233605506842)</f>
        <v>-6.513233606</v>
      </c>
      <c r="G170" s="23">
        <f>IFERROR(__xludf.DUMMYFUNCTION("""COMPUTED_VALUE"""),-0.29433424579749634)</f>
        <v>-0.2943342458</v>
      </c>
      <c r="H170" s="4"/>
      <c r="I170" s="5" t="s">
        <v>2677</v>
      </c>
      <c r="J170" s="5" t="s">
        <v>2471</v>
      </c>
      <c r="K170" s="5">
        <v>214.0</v>
      </c>
      <c r="L170" s="5">
        <v>-5.396176</v>
      </c>
      <c r="M170" s="5">
        <v>-1.11562</v>
      </c>
      <c r="N170" s="5">
        <v>-6.511796</v>
      </c>
      <c r="O170" s="5">
        <v>-0.294241</v>
      </c>
    </row>
    <row r="171">
      <c r="A171" s="12" t="str">
        <f>IFERROR(__xludf.DUMMYFUNCTION("""COMPUTED_VALUE"""),"Martynas Varnas")</f>
        <v>Martynas Varnas</v>
      </c>
      <c r="B171" s="13" t="str">
        <f>IFERROR(__xludf.DUMMYFUNCTION("""COMPUTED_VALUE"""),"PZV")</f>
        <v>PZV</v>
      </c>
      <c r="C171" s="14">
        <f>IFERROR(__xludf.DUMMYFUNCTION("""COMPUTED_VALUE"""),646.2)</f>
        <v>646.2</v>
      </c>
      <c r="D171" s="15">
        <f>IFERROR(__xludf.DUMMYFUNCTION("""COMPUTED_VALUE"""),-3.315862169145281)</f>
        <v>-3.315862169</v>
      </c>
      <c r="E171" s="15">
        <f>IFERROR(__xludf.DUMMYFUNCTION("""COMPUTED_VALUE"""),-3.2143318532053673)</f>
        <v>-3.214331853</v>
      </c>
      <c r="F171" s="15">
        <f>IFERROR(__xludf.DUMMYFUNCTION("""COMPUTED_VALUE"""),-6.530194022350648)</f>
        <v>-6.530194022</v>
      </c>
      <c r="G171" s="17">
        <f>IFERROR(__xludf.DUMMYFUNCTION("""COMPUTED_VALUE"""),-0.892748974639669)</f>
        <v>-0.8927489746</v>
      </c>
      <c r="H171" s="4"/>
      <c r="I171" s="5" t="s">
        <v>2678</v>
      </c>
      <c r="J171" s="5" t="s">
        <v>2408</v>
      </c>
      <c r="K171" s="5">
        <v>646.0</v>
      </c>
      <c r="L171" s="5">
        <v>-3.423389</v>
      </c>
      <c r="M171" s="5">
        <v>-3.105169</v>
      </c>
      <c r="N171" s="5">
        <v>-6.528558</v>
      </c>
      <c r="O171" s="5">
        <v>-0.892427</v>
      </c>
    </row>
    <row r="172">
      <c r="A172" s="18" t="str">
        <f>IFERROR(__xludf.DUMMYFUNCTION("""COMPUTED_VALUE"""),"Tomas Galeckas")</f>
        <v>Tomas Galeckas</v>
      </c>
      <c r="B172" s="19" t="str">
        <f>IFERROR(__xludf.DUMMYFUNCTION("""COMPUTED_VALUE"""),"PZV")</f>
        <v>PZV</v>
      </c>
      <c r="C172" s="20">
        <f>IFERROR(__xludf.DUMMYFUNCTION("""COMPUTED_VALUE"""),402.6)</f>
        <v>402.6</v>
      </c>
      <c r="D172" s="21">
        <f>IFERROR(__xludf.DUMMYFUNCTION("""COMPUTED_VALUE"""),-3.054071358840205)</f>
        <v>-3.054071359</v>
      </c>
      <c r="E172" s="21">
        <f>IFERROR(__xludf.DUMMYFUNCTION("""COMPUTED_VALUE"""),-3.5472465261606727)</f>
        <v>-3.547246526</v>
      </c>
      <c r="F172" s="21">
        <f>IFERROR(__xludf.DUMMYFUNCTION("""COMPUTED_VALUE"""),-6.601317885000878)</f>
        <v>-6.601317885</v>
      </c>
      <c r="G172" s="23">
        <f>IFERROR(__xludf.DUMMYFUNCTION("""COMPUTED_VALUE"""),-0.5649390718122341)</f>
        <v>-0.5649390718</v>
      </c>
      <c r="H172" s="4"/>
      <c r="I172" s="5" t="s">
        <v>2680</v>
      </c>
      <c r="J172" s="5" t="s">
        <v>2408</v>
      </c>
      <c r="K172" s="5">
        <v>403.0</v>
      </c>
      <c r="L172" s="5">
        <v>-3.161273</v>
      </c>
      <c r="M172" s="5">
        <v>-3.438142</v>
      </c>
      <c r="N172" s="5">
        <v>-6.599415</v>
      </c>
      <c r="O172" s="5">
        <v>-0.564705</v>
      </c>
    </row>
    <row r="173">
      <c r="A173" s="12" t="str">
        <f>IFERROR(__xludf.DUMMYFUNCTION("""COMPUTED_VALUE"""),"Gediminas Maceina")</f>
        <v>Gediminas Maceina</v>
      </c>
      <c r="B173" s="13" t="str">
        <f>IFERROR(__xludf.DUMMYFUNCTION("""COMPUTED_VALUE"""),"PRI")</f>
        <v>PRI</v>
      </c>
      <c r="C173" s="14">
        <f>IFERROR(__xludf.DUMMYFUNCTION("""COMPUTED_VALUE"""),306.4)</f>
        <v>306.4</v>
      </c>
      <c r="D173" s="15">
        <f>IFERROR(__xludf.DUMMYFUNCTION("""COMPUTED_VALUE"""),-9.086059318986567)</f>
        <v>-9.086059319</v>
      </c>
      <c r="E173" s="15">
        <f>IFERROR(__xludf.DUMMYFUNCTION("""COMPUTED_VALUE"""),-3.5925211220267528)</f>
        <v>-3.592521122</v>
      </c>
      <c r="F173" s="15">
        <f>IFERROR(__xludf.DUMMYFUNCTION("""COMPUTED_VALUE"""),-12.67858044101332)</f>
        <v>-12.67858044</v>
      </c>
      <c r="G173" s="17">
        <f>IFERROR(__xludf.DUMMYFUNCTION("""COMPUTED_VALUE"""),-0.9971063754101244)</f>
        <v>-0.9971063754</v>
      </c>
      <c r="H173" s="4"/>
      <c r="I173" s="5" t="s">
        <v>2682</v>
      </c>
      <c r="J173" s="5" t="s">
        <v>2471</v>
      </c>
      <c r="K173" s="5">
        <v>306.0</v>
      </c>
      <c r="L173" s="5">
        <v>-9.194765</v>
      </c>
      <c r="M173" s="5">
        <v>-3.483147</v>
      </c>
      <c r="N173" s="5">
        <v>-12.677912</v>
      </c>
      <c r="O173" s="5">
        <v>-0.997044</v>
      </c>
    </row>
    <row r="174">
      <c r="A174" s="18" t="str">
        <f>IFERROR(__xludf.DUMMYFUNCTION("""COMPUTED_VALUE"""),"")</f>
        <v/>
      </c>
      <c r="B174" s="19" t="str">
        <f>IFERROR(__xludf.DUMMYFUNCTION("""COMPUTED_VALUE"""),"")</f>
        <v/>
      </c>
      <c r="C174" s="20" t="str">
        <f>IFERROR(__xludf.DUMMYFUNCTION("""COMPUTED_VALUE"""),"")</f>
        <v/>
      </c>
      <c r="D174" s="21" t="str">
        <f>IFERROR(__xludf.DUMMYFUNCTION("""COMPUTED_VALUE"""),"")</f>
        <v/>
      </c>
      <c r="E174" s="21" t="str">
        <f>IFERROR(__xludf.DUMMYFUNCTION("""COMPUTED_VALUE"""),"")</f>
        <v/>
      </c>
      <c r="F174" s="21" t="str">
        <f>IFERROR(__xludf.DUMMYFUNCTION("""COMPUTED_VALUE"""),"")</f>
        <v/>
      </c>
      <c r="G174" s="23" t="str">
        <f>IFERROR(__xludf.DUMMYFUNCTION("""COMPUTED_VALUE"""),"")</f>
        <v/>
      </c>
      <c r="H174" s="4"/>
      <c r="I174" s="5"/>
      <c r="J174" s="5"/>
      <c r="K174" s="5"/>
      <c r="L174" s="5"/>
      <c r="M174" s="5"/>
      <c r="N174" s="5"/>
      <c r="O174" s="5"/>
    </row>
    <row r="175">
      <c r="A175" s="12" t="str">
        <f>IFERROR(__xludf.DUMMYFUNCTION("""COMPUTED_VALUE"""),"")</f>
        <v/>
      </c>
      <c r="B175" s="13" t="str">
        <f>IFERROR(__xludf.DUMMYFUNCTION("""COMPUTED_VALUE"""),"")</f>
        <v/>
      </c>
      <c r="C175" s="14" t="str">
        <f>IFERROR(__xludf.DUMMYFUNCTION("""COMPUTED_VALUE"""),"")</f>
        <v/>
      </c>
      <c r="D175" s="15" t="str">
        <f>IFERROR(__xludf.DUMMYFUNCTION("""COMPUTED_VALUE"""),"")</f>
        <v/>
      </c>
      <c r="E175" s="15" t="str">
        <f>IFERROR(__xludf.DUMMYFUNCTION("""COMPUTED_VALUE"""),"")</f>
        <v/>
      </c>
      <c r="F175" s="15" t="str">
        <f>IFERROR(__xludf.DUMMYFUNCTION("""COMPUTED_VALUE"""),"")</f>
        <v/>
      </c>
      <c r="G175" s="17" t="str">
        <f>IFERROR(__xludf.DUMMYFUNCTION("""COMPUTED_VALUE"""),"")</f>
        <v/>
      </c>
      <c r="H175" s="4"/>
      <c r="I175" s="5"/>
      <c r="J175" s="5"/>
      <c r="K175" s="24"/>
      <c r="L175" s="5"/>
      <c r="M175" s="5"/>
      <c r="N175" s="5"/>
      <c r="O175" s="5"/>
    </row>
    <row r="176">
      <c r="A176" s="18" t="str">
        <f>IFERROR(__xludf.DUMMYFUNCTION("""COMPUTED_VALUE"""),"")</f>
        <v/>
      </c>
      <c r="B176" s="19" t="str">
        <f>IFERROR(__xludf.DUMMYFUNCTION("""COMPUTED_VALUE"""),"")</f>
        <v/>
      </c>
      <c r="C176" s="20" t="str">
        <f>IFERROR(__xludf.DUMMYFUNCTION("""COMPUTED_VALUE"""),"")</f>
        <v/>
      </c>
      <c r="D176" s="21" t="str">
        <f>IFERROR(__xludf.DUMMYFUNCTION("""COMPUTED_VALUE"""),"")</f>
        <v/>
      </c>
      <c r="E176" s="21" t="str">
        <f>IFERROR(__xludf.DUMMYFUNCTION("""COMPUTED_VALUE"""),"")</f>
        <v/>
      </c>
      <c r="F176" s="21" t="str">
        <f>IFERROR(__xludf.DUMMYFUNCTION("""COMPUTED_VALUE"""),"")</f>
        <v/>
      </c>
      <c r="G176" s="23" t="str">
        <f>IFERROR(__xludf.DUMMYFUNCTION("""COMPUTED_VALUE"""),"")</f>
        <v/>
      </c>
      <c r="H176" s="4"/>
      <c r="I176" s="5"/>
      <c r="J176" s="5"/>
      <c r="K176" s="5"/>
      <c r="L176" s="5"/>
      <c r="M176" s="5"/>
      <c r="N176" s="5"/>
      <c r="O176" s="5"/>
    </row>
    <row r="177">
      <c r="A177" s="12" t="str">
        <f>IFERROR(__xludf.DUMMYFUNCTION("""COMPUTED_VALUE"""),"")</f>
        <v/>
      </c>
      <c r="B177" s="13" t="str">
        <f>IFERROR(__xludf.DUMMYFUNCTION("""COMPUTED_VALUE"""),"")</f>
        <v/>
      </c>
      <c r="C177" s="14" t="str">
        <f>IFERROR(__xludf.DUMMYFUNCTION("""COMPUTED_VALUE"""),"")</f>
        <v/>
      </c>
      <c r="D177" s="15" t="str">
        <f>IFERROR(__xludf.DUMMYFUNCTION("""COMPUTED_VALUE"""),"")</f>
        <v/>
      </c>
      <c r="E177" s="15" t="str">
        <f>IFERROR(__xludf.DUMMYFUNCTION("""COMPUTED_VALUE"""),"")</f>
        <v/>
      </c>
      <c r="F177" s="15" t="str">
        <f>IFERROR(__xludf.DUMMYFUNCTION("""COMPUTED_VALUE"""),"")</f>
        <v/>
      </c>
      <c r="G177" s="17" t="str">
        <f>IFERROR(__xludf.DUMMYFUNCTION("""COMPUTED_VALUE"""),"")</f>
        <v/>
      </c>
      <c r="H177" s="4"/>
      <c r="I177" s="5"/>
      <c r="J177" s="5"/>
      <c r="K177" s="24"/>
      <c r="L177" s="5"/>
      <c r="M177" s="5"/>
      <c r="N177" s="5"/>
      <c r="O177" s="5"/>
    </row>
    <row r="178">
      <c r="A178" s="18" t="str">
        <f>IFERROR(__xludf.DUMMYFUNCTION("""COMPUTED_VALUE"""),"")</f>
        <v/>
      </c>
      <c r="B178" s="19" t="str">
        <f>IFERROR(__xludf.DUMMYFUNCTION("""COMPUTED_VALUE"""),"")</f>
        <v/>
      </c>
      <c r="C178" s="20" t="str">
        <f>IFERROR(__xludf.DUMMYFUNCTION("""COMPUTED_VALUE"""),"")</f>
        <v/>
      </c>
      <c r="D178" s="21" t="str">
        <f>IFERROR(__xludf.DUMMYFUNCTION("""COMPUTED_VALUE"""),"")</f>
        <v/>
      </c>
      <c r="E178" s="21" t="str">
        <f>IFERROR(__xludf.DUMMYFUNCTION("""COMPUTED_VALUE"""),"")</f>
        <v/>
      </c>
      <c r="F178" s="21" t="str">
        <f>IFERROR(__xludf.DUMMYFUNCTION("""COMPUTED_VALUE"""),"")</f>
        <v/>
      </c>
      <c r="G178" s="23" t="str">
        <f>IFERROR(__xludf.DUMMYFUNCTION("""COMPUTED_VALUE"""),"")</f>
        <v/>
      </c>
      <c r="H178" s="4"/>
      <c r="I178" s="5"/>
      <c r="J178" s="5"/>
      <c r="K178" s="5"/>
      <c r="L178" s="5"/>
      <c r="M178" s="5"/>
      <c r="N178" s="5"/>
      <c r="O178" s="5"/>
    </row>
    <row r="179">
      <c r="A179" s="12" t="str">
        <f>IFERROR(__xludf.DUMMYFUNCTION("""COMPUTED_VALUE"""),"")</f>
        <v/>
      </c>
      <c r="B179" s="13" t="str">
        <f>IFERROR(__xludf.DUMMYFUNCTION("""COMPUTED_VALUE"""),"")</f>
        <v/>
      </c>
      <c r="C179" s="14" t="str">
        <f>IFERROR(__xludf.DUMMYFUNCTION("""COMPUTED_VALUE"""),"")</f>
        <v/>
      </c>
      <c r="D179" s="15" t="str">
        <f>IFERROR(__xludf.DUMMYFUNCTION("""COMPUTED_VALUE"""),"")</f>
        <v/>
      </c>
      <c r="E179" s="15" t="str">
        <f>IFERROR(__xludf.DUMMYFUNCTION("""COMPUTED_VALUE"""),"")</f>
        <v/>
      </c>
      <c r="F179" s="15" t="str">
        <f>IFERROR(__xludf.DUMMYFUNCTION("""COMPUTED_VALUE"""),"")</f>
        <v/>
      </c>
      <c r="G179" s="17" t="str">
        <f>IFERROR(__xludf.DUMMYFUNCTION("""COMPUTED_VALUE"""),"")</f>
        <v/>
      </c>
      <c r="H179" s="4"/>
      <c r="I179" s="5"/>
      <c r="J179" s="5"/>
      <c r="K179" s="5"/>
      <c r="L179" s="5"/>
      <c r="M179" s="5"/>
      <c r="N179" s="5"/>
      <c r="O179" s="5"/>
    </row>
    <row r="180">
      <c r="A180" s="18" t="str">
        <f>IFERROR(__xludf.DUMMYFUNCTION("""COMPUTED_VALUE"""),"")</f>
        <v/>
      </c>
      <c r="B180" s="19" t="str">
        <f>IFERROR(__xludf.DUMMYFUNCTION("""COMPUTED_VALUE"""),"")</f>
        <v/>
      </c>
      <c r="C180" s="20" t="str">
        <f>IFERROR(__xludf.DUMMYFUNCTION("""COMPUTED_VALUE"""),"")</f>
        <v/>
      </c>
      <c r="D180" s="21" t="str">
        <f>IFERROR(__xludf.DUMMYFUNCTION("""COMPUTED_VALUE"""),"")</f>
        <v/>
      </c>
      <c r="E180" s="21" t="str">
        <f>IFERROR(__xludf.DUMMYFUNCTION("""COMPUTED_VALUE"""),"")</f>
        <v/>
      </c>
      <c r="F180" s="21" t="str">
        <f>IFERROR(__xludf.DUMMYFUNCTION("""COMPUTED_VALUE"""),"")</f>
        <v/>
      </c>
      <c r="G180" s="23" t="str">
        <f>IFERROR(__xludf.DUMMYFUNCTION("""COMPUTED_VALUE"""),"")</f>
        <v/>
      </c>
      <c r="H180" s="4"/>
      <c r="I180" s="5"/>
      <c r="J180" s="5"/>
      <c r="K180" s="5"/>
      <c r="L180" s="5"/>
      <c r="M180" s="5"/>
      <c r="N180" s="5"/>
      <c r="O180" s="5"/>
    </row>
    <row r="181">
      <c r="A181" s="12" t="str">
        <f>IFERROR(__xludf.DUMMYFUNCTION("""COMPUTED_VALUE"""),"")</f>
        <v/>
      </c>
      <c r="B181" s="13" t="str">
        <f>IFERROR(__xludf.DUMMYFUNCTION("""COMPUTED_VALUE"""),"")</f>
        <v/>
      </c>
      <c r="C181" s="14" t="str">
        <f>IFERROR(__xludf.DUMMYFUNCTION("""COMPUTED_VALUE"""),"")</f>
        <v/>
      </c>
      <c r="D181" s="15" t="str">
        <f>IFERROR(__xludf.DUMMYFUNCTION("""COMPUTED_VALUE"""),"")</f>
        <v/>
      </c>
      <c r="E181" s="15" t="str">
        <f>IFERROR(__xludf.DUMMYFUNCTION("""COMPUTED_VALUE"""),"")</f>
        <v/>
      </c>
      <c r="F181" s="15" t="str">
        <f>IFERROR(__xludf.DUMMYFUNCTION("""COMPUTED_VALUE"""),"")</f>
        <v/>
      </c>
      <c r="G181" s="17" t="str">
        <f>IFERROR(__xludf.DUMMYFUNCTION("""COMPUTED_VALUE"""),"")</f>
        <v/>
      </c>
      <c r="H181" s="4"/>
      <c r="I181" s="5"/>
      <c r="J181" s="5"/>
      <c r="K181" s="5"/>
      <c r="L181" s="5"/>
      <c r="M181" s="5"/>
      <c r="N181" s="5"/>
      <c r="O181" s="5"/>
    </row>
    <row r="182">
      <c r="A182" s="18" t="str">
        <f>IFERROR(__xludf.DUMMYFUNCTION("""COMPUTED_VALUE"""),"")</f>
        <v/>
      </c>
      <c r="B182" s="19" t="str">
        <f>IFERROR(__xludf.DUMMYFUNCTION("""COMPUTED_VALUE"""),"")</f>
        <v/>
      </c>
      <c r="C182" s="20" t="str">
        <f>IFERROR(__xludf.DUMMYFUNCTION("""COMPUTED_VALUE"""),"")</f>
        <v/>
      </c>
      <c r="D182" s="21" t="str">
        <f>IFERROR(__xludf.DUMMYFUNCTION("""COMPUTED_VALUE"""),"")</f>
        <v/>
      </c>
      <c r="E182" s="21" t="str">
        <f>IFERROR(__xludf.DUMMYFUNCTION("""COMPUTED_VALUE"""),"")</f>
        <v/>
      </c>
      <c r="F182" s="21" t="str">
        <f>IFERROR(__xludf.DUMMYFUNCTION("""COMPUTED_VALUE"""),"")</f>
        <v/>
      </c>
      <c r="G182" s="23" t="str">
        <f>IFERROR(__xludf.DUMMYFUNCTION("""COMPUTED_VALUE"""),"")</f>
        <v/>
      </c>
      <c r="H182" s="4"/>
      <c r="I182" s="5"/>
      <c r="J182" s="5"/>
      <c r="K182" s="5"/>
      <c r="L182" s="5"/>
      <c r="M182" s="5"/>
      <c r="N182" s="5"/>
      <c r="O182" s="5"/>
    </row>
    <row r="183">
      <c r="A183" s="12" t="str">
        <f>IFERROR(__xludf.DUMMYFUNCTION("""COMPUTED_VALUE"""),"")</f>
        <v/>
      </c>
      <c r="B183" s="13" t="str">
        <f>IFERROR(__xludf.DUMMYFUNCTION("""COMPUTED_VALUE"""),"")</f>
        <v/>
      </c>
      <c r="C183" s="14" t="str">
        <f>IFERROR(__xludf.DUMMYFUNCTION("""COMPUTED_VALUE"""),"")</f>
        <v/>
      </c>
      <c r="D183" s="15" t="str">
        <f>IFERROR(__xludf.DUMMYFUNCTION("""COMPUTED_VALUE"""),"")</f>
        <v/>
      </c>
      <c r="E183" s="15" t="str">
        <f>IFERROR(__xludf.DUMMYFUNCTION("""COMPUTED_VALUE"""),"")</f>
        <v/>
      </c>
      <c r="F183" s="15" t="str">
        <f>IFERROR(__xludf.DUMMYFUNCTION("""COMPUTED_VALUE"""),"")</f>
        <v/>
      </c>
      <c r="G183" s="17" t="str">
        <f>IFERROR(__xludf.DUMMYFUNCTION("""COMPUTED_VALUE"""),"")</f>
        <v/>
      </c>
      <c r="H183" s="4"/>
      <c r="I183" s="5"/>
      <c r="J183" s="5"/>
      <c r="K183" s="5"/>
      <c r="L183" s="5"/>
      <c r="M183" s="5"/>
      <c r="N183" s="5"/>
      <c r="O183" s="5"/>
    </row>
    <row r="184">
      <c r="A184" s="18" t="str">
        <f>IFERROR(__xludf.DUMMYFUNCTION("""COMPUTED_VALUE"""),"")</f>
        <v/>
      </c>
      <c r="B184" s="19" t="str">
        <f>IFERROR(__xludf.DUMMYFUNCTION("""COMPUTED_VALUE"""),"")</f>
        <v/>
      </c>
      <c r="C184" s="20" t="str">
        <f>IFERROR(__xludf.DUMMYFUNCTION("""COMPUTED_VALUE"""),"")</f>
        <v/>
      </c>
      <c r="D184" s="21" t="str">
        <f>IFERROR(__xludf.DUMMYFUNCTION("""COMPUTED_VALUE"""),"")</f>
        <v/>
      </c>
      <c r="E184" s="21" t="str">
        <f>IFERROR(__xludf.DUMMYFUNCTION("""COMPUTED_VALUE"""),"")</f>
        <v/>
      </c>
      <c r="F184" s="21" t="str">
        <f>IFERROR(__xludf.DUMMYFUNCTION("""COMPUTED_VALUE"""),"")</f>
        <v/>
      </c>
      <c r="G184" s="23" t="str">
        <f>IFERROR(__xludf.DUMMYFUNCTION("""COMPUTED_VALUE"""),"")</f>
        <v/>
      </c>
      <c r="H184" s="4"/>
      <c r="I184" s="5"/>
      <c r="J184" s="5"/>
      <c r="K184" s="5"/>
      <c r="L184" s="5"/>
      <c r="M184" s="5"/>
      <c r="N184" s="5"/>
      <c r="O184" s="5"/>
    </row>
    <row r="185">
      <c r="A185" s="12" t="str">
        <f>IFERROR(__xludf.DUMMYFUNCTION("""COMPUTED_VALUE"""),"")</f>
        <v/>
      </c>
      <c r="B185" s="13" t="str">
        <f>IFERROR(__xludf.DUMMYFUNCTION("""COMPUTED_VALUE"""),"")</f>
        <v/>
      </c>
      <c r="C185" s="14" t="str">
        <f>IFERROR(__xludf.DUMMYFUNCTION("""COMPUTED_VALUE"""),"")</f>
        <v/>
      </c>
      <c r="D185" s="15" t="str">
        <f>IFERROR(__xludf.DUMMYFUNCTION("""COMPUTED_VALUE"""),"")</f>
        <v/>
      </c>
      <c r="E185" s="15" t="str">
        <f>IFERROR(__xludf.DUMMYFUNCTION("""COMPUTED_VALUE"""),"")</f>
        <v/>
      </c>
      <c r="F185" s="15" t="str">
        <f>IFERROR(__xludf.DUMMYFUNCTION("""COMPUTED_VALUE"""),"")</f>
        <v/>
      </c>
      <c r="G185" s="17" t="str">
        <f>IFERROR(__xludf.DUMMYFUNCTION("""COMPUTED_VALUE"""),"")</f>
        <v/>
      </c>
      <c r="H185" s="4"/>
      <c r="I185" s="5"/>
      <c r="J185" s="5"/>
      <c r="K185" s="24"/>
      <c r="L185" s="5"/>
      <c r="M185" s="5"/>
      <c r="N185" s="5"/>
      <c r="O185" s="5"/>
    </row>
    <row r="186">
      <c r="A186" s="18" t="str">
        <f>IFERROR(__xludf.DUMMYFUNCTION("""COMPUTED_VALUE"""),"")</f>
        <v/>
      </c>
      <c r="B186" s="19" t="str">
        <f>IFERROR(__xludf.DUMMYFUNCTION("""COMPUTED_VALUE"""),"")</f>
        <v/>
      </c>
      <c r="C186" s="20" t="str">
        <f>IFERROR(__xludf.DUMMYFUNCTION("""COMPUTED_VALUE"""),"")</f>
        <v/>
      </c>
      <c r="D186" s="21" t="str">
        <f>IFERROR(__xludf.DUMMYFUNCTION("""COMPUTED_VALUE"""),"")</f>
        <v/>
      </c>
      <c r="E186" s="21" t="str">
        <f>IFERROR(__xludf.DUMMYFUNCTION("""COMPUTED_VALUE"""),"")</f>
        <v/>
      </c>
      <c r="F186" s="21" t="str">
        <f>IFERROR(__xludf.DUMMYFUNCTION("""COMPUTED_VALUE"""),"")</f>
        <v/>
      </c>
      <c r="G186" s="23" t="str">
        <f>IFERROR(__xludf.DUMMYFUNCTION("""COMPUTED_VALUE"""),"")</f>
        <v/>
      </c>
      <c r="H186" s="4"/>
      <c r="I186" s="5"/>
      <c r="J186" s="5"/>
      <c r="K186" s="5"/>
      <c r="L186" s="5"/>
      <c r="M186" s="5"/>
      <c r="N186" s="5"/>
      <c r="O186" s="5"/>
    </row>
    <row r="187">
      <c r="A187" s="12" t="str">
        <f>IFERROR(__xludf.DUMMYFUNCTION("""COMPUTED_VALUE"""),"")</f>
        <v/>
      </c>
      <c r="B187" s="13" t="str">
        <f>IFERROR(__xludf.DUMMYFUNCTION("""COMPUTED_VALUE"""),"")</f>
        <v/>
      </c>
      <c r="C187" s="14" t="str">
        <f>IFERROR(__xludf.DUMMYFUNCTION("""COMPUTED_VALUE"""),"")</f>
        <v/>
      </c>
      <c r="D187" s="15" t="str">
        <f>IFERROR(__xludf.DUMMYFUNCTION("""COMPUTED_VALUE"""),"")</f>
        <v/>
      </c>
      <c r="E187" s="15" t="str">
        <f>IFERROR(__xludf.DUMMYFUNCTION("""COMPUTED_VALUE"""),"")</f>
        <v/>
      </c>
      <c r="F187" s="15" t="str">
        <f>IFERROR(__xludf.DUMMYFUNCTION("""COMPUTED_VALUE"""),"")</f>
        <v/>
      </c>
      <c r="G187" s="17" t="str">
        <f>IFERROR(__xludf.DUMMYFUNCTION("""COMPUTED_VALUE"""),"")</f>
        <v/>
      </c>
      <c r="H187" s="4"/>
      <c r="I187" s="5"/>
      <c r="J187" s="5"/>
      <c r="K187" s="5"/>
      <c r="L187" s="5"/>
      <c r="M187" s="5"/>
      <c r="N187" s="5"/>
      <c r="O187" s="5"/>
    </row>
    <row r="188">
      <c r="A188" s="18" t="str">
        <f>IFERROR(__xludf.DUMMYFUNCTION("""COMPUTED_VALUE"""),"")</f>
        <v/>
      </c>
      <c r="B188" s="19" t="str">
        <f>IFERROR(__xludf.DUMMYFUNCTION("""COMPUTED_VALUE"""),"")</f>
        <v/>
      </c>
      <c r="C188" s="20" t="str">
        <f>IFERROR(__xludf.DUMMYFUNCTION("""COMPUTED_VALUE"""),"")</f>
        <v/>
      </c>
      <c r="D188" s="21" t="str">
        <f>IFERROR(__xludf.DUMMYFUNCTION("""COMPUTED_VALUE"""),"")</f>
        <v/>
      </c>
      <c r="E188" s="21" t="str">
        <f>IFERROR(__xludf.DUMMYFUNCTION("""COMPUTED_VALUE"""),"")</f>
        <v/>
      </c>
      <c r="F188" s="21" t="str">
        <f>IFERROR(__xludf.DUMMYFUNCTION("""COMPUTED_VALUE"""),"")</f>
        <v/>
      </c>
      <c r="G188" s="23" t="str">
        <f>IFERROR(__xludf.DUMMYFUNCTION("""COMPUTED_VALUE"""),"")</f>
        <v/>
      </c>
      <c r="H188" s="4"/>
      <c r="I188" s="5"/>
      <c r="J188" s="5"/>
      <c r="K188" s="5"/>
      <c r="L188" s="5"/>
      <c r="M188" s="5"/>
      <c r="N188" s="5"/>
      <c r="O188" s="5"/>
    </row>
    <row r="189">
      <c r="A189" s="12" t="str">
        <f>IFERROR(__xludf.DUMMYFUNCTION("""COMPUTED_VALUE"""),"")</f>
        <v/>
      </c>
      <c r="B189" s="13" t="str">
        <f>IFERROR(__xludf.DUMMYFUNCTION("""COMPUTED_VALUE"""),"")</f>
        <v/>
      </c>
      <c r="C189" s="14" t="str">
        <f>IFERROR(__xludf.DUMMYFUNCTION("""COMPUTED_VALUE"""),"")</f>
        <v/>
      </c>
      <c r="D189" s="15" t="str">
        <f>IFERROR(__xludf.DUMMYFUNCTION("""COMPUTED_VALUE"""),"")</f>
        <v/>
      </c>
      <c r="E189" s="15" t="str">
        <f>IFERROR(__xludf.DUMMYFUNCTION("""COMPUTED_VALUE"""),"")</f>
        <v/>
      </c>
      <c r="F189" s="15" t="str">
        <f>IFERROR(__xludf.DUMMYFUNCTION("""COMPUTED_VALUE"""),"")</f>
        <v/>
      </c>
      <c r="G189" s="17" t="str">
        <f>IFERROR(__xludf.DUMMYFUNCTION("""COMPUTED_VALUE"""),"")</f>
        <v/>
      </c>
      <c r="H189" s="4"/>
      <c r="I189" s="5"/>
      <c r="J189" s="5"/>
      <c r="K189" s="5"/>
      <c r="L189" s="5"/>
      <c r="M189" s="5"/>
      <c r="N189" s="5"/>
      <c r="O189" s="5"/>
    </row>
    <row r="190">
      <c r="A190" s="18" t="str">
        <f>IFERROR(__xludf.DUMMYFUNCTION("""COMPUTED_VALUE"""),"")</f>
        <v/>
      </c>
      <c r="B190" s="19" t="str">
        <f>IFERROR(__xludf.DUMMYFUNCTION("""COMPUTED_VALUE"""),"")</f>
        <v/>
      </c>
      <c r="C190" s="20" t="str">
        <f>IFERROR(__xludf.DUMMYFUNCTION("""COMPUTED_VALUE"""),"")</f>
        <v/>
      </c>
      <c r="D190" s="21" t="str">
        <f>IFERROR(__xludf.DUMMYFUNCTION("""COMPUTED_VALUE"""),"")</f>
        <v/>
      </c>
      <c r="E190" s="21" t="str">
        <f>IFERROR(__xludf.DUMMYFUNCTION("""COMPUTED_VALUE"""),"")</f>
        <v/>
      </c>
      <c r="F190" s="21" t="str">
        <f>IFERROR(__xludf.DUMMYFUNCTION("""COMPUTED_VALUE"""),"")</f>
        <v/>
      </c>
      <c r="G190" s="23" t="str">
        <f>IFERROR(__xludf.DUMMYFUNCTION("""COMPUTED_VALUE"""),"")</f>
        <v/>
      </c>
      <c r="H190" s="4"/>
      <c r="I190" s="5"/>
      <c r="J190" s="5"/>
      <c r="K190" s="5"/>
      <c r="L190" s="5"/>
      <c r="M190" s="5"/>
      <c r="N190" s="5"/>
      <c r="O190" s="5"/>
    </row>
    <row r="191">
      <c r="A191" s="12" t="str">
        <f>IFERROR(__xludf.DUMMYFUNCTION("""COMPUTED_VALUE"""),"")</f>
        <v/>
      </c>
      <c r="B191" s="13" t="str">
        <f>IFERROR(__xludf.DUMMYFUNCTION("""COMPUTED_VALUE"""),"")</f>
        <v/>
      </c>
      <c r="C191" s="14" t="str">
        <f>IFERROR(__xludf.DUMMYFUNCTION("""COMPUTED_VALUE"""),"")</f>
        <v/>
      </c>
      <c r="D191" s="15" t="str">
        <f>IFERROR(__xludf.DUMMYFUNCTION("""COMPUTED_VALUE"""),"")</f>
        <v/>
      </c>
      <c r="E191" s="15" t="str">
        <f>IFERROR(__xludf.DUMMYFUNCTION("""COMPUTED_VALUE"""),"")</f>
        <v/>
      </c>
      <c r="F191" s="15" t="str">
        <f>IFERROR(__xludf.DUMMYFUNCTION("""COMPUTED_VALUE"""),"")</f>
        <v/>
      </c>
      <c r="G191" s="17" t="str">
        <f>IFERROR(__xludf.DUMMYFUNCTION("""COMPUTED_VALUE"""),"")</f>
        <v/>
      </c>
      <c r="H191" s="4"/>
      <c r="I191" s="5"/>
      <c r="J191" s="5"/>
      <c r="K191" s="5"/>
      <c r="L191" s="5"/>
      <c r="M191" s="5"/>
      <c r="N191" s="5"/>
      <c r="O191" s="5"/>
    </row>
    <row r="192">
      <c r="A192" s="18" t="str">
        <f>IFERROR(__xludf.DUMMYFUNCTION("""COMPUTED_VALUE"""),"")</f>
        <v/>
      </c>
      <c r="B192" s="19" t="str">
        <f>IFERROR(__xludf.DUMMYFUNCTION("""COMPUTED_VALUE"""),"")</f>
        <v/>
      </c>
      <c r="C192" s="20" t="str">
        <f>IFERROR(__xludf.DUMMYFUNCTION("""COMPUTED_VALUE"""),"")</f>
        <v/>
      </c>
      <c r="D192" s="21" t="str">
        <f>IFERROR(__xludf.DUMMYFUNCTION("""COMPUTED_VALUE"""),"")</f>
        <v/>
      </c>
      <c r="E192" s="21" t="str">
        <f>IFERROR(__xludf.DUMMYFUNCTION("""COMPUTED_VALUE"""),"")</f>
        <v/>
      </c>
      <c r="F192" s="21" t="str">
        <f>IFERROR(__xludf.DUMMYFUNCTION("""COMPUTED_VALUE"""),"")</f>
        <v/>
      </c>
      <c r="G192" s="23" t="str">
        <f>IFERROR(__xludf.DUMMYFUNCTION("""COMPUTED_VALUE"""),"")</f>
        <v/>
      </c>
      <c r="H192" s="4"/>
      <c r="I192" s="5"/>
      <c r="J192" s="5"/>
      <c r="K192" s="5"/>
      <c r="L192" s="5"/>
      <c r="M192" s="5"/>
      <c r="N192" s="5"/>
      <c r="O192" s="5"/>
    </row>
    <row r="193">
      <c r="A193" s="12" t="str">
        <f>IFERROR(__xludf.DUMMYFUNCTION("""COMPUTED_VALUE"""),"")</f>
        <v/>
      </c>
      <c r="B193" s="13" t="str">
        <f>IFERROR(__xludf.DUMMYFUNCTION("""COMPUTED_VALUE"""),"")</f>
        <v/>
      </c>
      <c r="C193" s="14" t="str">
        <f>IFERROR(__xludf.DUMMYFUNCTION("""COMPUTED_VALUE"""),"")</f>
        <v/>
      </c>
      <c r="D193" s="15" t="str">
        <f>IFERROR(__xludf.DUMMYFUNCTION("""COMPUTED_VALUE"""),"")</f>
        <v/>
      </c>
      <c r="E193" s="15" t="str">
        <f>IFERROR(__xludf.DUMMYFUNCTION("""COMPUTED_VALUE"""),"")</f>
        <v/>
      </c>
      <c r="F193" s="15" t="str">
        <f>IFERROR(__xludf.DUMMYFUNCTION("""COMPUTED_VALUE"""),"")</f>
        <v/>
      </c>
      <c r="G193" s="17" t="str">
        <f>IFERROR(__xludf.DUMMYFUNCTION("""COMPUTED_VALUE"""),"")</f>
        <v/>
      </c>
      <c r="H193" s="4"/>
      <c r="I193" s="5"/>
      <c r="J193" s="5"/>
      <c r="K193" s="5"/>
      <c r="L193" s="5"/>
      <c r="M193" s="5"/>
      <c r="N193" s="5"/>
      <c r="O193" s="5"/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3" t="str">
        <f>IFERROR(__xludf.DUMMYFUNCTION("""COMPUTED_VALUE"""),"")</f>
        <v/>
      </c>
      <c r="H194" s="4"/>
      <c r="I194" s="5"/>
      <c r="J194" s="5"/>
      <c r="K194" s="5"/>
      <c r="L194" s="5"/>
      <c r="M194" s="5"/>
      <c r="N194" s="5"/>
      <c r="O194" s="5"/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7" t="str">
        <f>IFERROR(__xludf.DUMMYFUNCTION("""COMPUTED_VALUE"""),"")</f>
        <v/>
      </c>
      <c r="H195" s="4"/>
      <c r="I195" s="5"/>
      <c r="J195" s="5"/>
      <c r="K195" s="5"/>
      <c r="L195" s="5"/>
      <c r="M195" s="5"/>
      <c r="N195" s="5"/>
      <c r="O195" s="5"/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3" t="str">
        <f>IFERROR(__xludf.DUMMYFUNCTION("""COMPUTED_VALUE"""),"")</f>
        <v/>
      </c>
      <c r="H196" s="4"/>
      <c r="I196" s="5"/>
      <c r="J196" s="5"/>
      <c r="K196" s="5"/>
      <c r="L196" s="5"/>
      <c r="M196" s="5"/>
      <c r="N196" s="5"/>
      <c r="O196" s="5"/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/>
      <c r="J197" s="5"/>
      <c r="K197" s="24"/>
      <c r="L197" s="5"/>
      <c r="M197" s="5"/>
      <c r="N197" s="5"/>
      <c r="O197" s="5"/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/>
      <c r="J198" s="5"/>
      <c r="K198" s="24"/>
      <c r="L198" s="5"/>
      <c r="M198" s="5"/>
      <c r="N198" s="5"/>
      <c r="O198" s="5"/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/>
      <c r="J199" s="5"/>
      <c r="K199" s="5"/>
      <c r="L199" s="5"/>
      <c r="M199" s="5"/>
      <c r="N199" s="5"/>
      <c r="O199" s="5"/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/>
      <c r="J200" s="5"/>
      <c r="K200" s="5"/>
      <c r="L200" s="5"/>
      <c r="M200" s="5"/>
      <c r="N200" s="5"/>
      <c r="O200" s="5"/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/>
      <c r="J201" s="5"/>
      <c r="K201" s="5"/>
      <c r="L201" s="5"/>
      <c r="M201" s="5"/>
      <c r="N201" s="5"/>
      <c r="O201" s="5"/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/>
      <c r="J202" s="5"/>
      <c r="K202" s="5"/>
      <c r="L202" s="5"/>
      <c r="M202" s="5"/>
      <c r="N202" s="5"/>
      <c r="O202" s="5"/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/>
      <c r="J203" s="5"/>
      <c r="K203" s="5"/>
      <c r="L203" s="5"/>
      <c r="M203" s="5"/>
      <c r="N203" s="5"/>
      <c r="O203" s="5"/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/>
      <c r="J204" s="5"/>
      <c r="K204" s="5"/>
      <c r="L204" s="5"/>
      <c r="M204" s="5"/>
      <c r="N204" s="5"/>
      <c r="O204" s="5"/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/>
      <c r="J205" s="5"/>
      <c r="K205" s="5"/>
      <c r="L205" s="5"/>
      <c r="M205" s="5"/>
      <c r="N205" s="5"/>
      <c r="O205" s="5"/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/>
      <c r="J206" s="5"/>
      <c r="K206" s="24"/>
      <c r="L206" s="5"/>
      <c r="M206" s="5"/>
      <c r="N206" s="5"/>
      <c r="O206" s="5"/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/>
      <c r="J207" s="5"/>
      <c r="K207" s="24"/>
      <c r="L207" s="5"/>
      <c r="M207" s="5"/>
      <c r="N207" s="5"/>
      <c r="O207" s="5"/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/>
      <c r="J208" s="5"/>
      <c r="K208" s="5"/>
      <c r="L208" s="5"/>
      <c r="M208" s="5"/>
      <c r="N208" s="5"/>
      <c r="O208" s="5"/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/>
      <c r="J209" s="5"/>
      <c r="K209" s="5"/>
      <c r="L209" s="5"/>
      <c r="M209" s="5"/>
      <c r="N209" s="5"/>
      <c r="O209" s="5"/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/>
      <c r="J210" s="5"/>
      <c r="K210" s="5"/>
      <c r="L210" s="5"/>
      <c r="M210" s="5"/>
      <c r="N210" s="5"/>
      <c r="O210" s="5"/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/>
      <c r="J211" s="5"/>
      <c r="K211" s="5"/>
      <c r="L211" s="5"/>
      <c r="M211" s="5"/>
      <c r="N211" s="5"/>
      <c r="O211" s="5"/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/>
      <c r="J212" s="5"/>
      <c r="K212" s="5"/>
      <c r="L212" s="5"/>
      <c r="M212" s="5"/>
      <c r="N212" s="5"/>
      <c r="O212" s="5"/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/>
      <c r="J213" s="5"/>
      <c r="K213" s="5"/>
      <c r="L213" s="5"/>
      <c r="M213" s="5"/>
      <c r="N213" s="5"/>
      <c r="O213" s="5"/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/>
      <c r="J214" s="5"/>
      <c r="K214" s="5"/>
      <c r="L214" s="5"/>
      <c r="M214" s="5"/>
      <c r="N214" s="5"/>
      <c r="O214" s="5"/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/>
      <c r="J215" s="5"/>
      <c r="K215" s="5"/>
      <c r="L215" s="5"/>
      <c r="M215" s="5"/>
      <c r="N215" s="5"/>
      <c r="O215" s="5"/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/>
      <c r="J216" s="5"/>
      <c r="K216" s="5"/>
      <c r="L216" s="5"/>
      <c r="M216" s="5"/>
      <c r="N216" s="5"/>
      <c r="O216" s="5"/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/>
      <c r="J217" s="5"/>
      <c r="K217" s="5"/>
      <c r="L217" s="5"/>
      <c r="M217" s="5"/>
      <c r="N217" s="5"/>
      <c r="O217" s="5"/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/>
      <c r="J218" s="5"/>
      <c r="K218" s="5"/>
      <c r="L218" s="5"/>
      <c r="M218" s="5"/>
      <c r="N218" s="5"/>
      <c r="O218" s="5"/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/>
      <c r="J219" s="5"/>
      <c r="K219" s="5"/>
      <c r="L219" s="5"/>
      <c r="M219" s="5"/>
      <c r="N219" s="5"/>
      <c r="O219" s="5"/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/>
      <c r="J220" s="5"/>
      <c r="K220" s="5"/>
      <c r="L220" s="5"/>
      <c r="M220" s="5"/>
      <c r="N220" s="5"/>
      <c r="O220" s="5"/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/>
      <c r="J221" s="5"/>
      <c r="K221" s="5"/>
      <c r="L221" s="5"/>
      <c r="M221" s="5"/>
      <c r="N221" s="5"/>
      <c r="O221" s="5"/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/>
      <c r="J222" s="5"/>
      <c r="K222" s="5"/>
      <c r="L222" s="5"/>
      <c r="M222" s="5"/>
      <c r="N222" s="5"/>
      <c r="O222" s="5"/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/>
      <c r="J223" s="5"/>
      <c r="K223" s="5"/>
      <c r="L223" s="5"/>
      <c r="M223" s="5"/>
      <c r="N223" s="5"/>
      <c r="O223" s="5"/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/>
      <c r="J224" s="5"/>
      <c r="K224" s="5"/>
      <c r="L224" s="5"/>
      <c r="M224" s="5"/>
      <c r="N224" s="5"/>
      <c r="O224" s="5"/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/>
      <c r="J225" s="5"/>
      <c r="K225" s="5"/>
      <c r="L225" s="5"/>
      <c r="M225" s="5"/>
      <c r="N225" s="5"/>
      <c r="O225" s="5"/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/>
      <c r="J226" s="5"/>
      <c r="K226" s="5"/>
      <c r="L226" s="5"/>
      <c r="M226" s="5"/>
      <c r="N226" s="5"/>
      <c r="O226" s="5"/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/>
      <c r="J227" s="5"/>
      <c r="K227" s="24"/>
      <c r="L227" s="5"/>
      <c r="M227" s="5"/>
      <c r="N227" s="5"/>
      <c r="O227" s="5"/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/>
      <c r="J228" s="5"/>
      <c r="K228" s="5"/>
      <c r="L228" s="5"/>
      <c r="M228" s="5"/>
      <c r="N228" s="5"/>
      <c r="O228" s="5"/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/>
      <c r="J229" s="5"/>
      <c r="K229" s="24"/>
      <c r="L229" s="5"/>
      <c r="M229" s="5"/>
      <c r="N229" s="5"/>
      <c r="O229" s="5"/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/>
      <c r="J230" s="5"/>
      <c r="K230" s="24"/>
      <c r="L230" s="5"/>
      <c r="M230" s="5"/>
      <c r="N230" s="5"/>
      <c r="O230" s="5"/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/>
      <c r="J231" s="5"/>
      <c r="K231" s="5"/>
      <c r="L231" s="5"/>
      <c r="M231" s="5"/>
      <c r="N231" s="5"/>
      <c r="O231" s="5"/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/>
      <c r="J232" s="5"/>
      <c r="K232" s="5"/>
      <c r="L232" s="5"/>
      <c r="M232" s="5"/>
      <c r="N232" s="5"/>
      <c r="O232" s="5"/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/>
      <c r="J233" s="5"/>
      <c r="K233" s="24"/>
      <c r="L233" s="5"/>
      <c r="M233" s="5"/>
      <c r="N233" s="5"/>
      <c r="O233" s="5"/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24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24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5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24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24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24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  <c r="I293" s="5"/>
      <c r="J293" s="5"/>
      <c r="K293" s="5"/>
      <c r="L293" s="5"/>
      <c r="M293" s="5"/>
      <c r="N293" s="5"/>
      <c r="O293" s="5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  <c r="I294" s="5"/>
      <c r="J294" s="5"/>
      <c r="K294" s="5"/>
      <c r="L294" s="5"/>
      <c r="M294" s="5"/>
      <c r="N294" s="5"/>
      <c r="O294" s="5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  <c r="I295" s="5"/>
      <c r="J295" s="5"/>
      <c r="K295" s="5"/>
      <c r="L295" s="5"/>
      <c r="M295" s="5"/>
      <c r="N295" s="5"/>
      <c r="O295" s="5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  <c r="I296" s="5"/>
      <c r="J296" s="5"/>
      <c r="K296" s="5"/>
      <c r="L296" s="5"/>
      <c r="M296" s="5"/>
      <c r="N296" s="5"/>
      <c r="O296" s="5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  <c r="I297" s="5"/>
      <c r="J297" s="5"/>
      <c r="K297" s="5"/>
      <c r="L297" s="5"/>
      <c r="M297" s="5"/>
      <c r="N297" s="5"/>
      <c r="O297" s="5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  <c r="I298" s="5"/>
      <c r="J298" s="5"/>
      <c r="K298" s="5"/>
      <c r="L298" s="5"/>
      <c r="M298" s="5"/>
      <c r="N298" s="5"/>
      <c r="O298" s="5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  <c r="I299" s="5"/>
      <c r="J299" s="5"/>
      <c r="K299" s="5"/>
      <c r="L299" s="5"/>
      <c r="M299" s="5"/>
      <c r="N299" s="5"/>
      <c r="O299" s="5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  <c r="I300" s="5"/>
      <c r="J300" s="5"/>
      <c r="K300" s="5"/>
      <c r="L300" s="5"/>
      <c r="M300" s="5"/>
      <c r="N300" s="5"/>
      <c r="O300" s="5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  <c r="I301" s="5"/>
      <c r="J301" s="5"/>
      <c r="K301" s="5"/>
      <c r="L301" s="5"/>
      <c r="M301" s="5"/>
      <c r="N301" s="5"/>
      <c r="O301" s="5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  <c r="I302" s="5"/>
      <c r="J302" s="5"/>
      <c r="K302" s="5"/>
      <c r="L302" s="5"/>
      <c r="M302" s="5"/>
      <c r="N302" s="5"/>
      <c r="O302" s="5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  <c r="I303" s="5"/>
      <c r="J303" s="5"/>
      <c r="K303" s="5"/>
      <c r="L303" s="5"/>
      <c r="M303" s="5"/>
      <c r="N303" s="5"/>
      <c r="O303" s="5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  <c r="I304" s="5"/>
      <c r="J304" s="5"/>
      <c r="K304" s="5"/>
      <c r="L304" s="5"/>
      <c r="M304" s="5"/>
      <c r="N304" s="5"/>
      <c r="O304" s="5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  <c r="I305" s="5"/>
      <c r="J305" s="5"/>
      <c r="K305" s="5"/>
      <c r="L305" s="5"/>
      <c r="M305" s="5"/>
      <c r="N305" s="5"/>
      <c r="O305" s="5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  <c r="I306" s="5"/>
      <c r="J306" s="5"/>
      <c r="K306" s="5"/>
      <c r="L306" s="5"/>
      <c r="M306" s="5"/>
      <c r="N306" s="5"/>
      <c r="O306" s="5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6D9EEB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2779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IFERROR(__xludf.DUMMYFUNCTION("IMPORTRANGE(""https://docs.google.com/spreadsheets/d/1pUwdGOlAvLtJofHsNtx3qs3yqhuiyXGeHGd6iRVBbuw/edit#gid=1120027332"",""Leaders!A3:G502"")"),"Nando De Colo")</f>
        <v>Nando De Colo</v>
      </c>
      <c r="B3" s="13" t="str">
        <f>IFERROR(__xludf.DUMMYFUNCTION("""COMPUTED_VALUE"""),"CSKA")</f>
        <v>CSKA</v>
      </c>
      <c r="C3" s="14">
        <f>IFERROR(__xludf.DUMMYFUNCTION("""COMPUTED_VALUE"""),543.8)</f>
        <v>543.8</v>
      </c>
      <c r="D3" s="15">
        <f>IFERROR(__xludf.DUMMYFUNCTION("""COMPUTED_VALUE"""),4.753087858783753)</f>
        <v>4.753087859</v>
      </c>
      <c r="E3" s="15">
        <f>IFERROR(__xludf.DUMMYFUNCTION("""COMPUTED_VALUE"""),4.4138416883033385)</f>
        <v>4.413841688</v>
      </c>
      <c r="F3" s="15">
        <f>IFERROR(__xludf.DUMMYFUNCTION("""COMPUTED_VALUE"""),9.166929547087092)</f>
        <v>9.166929547</v>
      </c>
      <c r="G3" s="17">
        <f>IFERROR(__xludf.DUMMYFUNCTION("""COMPUTED_VALUE"""),1.8388636941213283)</f>
        <v>1.838863694</v>
      </c>
      <c r="H3" s="4"/>
      <c r="I3" s="5" t="s">
        <v>28</v>
      </c>
      <c r="J3" s="5" t="s">
        <v>12</v>
      </c>
      <c r="K3" s="24">
        <v>480.0</v>
      </c>
      <c r="L3" s="5">
        <v>8.488312</v>
      </c>
      <c r="M3" s="5">
        <v>0.929623</v>
      </c>
      <c r="N3" s="5">
        <v>9.417936</v>
      </c>
      <c r="O3" s="5">
        <v>1.672345</v>
      </c>
    </row>
    <row r="4">
      <c r="A4" s="18" t="str">
        <f>IFERROR(__xludf.DUMMYFUNCTION("""COMPUTED_VALUE"""),"Andrey Vorontsevich")</f>
        <v>Andrey Vorontsevich</v>
      </c>
      <c r="B4" s="19" t="str">
        <f>IFERROR(__xludf.DUMMYFUNCTION("""COMPUTED_VALUE"""),"CSKA")</f>
        <v>CSKA</v>
      </c>
      <c r="C4" s="20">
        <f>IFERROR(__xludf.DUMMYFUNCTION("""COMPUTED_VALUE"""),363.1)</f>
        <v>363.1</v>
      </c>
      <c r="D4" s="21">
        <f>IFERROR(__xludf.DUMMYFUNCTION("""COMPUTED_VALUE"""),1.5506989889889047)</f>
        <v>1.550698989</v>
      </c>
      <c r="E4" s="21">
        <f>IFERROR(__xludf.DUMMYFUNCTION("""COMPUTED_VALUE"""),6.911711061102481)</f>
        <v>6.911711061</v>
      </c>
      <c r="F4" s="21">
        <f>IFERROR(__xludf.DUMMYFUNCTION("""COMPUTED_VALUE"""),8.462410050091385)</f>
        <v>8.46241005</v>
      </c>
      <c r="G4" s="23">
        <f>IFERROR(__xludf.DUMMYFUNCTION("""COMPUTED_VALUE"""),1.1503620472596967)</f>
        <v>1.150362047</v>
      </c>
      <c r="H4" s="4"/>
      <c r="I4" s="5" t="s">
        <v>2784</v>
      </c>
      <c r="J4" s="5" t="s">
        <v>2785</v>
      </c>
      <c r="K4" s="24">
        <v>386.0</v>
      </c>
      <c r="L4" s="5">
        <v>4.397317</v>
      </c>
      <c r="M4" s="5">
        <v>4.110346</v>
      </c>
      <c r="N4" s="5">
        <v>8.507664</v>
      </c>
      <c r="O4" s="5">
        <v>1.223988</v>
      </c>
    </row>
    <row r="5">
      <c r="A5" s="12" t="str">
        <f>IFERROR(__xludf.DUMMYFUNCTION("""COMPUTED_VALUE"""),"Ryan Broekhoff")</f>
        <v>Ryan Broekhoff</v>
      </c>
      <c r="B5" s="13" t="str">
        <f>IFERROR(__xludf.DUMMYFUNCTION("""COMPUTED_VALUE"""),"LOK")</f>
        <v>LOK</v>
      </c>
      <c r="C5" s="14">
        <f>IFERROR(__xludf.DUMMYFUNCTION("""COMPUTED_VALUE"""),385.9)</f>
        <v>385.9</v>
      </c>
      <c r="D5" s="15">
        <f>IFERROR(__xludf.DUMMYFUNCTION("""COMPUTED_VALUE"""),3.5261451947545206)</f>
        <v>3.526145195</v>
      </c>
      <c r="E5" s="15">
        <f>IFERROR(__xludf.DUMMYFUNCTION("""COMPUTED_VALUE"""),4.713953948959179)</f>
        <v>4.713953949</v>
      </c>
      <c r="F5" s="15">
        <f>IFERROR(__xludf.DUMMYFUNCTION("""COMPUTED_VALUE"""),8.2400991437137)</f>
        <v>8.240099144</v>
      </c>
      <c r="G5" s="17">
        <f>IFERROR(__xludf.DUMMYFUNCTION("""COMPUTED_VALUE"""),1.1937196801084824)</f>
        <v>1.19371968</v>
      </c>
      <c r="H5" s="4"/>
      <c r="I5" s="5" t="s">
        <v>156</v>
      </c>
      <c r="J5" s="5" t="s">
        <v>12</v>
      </c>
      <c r="K5" s="24">
        <v>363.0</v>
      </c>
      <c r="L5" s="5">
        <v>5.113164</v>
      </c>
      <c r="M5" s="5">
        <v>3.218433</v>
      </c>
      <c r="N5" s="5">
        <v>8.331597</v>
      </c>
      <c r="O5" s="5">
        <v>1.143744</v>
      </c>
    </row>
    <row r="6">
      <c r="A6" s="18" t="str">
        <f>IFERROR(__xludf.DUMMYFUNCTION("""COMPUTED_VALUE"""),"Viktor Khryapa")</f>
        <v>Viktor Khryapa</v>
      </c>
      <c r="B6" s="19" t="str">
        <f>IFERROR(__xludf.DUMMYFUNCTION("""COMPUTED_VALUE"""),"CSKA")</f>
        <v>CSKA</v>
      </c>
      <c r="C6" s="20">
        <f>IFERROR(__xludf.DUMMYFUNCTION("""COMPUTED_VALUE"""),263.1)</f>
        <v>263.1</v>
      </c>
      <c r="D6" s="21">
        <f>IFERROR(__xludf.DUMMYFUNCTION("""COMPUTED_VALUE"""),-0.7543122721290983)</f>
        <v>-0.7543122721</v>
      </c>
      <c r="E6" s="21">
        <f>IFERROR(__xludf.DUMMYFUNCTION("""COMPUTED_VALUE"""),8.619750167207853)</f>
        <v>8.619750167</v>
      </c>
      <c r="F6" s="21">
        <f>IFERROR(__xludf.DUMMYFUNCTION("""COMPUTED_VALUE"""),7.865437895078755)</f>
        <v>7.865437895</v>
      </c>
      <c r="G6" s="23">
        <f>IFERROR(__xludf.DUMMYFUNCTION("""COMPUTED_VALUE"""),0.7859841241717572)</f>
        <v>0.7859841242</v>
      </c>
      <c r="H6" s="4"/>
      <c r="I6" s="5" t="s">
        <v>33</v>
      </c>
      <c r="J6" s="5" t="s">
        <v>12</v>
      </c>
      <c r="K6" s="24">
        <v>312.0</v>
      </c>
      <c r="L6" s="5">
        <v>5.292825</v>
      </c>
      <c r="M6" s="5">
        <v>2.192518</v>
      </c>
      <c r="N6" s="5">
        <v>7.485343</v>
      </c>
      <c r="O6" s="5">
        <v>0.903151</v>
      </c>
    </row>
    <row r="7">
      <c r="A7" s="12" t="str">
        <f>IFERROR(__xludf.DUMMYFUNCTION("""COMPUTED_VALUE"""),"Nikita Kurbanov")</f>
        <v>Nikita Kurbanov</v>
      </c>
      <c r="B7" s="13" t="str">
        <f>IFERROR(__xludf.DUMMYFUNCTION("""COMPUTED_VALUE"""),"CSKA")</f>
        <v>CSKA</v>
      </c>
      <c r="C7" s="14">
        <f>IFERROR(__xludf.DUMMYFUNCTION("""COMPUTED_VALUE"""),567.4)</f>
        <v>567.4</v>
      </c>
      <c r="D7" s="15">
        <f>IFERROR(__xludf.DUMMYFUNCTION("""COMPUTED_VALUE"""),-0.5540480135956317)</f>
        <v>-0.5540480136</v>
      </c>
      <c r="E7" s="15">
        <f>IFERROR(__xludf.DUMMYFUNCTION("""COMPUTED_VALUE"""),8.143199034153925)</f>
        <v>8.143199034</v>
      </c>
      <c r="F7" s="15">
        <f>IFERROR(__xludf.DUMMYFUNCTION("""COMPUTED_VALUE"""),7.589151020558294)</f>
        <v>7.589151021</v>
      </c>
      <c r="G7" s="17">
        <f>IFERROR(__xludf.DUMMYFUNCTION("""COMPUTED_VALUE"""),1.647578245057496)</f>
        <v>1.647578245</v>
      </c>
      <c r="H7" s="4"/>
      <c r="I7" s="5" t="s">
        <v>93</v>
      </c>
      <c r="J7" s="5" t="s">
        <v>12</v>
      </c>
      <c r="K7" s="24">
        <v>511.0</v>
      </c>
      <c r="L7" s="5">
        <v>2.777045</v>
      </c>
      <c r="M7" s="5">
        <v>4.619816</v>
      </c>
      <c r="N7" s="5">
        <v>7.396861</v>
      </c>
      <c r="O7" s="5">
        <v>1.463706</v>
      </c>
    </row>
    <row r="8">
      <c r="A8" s="18" t="str">
        <f>IFERROR(__xludf.DUMMYFUNCTION("""COMPUTED_VALUE"""),"Othello Hunter")</f>
        <v>Othello Hunter</v>
      </c>
      <c r="B8" s="19" t="str">
        <f>IFERROR(__xludf.DUMMYFUNCTION("""COMPUTED_VALUE"""),"CSKA")</f>
        <v>CSKA</v>
      </c>
      <c r="C8" s="20">
        <f>IFERROR(__xludf.DUMMYFUNCTION("""COMPUTED_VALUE"""),365.6)</f>
        <v>365.6</v>
      </c>
      <c r="D8" s="21">
        <f>IFERROR(__xludf.DUMMYFUNCTION("""COMPUTED_VALUE"""),1.7442107896407604)</f>
        <v>1.74421079</v>
      </c>
      <c r="E8" s="21">
        <f>IFERROR(__xludf.DUMMYFUNCTION("""COMPUTED_VALUE"""),5.646616999907345)</f>
        <v>5.646617</v>
      </c>
      <c r="F8" s="21">
        <f>IFERROR(__xludf.DUMMYFUNCTION("""COMPUTED_VALUE"""),7.390827789548106)</f>
        <v>7.39082779</v>
      </c>
      <c r="G8" s="23">
        <f>IFERROR(__xludf.DUMMYFUNCTION("""COMPUTED_VALUE"""),1.0396487181774257)</f>
        <v>1.039648718</v>
      </c>
      <c r="H8" s="4"/>
      <c r="I8" s="5" t="s">
        <v>2792</v>
      </c>
      <c r="J8" s="5" t="s">
        <v>22</v>
      </c>
      <c r="K8" s="24">
        <v>572.0</v>
      </c>
      <c r="L8" s="5">
        <v>3.875367</v>
      </c>
      <c r="M8" s="5">
        <v>3.380388</v>
      </c>
      <c r="N8" s="5">
        <v>7.255755</v>
      </c>
      <c r="O8" s="5">
        <v>1.544916</v>
      </c>
    </row>
    <row r="9">
      <c r="A9" s="12" t="str">
        <f>IFERROR(__xludf.DUMMYFUNCTION("""COMPUTED_VALUE"""),"Kyle Hines")</f>
        <v>Kyle Hines</v>
      </c>
      <c r="B9" s="13" t="str">
        <f>IFERROR(__xludf.DUMMYFUNCTION("""COMPUTED_VALUE"""),"CSKA")</f>
        <v>CSKA</v>
      </c>
      <c r="C9" s="14">
        <f>IFERROR(__xludf.DUMMYFUNCTION("""COMPUTED_VALUE"""),380.1)</f>
        <v>380.1</v>
      </c>
      <c r="D9" s="15">
        <f>IFERROR(__xludf.DUMMYFUNCTION("""COMPUTED_VALUE"""),0.8398787239369814)</f>
        <v>0.8398787239</v>
      </c>
      <c r="E9" s="15">
        <f>IFERROR(__xludf.DUMMYFUNCTION("""COMPUTED_VALUE"""),6.132450590269907)</f>
        <v>6.13245059</v>
      </c>
      <c r="F9" s="15">
        <f>IFERROR(__xludf.DUMMYFUNCTION("""COMPUTED_VALUE"""),6.972329314206888)</f>
        <v>6.972329314</v>
      </c>
      <c r="G9" s="17">
        <f>IFERROR(__xludf.DUMMYFUNCTION("""COMPUTED_VALUE"""),1.032712975585879)</f>
        <v>1.032712976</v>
      </c>
      <c r="H9" s="4"/>
      <c r="I9" s="5" t="s">
        <v>2795</v>
      </c>
      <c r="J9" s="5" t="s">
        <v>22</v>
      </c>
      <c r="K9" s="24">
        <v>327.0</v>
      </c>
      <c r="L9" s="5">
        <v>4.353442</v>
      </c>
      <c r="M9" s="5">
        <v>2.873758</v>
      </c>
      <c r="N9" s="5">
        <v>7.2272</v>
      </c>
      <c r="O9" s="5">
        <v>0.880278</v>
      </c>
    </row>
    <row r="10">
      <c r="A10" s="18" t="str">
        <f>IFERROR(__xludf.DUMMYFUNCTION("""COMPUTED_VALUE"""),"Maurice Ndour")</f>
        <v>Maurice Ndour</v>
      </c>
      <c r="B10" s="19" t="str">
        <f>IFERROR(__xludf.DUMMYFUNCTION("""COMPUTED_VALUE"""),"UNI")</f>
        <v>UNI</v>
      </c>
      <c r="C10" s="20">
        <f>IFERROR(__xludf.DUMMYFUNCTION("""COMPUTED_VALUE"""),410.2)</f>
        <v>410.2</v>
      </c>
      <c r="D10" s="21">
        <f>IFERROR(__xludf.DUMMYFUNCTION("""COMPUTED_VALUE"""),2.392843796203579)</f>
        <v>2.392843796</v>
      </c>
      <c r="E10" s="21">
        <f>IFERROR(__xludf.DUMMYFUNCTION("""COMPUTED_VALUE"""),4.47471607844434)</f>
        <v>4.474716078</v>
      </c>
      <c r="F10" s="21">
        <f>IFERROR(__xludf.DUMMYFUNCTION("""COMPUTED_VALUE"""),6.867559874647919)</f>
        <v>6.867559875</v>
      </c>
      <c r="G10" s="23">
        <f>IFERROR(__xludf.DUMMYFUNCTION("""COMPUTED_VALUE"""),1.0624103771324633)</f>
        <v>1.062410377</v>
      </c>
      <c r="H10" s="4"/>
      <c r="I10" s="5" t="s">
        <v>11</v>
      </c>
      <c r="J10" s="5" t="s">
        <v>12</v>
      </c>
      <c r="K10" s="24">
        <v>325.0</v>
      </c>
      <c r="L10" s="5">
        <v>3.968728</v>
      </c>
      <c r="M10" s="5">
        <v>2.843967</v>
      </c>
      <c r="N10" s="5">
        <v>6.812696</v>
      </c>
      <c r="O10" s="5">
        <v>0.872153</v>
      </c>
    </row>
    <row r="11">
      <c r="A11" s="12" t="str">
        <f>IFERROR(__xludf.DUMMYFUNCTION("""COMPUTED_VALUE"""),"Trent Lockett")</f>
        <v>Trent Lockett</v>
      </c>
      <c r="B11" s="13" t="str">
        <f>IFERROR(__xludf.DUMMYFUNCTION("""COMPUTED_VALUE"""),"UNI")</f>
        <v>UNI</v>
      </c>
      <c r="C11" s="14">
        <f>IFERROR(__xludf.DUMMYFUNCTION("""COMPUTED_VALUE"""),641.3)</f>
        <v>641.3</v>
      </c>
      <c r="D11" s="15">
        <f>IFERROR(__xludf.DUMMYFUNCTION("""COMPUTED_VALUE"""),1.1501593252352054)</f>
        <v>1.150159325</v>
      </c>
      <c r="E11" s="15">
        <f>IFERROR(__xludf.DUMMYFUNCTION("""COMPUTED_VALUE"""),4.809542780532321)</f>
        <v>4.809542781</v>
      </c>
      <c r="F11" s="15">
        <f>IFERROR(__xludf.DUMMYFUNCTION("""COMPUTED_VALUE"""),5.959702105767526)</f>
        <v>5.959702106</v>
      </c>
      <c r="G11" s="17">
        <f>IFERROR(__xludf.DUMMYFUNCTION("""COMPUTED_VALUE"""),1.4909070651804701)</f>
        <v>1.490907065</v>
      </c>
      <c r="H11" s="4"/>
      <c r="I11" s="5" t="s">
        <v>2798</v>
      </c>
      <c r="J11" s="5" t="s">
        <v>2785</v>
      </c>
      <c r="K11" s="24">
        <v>423.0</v>
      </c>
      <c r="L11" s="5">
        <v>5.225396</v>
      </c>
      <c r="M11" s="5">
        <v>1.038761</v>
      </c>
      <c r="N11" s="5">
        <v>6.264157</v>
      </c>
      <c r="O11" s="5">
        <v>1.054203</v>
      </c>
    </row>
    <row r="12">
      <c r="A12" s="18" t="str">
        <f>IFERROR(__xludf.DUMMYFUNCTION("""COMPUTED_VALUE"""),"Joe Ragland")</f>
        <v>Joe Ragland</v>
      </c>
      <c r="B12" s="19" t="str">
        <f>IFERROR(__xludf.DUMMYFUNCTION("""COMPUTED_VALUE"""),"LOK")</f>
        <v>LOK</v>
      </c>
      <c r="C12" s="20">
        <f>IFERROR(__xludf.DUMMYFUNCTION("""COMPUTED_VALUE"""),453.0)</f>
        <v>453</v>
      </c>
      <c r="D12" s="21">
        <f>IFERROR(__xludf.DUMMYFUNCTION("""COMPUTED_VALUE"""),3.8866214742439755)</f>
        <v>3.886621474</v>
      </c>
      <c r="E12" s="21">
        <f>IFERROR(__xludf.DUMMYFUNCTION("""COMPUTED_VALUE"""),1.5778454515855582)</f>
        <v>1.577845452</v>
      </c>
      <c r="F12" s="21">
        <f>IFERROR(__xludf.DUMMYFUNCTION("""COMPUTED_VALUE"""),5.464466925829534)</f>
        <v>5.464466926</v>
      </c>
      <c r="G12" s="23">
        <f>IFERROR(__xludf.DUMMYFUNCTION("""COMPUTED_VALUE"""),1.0214577642629339)</f>
        <v>1.021457764</v>
      </c>
      <c r="H12" s="4"/>
      <c r="I12" s="5" t="s">
        <v>333</v>
      </c>
      <c r="J12" s="5" t="s">
        <v>12</v>
      </c>
      <c r="K12" s="24">
        <v>220.0</v>
      </c>
      <c r="L12" s="5">
        <v>1.553627</v>
      </c>
      <c r="M12" s="5">
        <v>4.369784</v>
      </c>
      <c r="N12" s="5">
        <v>5.923412</v>
      </c>
      <c r="O12" s="5">
        <v>0.531701</v>
      </c>
    </row>
    <row r="13">
      <c r="A13" s="12" t="str">
        <f>IFERROR(__xludf.DUMMYFUNCTION("""COMPUTED_VALUE"""),"Sergei Monia")</f>
        <v>Sergei Monia</v>
      </c>
      <c r="B13" s="13" t="str">
        <f>IFERROR(__xludf.DUMMYFUNCTION("""COMPUTED_VALUE"""),"KHI")</f>
        <v>KHI</v>
      </c>
      <c r="C13" s="14">
        <f>IFERROR(__xludf.DUMMYFUNCTION("""COMPUTED_VALUE"""),463.1)</f>
        <v>463.1</v>
      </c>
      <c r="D13" s="15">
        <f>IFERROR(__xludf.DUMMYFUNCTION("""COMPUTED_VALUE"""),1.8377169975106518)</f>
        <v>1.837716998</v>
      </c>
      <c r="E13" s="15">
        <f>IFERROR(__xludf.DUMMYFUNCTION("""COMPUTED_VALUE"""),3.556860094421864)</f>
        <v>3.556860094</v>
      </c>
      <c r="F13" s="15">
        <f>IFERROR(__xludf.DUMMYFUNCTION("""COMPUTED_VALUE"""),5.394577091932516)</f>
        <v>5.394577092</v>
      </c>
      <c r="G13" s="17">
        <f>IFERROR(__xludf.DUMMYFUNCTION("""COMPUTED_VALUE"""),1.0349295781729884)</f>
        <v>1.034929578</v>
      </c>
      <c r="H13" s="4"/>
      <c r="I13" s="5" t="s">
        <v>268</v>
      </c>
      <c r="J13" s="5" t="s">
        <v>51</v>
      </c>
      <c r="K13" s="24">
        <v>425.0</v>
      </c>
      <c r="L13" s="5">
        <v>2.843019</v>
      </c>
      <c r="M13" s="5">
        <v>2.923753</v>
      </c>
      <c r="N13" s="5">
        <v>5.766772</v>
      </c>
      <c r="O13" s="5">
        <v>1.001489</v>
      </c>
    </row>
    <row r="14">
      <c r="A14" s="18" t="str">
        <f>IFERROR(__xludf.DUMMYFUNCTION("""COMPUTED_VALUE"""),"Vitaliy Fridzon")</f>
        <v>Vitaliy Fridzon</v>
      </c>
      <c r="B14" s="19" t="str">
        <f>IFERROR(__xludf.DUMMYFUNCTION("""COMPUTED_VALUE"""),"CSKA")</f>
        <v>CSKA</v>
      </c>
      <c r="C14" s="20">
        <f>IFERROR(__xludf.DUMMYFUNCTION("""COMPUTED_VALUE"""),373.5)</f>
        <v>373.5</v>
      </c>
      <c r="D14" s="21">
        <f>IFERROR(__xludf.DUMMYFUNCTION("""COMPUTED_VALUE"""),0.22313581140825367)</f>
        <v>0.2231358114</v>
      </c>
      <c r="E14" s="21">
        <f>IFERROR(__xludf.DUMMYFUNCTION("""COMPUTED_VALUE"""),4.890230047249593)</f>
        <v>4.890230047</v>
      </c>
      <c r="F14" s="21">
        <f>IFERROR(__xludf.DUMMYFUNCTION("""COMPUTED_VALUE"""),5.113365858657847)</f>
        <v>5.113365859</v>
      </c>
      <c r="G14" s="23">
        <f>IFERROR(__xludf.DUMMYFUNCTION("""COMPUTED_VALUE"""),0.8045301262403621)</f>
        <v>0.8045301262</v>
      </c>
      <c r="H14" s="4"/>
      <c r="I14" s="5" t="s">
        <v>2803</v>
      </c>
      <c r="J14" s="5" t="s">
        <v>22</v>
      </c>
      <c r="K14" s="24">
        <v>688.0</v>
      </c>
      <c r="L14" s="5">
        <v>5.169609</v>
      </c>
      <c r="M14" s="5">
        <v>0.167327</v>
      </c>
      <c r="N14" s="5">
        <v>5.336937</v>
      </c>
      <c r="O14" s="5">
        <v>1.473165</v>
      </c>
    </row>
    <row r="15">
      <c r="A15" s="12" t="str">
        <f>IFERROR(__xludf.DUMMYFUNCTION("""COMPUTED_VALUE"""),"Will Clyburn")</f>
        <v>Will Clyburn</v>
      </c>
      <c r="B15" s="13" t="str">
        <f>IFERROR(__xludf.DUMMYFUNCTION("""COMPUTED_VALUE"""),"CSKA")</f>
        <v>CSKA</v>
      </c>
      <c r="C15" s="14">
        <f>IFERROR(__xludf.DUMMYFUNCTION("""COMPUTED_VALUE"""),586.6)</f>
        <v>586.6</v>
      </c>
      <c r="D15" s="15">
        <f>IFERROR(__xludf.DUMMYFUNCTION("""COMPUTED_VALUE"""),-0.6168952428524793)</f>
        <v>-0.6168952429</v>
      </c>
      <c r="E15" s="15">
        <f>IFERROR(__xludf.DUMMYFUNCTION("""COMPUTED_VALUE"""),5.628392866635676)</f>
        <v>5.628392867</v>
      </c>
      <c r="F15" s="15">
        <f>IFERROR(__xludf.DUMMYFUNCTION("""COMPUTED_VALUE"""),5.011497623783197)</f>
        <v>5.011497624</v>
      </c>
      <c r="G15" s="17">
        <f>IFERROR(__xludf.DUMMYFUNCTION("""COMPUTED_VALUE"""),1.2454589238401876)</f>
        <v>1.245458924</v>
      </c>
      <c r="H15" s="4"/>
      <c r="I15" s="5" t="s">
        <v>474</v>
      </c>
      <c r="J15" s="5" t="s">
        <v>12</v>
      </c>
      <c r="K15" s="24">
        <v>324.0</v>
      </c>
      <c r="L15" s="5">
        <v>3.854593</v>
      </c>
      <c r="M15" s="5">
        <v>1.409999</v>
      </c>
      <c r="N15" s="5">
        <v>5.264592</v>
      </c>
      <c r="O15" s="5">
        <v>0.717393</v>
      </c>
    </row>
    <row r="16">
      <c r="A16" s="18" t="str">
        <f>IFERROR(__xludf.DUMMYFUNCTION("""COMPUTED_VALUE"""),"Jamar Smith")</f>
        <v>Jamar Smith</v>
      </c>
      <c r="B16" s="19" t="str">
        <f>IFERROR(__xludf.DUMMYFUNCTION("""COMPUTED_VALUE"""),"UNI")</f>
        <v>UNI</v>
      </c>
      <c r="C16" s="20">
        <f>IFERROR(__xludf.DUMMYFUNCTION("""COMPUTED_VALUE"""),784.0)</f>
        <v>784</v>
      </c>
      <c r="D16" s="21">
        <f>IFERROR(__xludf.DUMMYFUNCTION("""COMPUTED_VALUE"""),2.891715275536628)</f>
        <v>2.891715276</v>
      </c>
      <c r="E16" s="21">
        <f>IFERROR(__xludf.DUMMYFUNCTION("""COMPUTED_VALUE"""),1.7655324894371947)</f>
        <v>1.765532489</v>
      </c>
      <c r="F16" s="21">
        <f>IFERROR(__xludf.DUMMYFUNCTION("""COMPUTED_VALUE"""),4.657247764973823)</f>
        <v>4.657247765</v>
      </c>
      <c r="G16" s="23">
        <f>IFERROR(__xludf.DUMMYFUNCTION("""COMPUTED_VALUE"""),1.524415309428196)</f>
        <v>1.524415309</v>
      </c>
      <c r="H16" s="4"/>
      <c r="I16" s="5" t="s">
        <v>2806</v>
      </c>
      <c r="J16" s="5" t="s">
        <v>22</v>
      </c>
      <c r="K16" s="24">
        <v>298.0</v>
      </c>
      <c r="L16" s="5">
        <v>2.811583</v>
      </c>
      <c r="M16" s="5">
        <v>1.545746</v>
      </c>
      <c r="N16" s="5">
        <v>4.357329</v>
      </c>
      <c r="O16" s="5">
        <v>0.552841</v>
      </c>
    </row>
    <row r="17">
      <c r="A17" s="12" t="str">
        <f>IFERROR(__xludf.DUMMYFUNCTION("""COMPUTED_VALUE"""),"David Kravish")</f>
        <v>David Kravish</v>
      </c>
      <c r="B17" s="13" t="str">
        <f>IFERROR(__xludf.DUMMYFUNCTION("""COMPUTED_VALUE"""),"MIN")</f>
        <v>MIN</v>
      </c>
      <c r="C17" s="14">
        <f>IFERROR(__xludf.DUMMYFUNCTION("""COMPUTED_VALUE"""),653.3)</f>
        <v>653.3</v>
      </c>
      <c r="D17" s="15">
        <f>IFERROR(__xludf.DUMMYFUNCTION("""COMPUTED_VALUE"""),3.007953584480796)</f>
        <v>3.007953584</v>
      </c>
      <c r="E17" s="15">
        <f>IFERROR(__xludf.DUMMYFUNCTION("""COMPUTED_VALUE"""),1.2720621930575478)</f>
        <v>1.272062193</v>
      </c>
      <c r="F17" s="15">
        <f>IFERROR(__xludf.DUMMYFUNCTION("""COMPUTED_VALUE"""),4.280015777538344)</f>
        <v>4.280015778</v>
      </c>
      <c r="G17" s="17">
        <f>IFERROR(__xludf.DUMMYFUNCTION("""COMPUTED_VALUE"""),1.237989489372697)</f>
        <v>1.237989489</v>
      </c>
      <c r="H17" s="4"/>
      <c r="I17" s="5" t="s">
        <v>2808</v>
      </c>
      <c r="J17" s="5" t="s">
        <v>22</v>
      </c>
      <c r="K17" s="24">
        <v>355.0</v>
      </c>
      <c r="L17" s="5">
        <v>3.290536</v>
      </c>
      <c r="M17" s="5">
        <v>0.993537</v>
      </c>
      <c r="N17" s="5">
        <v>4.284073</v>
      </c>
      <c r="O17" s="5">
        <v>0.6507</v>
      </c>
    </row>
    <row r="18">
      <c r="A18" s="18" t="str">
        <f>IFERROR(__xludf.DUMMYFUNCTION("""COMPUTED_VALUE"""),"Vladislav Trushkin")</f>
        <v>Vladislav Trushkin</v>
      </c>
      <c r="B18" s="19" t="str">
        <f>IFERROR(__xludf.DUMMYFUNCTION("""COMPUTED_VALUE"""),"UNI")</f>
        <v>UNI</v>
      </c>
      <c r="C18" s="20">
        <f>IFERROR(__xludf.DUMMYFUNCTION("""COMPUTED_VALUE"""),317.1)</f>
        <v>317.1</v>
      </c>
      <c r="D18" s="21">
        <f>IFERROR(__xludf.DUMMYFUNCTION("""COMPUTED_VALUE"""),0.6830600299092563)</f>
        <v>0.6830600299</v>
      </c>
      <c r="E18" s="21">
        <f>IFERROR(__xludf.DUMMYFUNCTION("""COMPUTED_VALUE"""),3.53640872274512)</f>
        <v>3.536408723</v>
      </c>
      <c r="F18" s="21">
        <f>IFERROR(__xludf.DUMMYFUNCTION("""COMPUTED_VALUE"""),4.219468752654376)</f>
        <v>4.219468753</v>
      </c>
      <c r="G18" s="23">
        <f>IFERROR(__xludf.DUMMYFUNCTION("""COMPUTED_VALUE"""),0.5760259524323241)</f>
        <v>0.5760259524</v>
      </c>
      <c r="H18" s="4"/>
      <c r="I18" s="5" t="s">
        <v>2810</v>
      </c>
      <c r="J18" s="5" t="s">
        <v>2811</v>
      </c>
      <c r="K18" s="24">
        <v>653.0</v>
      </c>
      <c r="L18" s="5">
        <v>0.946741</v>
      </c>
      <c r="M18" s="5">
        <v>3.333345</v>
      </c>
      <c r="N18" s="5">
        <v>4.280086</v>
      </c>
      <c r="O18" s="5">
        <v>1.238003</v>
      </c>
    </row>
    <row r="19">
      <c r="A19" s="12" t="str">
        <f>IFERROR(__xludf.DUMMYFUNCTION("""COMPUTED_VALUE"""),"Evgeny Valiev")</f>
        <v>Evgeny Valiev</v>
      </c>
      <c r="B19" s="13" t="str">
        <f>IFERROR(__xludf.DUMMYFUNCTION("""COMPUTED_VALUE"""),"ZEN")</f>
        <v>ZEN</v>
      </c>
      <c r="C19" s="14">
        <f>IFERROR(__xludf.DUMMYFUNCTION("""COMPUTED_VALUE"""),444.2)</f>
        <v>444.2</v>
      </c>
      <c r="D19" s="15">
        <f>IFERROR(__xludf.DUMMYFUNCTION("""COMPUTED_VALUE"""),1.35725286721948)</f>
        <v>1.357252867</v>
      </c>
      <c r="E19" s="15">
        <f>IFERROR(__xludf.DUMMYFUNCTION("""COMPUTED_VALUE"""),2.6544417241507725)</f>
        <v>2.654441724</v>
      </c>
      <c r="F19" s="15">
        <f>IFERROR(__xludf.DUMMYFUNCTION("""COMPUTED_VALUE"""),4.011694591370253)</f>
        <v>4.011694591</v>
      </c>
      <c r="G19" s="17">
        <f>IFERROR(__xludf.DUMMYFUNCTION("""COMPUTED_VALUE"""),0.814220127791191)</f>
        <v>0.8142201278</v>
      </c>
      <c r="H19" s="4"/>
      <c r="I19" s="5" t="s">
        <v>2812</v>
      </c>
      <c r="J19" s="5" t="s">
        <v>2785</v>
      </c>
      <c r="K19" s="24">
        <v>452.0</v>
      </c>
      <c r="L19" s="5">
        <v>2.041355</v>
      </c>
      <c r="M19" s="5">
        <v>2.203266</v>
      </c>
      <c r="N19" s="5">
        <v>4.244621</v>
      </c>
      <c r="O19" s="5">
        <v>0.852191</v>
      </c>
    </row>
    <row r="20">
      <c r="A20" s="18" t="str">
        <f>IFERROR(__xludf.DUMMYFUNCTION("""COMPUTED_VALUE"""),"Melvin Ejim")</f>
        <v>Melvin Ejim</v>
      </c>
      <c r="B20" s="19" t="str">
        <f>IFERROR(__xludf.DUMMYFUNCTION("""COMPUTED_VALUE"""),"UNI")</f>
        <v>UNI</v>
      </c>
      <c r="C20" s="20">
        <f>IFERROR(__xludf.DUMMYFUNCTION("""COMPUTED_VALUE"""),636.6)</f>
        <v>636.6</v>
      </c>
      <c r="D20" s="21">
        <f>IFERROR(__xludf.DUMMYFUNCTION("""COMPUTED_VALUE"""),-1.0820925188896977)</f>
        <v>-1.082092519</v>
      </c>
      <c r="E20" s="21">
        <f>IFERROR(__xludf.DUMMYFUNCTION("""COMPUTED_VALUE"""),4.681617913019945)</f>
        <v>4.681617913</v>
      </c>
      <c r="F20" s="21">
        <f>IFERROR(__xludf.DUMMYFUNCTION("""COMPUTED_VALUE"""),3.599525394130248)</f>
        <v>3.599525394</v>
      </c>
      <c r="G20" s="23">
        <f>IFERROR(__xludf.DUMMYFUNCTION("""COMPUTED_VALUE"""),1.0411429705703663)</f>
        <v>1.041142971</v>
      </c>
      <c r="H20" s="4"/>
      <c r="I20" s="5" t="s">
        <v>284</v>
      </c>
      <c r="J20" s="5" t="s">
        <v>12</v>
      </c>
      <c r="K20" s="5">
        <v>526.0</v>
      </c>
      <c r="L20" s="5">
        <v>2.186227</v>
      </c>
      <c r="M20" s="5">
        <v>1.927686</v>
      </c>
      <c r="N20" s="5">
        <v>4.113913</v>
      </c>
      <c r="O20" s="5">
        <v>0.979551</v>
      </c>
    </row>
    <row r="21">
      <c r="A21" s="12" t="str">
        <f>IFERROR(__xludf.DUMMYFUNCTION("""COMPUTED_VALUE"""),"Dmitriy Khvostov")</f>
        <v>Dmitriy Khvostov</v>
      </c>
      <c r="B21" s="13" t="str">
        <f>IFERROR(__xludf.DUMMYFUNCTION("""COMPUTED_VALUE"""),"LOK")</f>
        <v>LOK</v>
      </c>
      <c r="C21" s="14">
        <f>IFERROR(__xludf.DUMMYFUNCTION("""COMPUTED_VALUE"""),487.6)</f>
        <v>487.6</v>
      </c>
      <c r="D21" s="15">
        <f>IFERROR(__xludf.DUMMYFUNCTION("""COMPUTED_VALUE"""),0.9210562521225839)</f>
        <v>0.9210562521</v>
      </c>
      <c r="E21" s="15">
        <f>IFERROR(__xludf.DUMMYFUNCTION("""COMPUTED_VALUE"""),2.5819456271741124)</f>
        <v>2.581945627</v>
      </c>
      <c r="F21" s="15">
        <f>IFERROR(__xludf.DUMMYFUNCTION("""COMPUTED_VALUE"""),3.503001879296696)</f>
        <v>3.503001879</v>
      </c>
      <c r="G21" s="17">
        <f>IFERROR(__xludf.DUMMYFUNCTION("""COMPUTED_VALUE"""),0.8105629933018222)</f>
        <v>0.8105629933</v>
      </c>
      <c r="H21" s="4"/>
      <c r="I21" s="5" t="s">
        <v>2815</v>
      </c>
      <c r="J21" s="5" t="s">
        <v>2816</v>
      </c>
      <c r="K21" s="24">
        <v>400.0</v>
      </c>
      <c r="L21" s="5">
        <v>1.600866</v>
      </c>
      <c r="M21" s="5">
        <v>2.362892</v>
      </c>
      <c r="N21" s="5">
        <v>3.963758</v>
      </c>
      <c r="O21" s="5">
        <v>0.726666</v>
      </c>
    </row>
    <row r="22">
      <c r="A22" s="18" t="str">
        <f>IFERROR(__xludf.DUMMYFUNCTION("""COMPUTED_VALUE"""),"Vladimir Ivlev")</f>
        <v>Vladimir Ivlev</v>
      </c>
      <c r="B22" s="19" t="str">
        <f>IFERROR(__xludf.DUMMYFUNCTION("""COMPUTED_VALUE"""),"LOK")</f>
        <v>LOK</v>
      </c>
      <c r="C22" s="20">
        <f>IFERROR(__xludf.DUMMYFUNCTION("""COMPUTED_VALUE"""),250.3)</f>
        <v>250.3</v>
      </c>
      <c r="D22" s="21">
        <f>IFERROR(__xludf.DUMMYFUNCTION("""COMPUTED_VALUE"""),-0.13161852420346823)</f>
        <v>-0.1316185242</v>
      </c>
      <c r="E22" s="21">
        <f>IFERROR(__xludf.DUMMYFUNCTION("""COMPUTED_VALUE"""),3.61141278357229)</f>
        <v>3.611412784</v>
      </c>
      <c r="F22" s="21">
        <f>IFERROR(__xludf.DUMMYFUNCTION("""COMPUTED_VALUE"""),3.4797942593688216)</f>
        <v>3.479794259</v>
      </c>
      <c r="G22" s="23">
        <f>IFERROR(__xludf.DUMMYFUNCTION("""COMPUTED_VALUE"""),0.4143320383110364)</f>
        <v>0.4143320383</v>
      </c>
      <c r="H22" s="4"/>
      <c r="I22" s="5" t="s">
        <v>2818</v>
      </c>
      <c r="J22" s="5" t="s">
        <v>2785</v>
      </c>
      <c r="K22" s="5">
        <v>241.0</v>
      </c>
      <c r="L22" s="5">
        <v>0.929618</v>
      </c>
      <c r="M22" s="5">
        <v>2.998898</v>
      </c>
      <c r="N22" s="5">
        <v>3.928516</v>
      </c>
      <c r="O22" s="5">
        <v>0.431817</v>
      </c>
    </row>
    <row r="23">
      <c r="A23" s="12" t="str">
        <f>IFERROR(__xludf.DUMMYFUNCTION("""COMPUTED_VALUE"""),"Cory Higgins")</f>
        <v>Cory Higgins</v>
      </c>
      <c r="B23" s="13" t="str">
        <f>IFERROR(__xludf.DUMMYFUNCTION("""COMPUTED_VALUE"""),"CSKA")</f>
        <v>CSKA</v>
      </c>
      <c r="C23" s="14">
        <f>IFERROR(__xludf.DUMMYFUNCTION("""COMPUTED_VALUE"""),511.4)</f>
        <v>511.4</v>
      </c>
      <c r="D23" s="15">
        <f>IFERROR(__xludf.DUMMYFUNCTION("""COMPUTED_VALUE"""),-0.5213788810222306)</f>
        <v>-0.521378881</v>
      </c>
      <c r="E23" s="15">
        <f>IFERROR(__xludf.DUMMYFUNCTION("""COMPUTED_VALUE"""),3.9768146477048196)</f>
        <v>3.976814648</v>
      </c>
      <c r="F23" s="15">
        <f>IFERROR(__xludf.DUMMYFUNCTION("""COMPUTED_VALUE"""),3.455435766682589)</f>
        <v>3.455435767</v>
      </c>
      <c r="G23" s="17">
        <f>IFERROR(__xludf.DUMMYFUNCTION("""COMPUTED_VALUE"""),0.8448249461124893)</f>
        <v>0.8448249461</v>
      </c>
      <c r="H23" s="4"/>
      <c r="I23" s="5" t="s">
        <v>257</v>
      </c>
      <c r="J23" s="5" t="s">
        <v>51</v>
      </c>
      <c r="K23" s="24">
        <v>583.0</v>
      </c>
      <c r="L23" s="5">
        <v>3.511512</v>
      </c>
      <c r="M23" s="5">
        <v>0.409499</v>
      </c>
      <c r="N23" s="5">
        <v>3.921011</v>
      </c>
      <c r="O23" s="5">
        <v>1.048783</v>
      </c>
    </row>
    <row r="24">
      <c r="A24" s="18" t="str">
        <f>IFERROR(__xludf.DUMMYFUNCTION("""COMPUTED_VALUE"""),"Frank Elegar")</f>
        <v>Frank Elegar</v>
      </c>
      <c r="B24" s="19" t="str">
        <f>IFERROR(__xludf.DUMMYFUNCTION("""COMPUTED_VALUE"""),"LOK")</f>
        <v>LOK</v>
      </c>
      <c r="C24" s="20">
        <f>IFERROR(__xludf.DUMMYFUNCTION("""COMPUTED_VALUE"""),537.0)</f>
        <v>537</v>
      </c>
      <c r="D24" s="21">
        <f>IFERROR(__xludf.DUMMYFUNCTION("""COMPUTED_VALUE"""),-0.351306397236109)</f>
        <v>-0.3513063972</v>
      </c>
      <c r="E24" s="21">
        <f>IFERROR(__xludf.DUMMYFUNCTION("""COMPUTED_VALUE"""),3.6453395426496153)</f>
        <v>3.645339543</v>
      </c>
      <c r="F24" s="21">
        <f>IFERROR(__xludf.DUMMYFUNCTION("""COMPUTED_VALUE"""),3.2940331454135063)</f>
        <v>3.294033145</v>
      </c>
      <c r="G24" s="23">
        <f>IFERROR(__xludf.DUMMYFUNCTION("""COMPUTED_VALUE"""),0.858784812881522)</f>
        <v>0.8587848129</v>
      </c>
      <c r="H24" s="4"/>
      <c r="I24" s="5" t="s">
        <v>2821</v>
      </c>
      <c r="J24" s="5" t="s">
        <v>2822</v>
      </c>
      <c r="K24" s="24">
        <v>708.0</v>
      </c>
      <c r="L24" s="5">
        <v>2.944836</v>
      </c>
      <c r="M24" s="5">
        <v>0.609797</v>
      </c>
      <c r="N24" s="5">
        <v>3.554633</v>
      </c>
      <c r="O24" s="5">
        <v>1.174235</v>
      </c>
    </row>
    <row r="25">
      <c r="A25" s="12" t="str">
        <f>IFERROR(__xludf.DUMMYFUNCTION("""COMPUTED_VALUE"""),"Charles Jenkins")</f>
        <v>Charles Jenkins</v>
      </c>
      <c r="B25" s="13" t="str">
        <f>IFERROR(__xludf.DUMMYFUNCTION("""COMPUTED_VALUE"""),"KHI")</f>
        <v>KHI</v>
      </c>
      <c r="C25" s="14">
        <f>IFERROR(__xludf.DUMMYFUNCTION("""COMPUTED_VALUE"""),610.8)</f>
        <v>610.8</v>
      </c>
      <c r="D25" s="15">
        <f>IFERROR(__xludf.DUMMYFUNCTION("""COMPUTED_VALUE"""),2.1748150518479803)</f>
        <v>2.174815052</v>
      </c>
      <c r="E25" s="15">
        <f>IFERROR(__xludf.DUMMYFUNCTION("""COMPUTED_VALUE"""),1.108422611881485)</f>
        <v>1.108422612</v>
      </c>
      <c r="F25" s="15">
        <f>IFERROR(__xludf.DUMMYFUNCTION("""COMPUTED_VALUE"""),3.2832376637294653)</f>
        <v>3.283237664</v>
      </c>
      <c r="G25" s="17">
        <f>IFERROR(__xludf.DUMMYFUNCTION("""COMPUTED_VALUE"""),0.9752632361584622)</f>
        <v>0.9752632362</v>
      </c>
      <c r="H25" s="4"/>
      <c r="I25" s="5" t="s">
        <v>2825</v>
      </c>
      <c r="J25" s="5" t="s">
        <v>2785</v>
      </c>
      <c r="K25" s="24">
        <v>490.0</v>
      </c>
      <c r="L25" s="5">
        <v>0.169906</v>
      </c>
      <c r="M25" s="5">
        <v>3.299543</v>
      </c>
      <c r="N25" s="5">
        <v>3.469449</v>
      </c>
      <c r="O25" s="5">
        <v>0.808481</v>
      </c>
    </row>
    <row r="26">
      <c r="A26" s="18" t="str">
        <f>IFERROR(__xludf.DUMMYFUNCTION("""COMPUTED_VALUE"""),"Pavel Antipov")</f>
        <v>Pavel Antipov</v>
      </c>
      <c r="B26" s="19" t="str">
        <f>IFERROR(__xludf.DUMMYFUNCTION("""COMPUTED_VALUE"""),"LOK")</f>
        <v>LOK</v>
      </c>
      <c r="C26" s="20">
        <f>IFERROR(__xludf.DUMMYFUNCTION("""COMPUTED_VALUE"""),316.1)</f>
        <v>316.1</v>
      </c>
      <c r="D26" s="21">
        <f>IFERROR(__xludf.DUMMYFUNCTION("""COMPUTED_VALUE"""),0.48987085519809825)</f>
        <v>0.4898708552</v>
      </c>
      <c r="E26" s="21">
        <f>IFERROR(__xludf.DUMMYFUNCTION("""COMPUTED_VALUE"""),2.709330152056173)</f>
        <v>2.709330152</v>
      </c>
      <c r="F26" s="21">
        <f>IFERROR(__xludf.DUMMYFUNCTION("""COMPUTED_VALUE"""),3.1992010072542714)</f>
        <v>3.199201007</v>
      </c>
      <c r="G26" s="23">
        <f>IFERROR(__xludf.DUMMYFUNCTION("""COMPUTED_VALUE"""),0.4964602913024505)</f>
        <v>0.4964602913</v>
      </c>
      <c r="H26" s="4"/>
      <c r="I26" s="5" t="s">
        <v>2827</v>
      </c>
      <c r="J26" s="5" t="s">
        <v>22</v>
      </c>
      <c r="K26" s="24">
        <v>625.0</v>
      </c>
      <c r="L26" s="5">
        <v>-0.818031</v>
      </c>
      <c r="M26" s="5">
        <v>4.213272</v>
      </c>
      <c r="N26" s="5">
        <v>3.395242</v>
      </c>
      <c r="O26" s="5">
        <v>0.985145</v>
      </c>
    </row>
    <row r="27">
      <c r="A27" s="12" t="str">
        <f>IFERROR(__xludf.DUMMYFUNCTION("""COMPUTED_VALUE"""),"Evgeny Kolesnikov")</f>
        <v>Evgeny Kolesnikov</v>
      </c>
      <c r="B27" s="13" t="str">
        <f>IFERROR(__xludf.DUMMYFUNCTION("""COMPUTED_VALUE"""),"UNI")</f>
        <v>UNI</v>
      </c>
      <c r="C27" s="14">
        <f>IFERROR(__xludf.DUMMYFUNCTION("""COMPUTED_VALUE"""),400.5)</f>
        <v>400.5</v>
      </c>
      <c r="D27" s="15">
        <f>IFERROR(__xludf.DUMMYFUNCTION("""COMPUTED_VALUE"""),1.0182800575228383)</f>
        <v>1.018280058</v>
      </c>
      <c r="E27" s="15">
        <f>IFERROR(__xludf.DUMMYFUNCTION("""COMPUTED_VALUE"""),2.1723166018651807)</f>
        <v>2.172316602</v>
      </c>
      <c r="F27" s="15">
        <f>IFERROR(__xludf.DUMMYFUNCTION("""COMPUTED_VALUE"""),3.190596659388019)</f>
        <v>3.190596659</v>
      </c>
      <c r="G27" s="17">
        <f>IFERROR(__xludf.DUMMYFUNCTION("""COMPUTED_VALUE"""),0.6071728193917902)</f>
        <v>0.6071728194</v>
      </c>
      <c r="H27" s="4"/>
      <c r="I27" s="5" t="s">
        <v>2829</v>
      </c>
      <c r="J27" s="5" t="s">
        <v>2785</v>
      </c>
      <c r="K27" s="24">
        <v>560.0</v>
      </c>
      <c r="L27" s="5">
        <v>0.06149</v>
      </c>
      <c r="M27" s="5">
        <v>3.30069</v>
      </c>
      <c r="N27" s="5">
        <v>3.36218</v>
      </c>
      <c r="O27" s="5">
        <v>0.905603</v>
      </c>
    </row>
    <row r="28">
      <c r="A28" s="18" t="str">
        <f>IFERROR(__xludf.DUMMYFUNCTION("""COMPUTED_VALUE"""),"Mardy Collins")</f>
        <v>Mardy Collins</v>
      </c>
      <c r="B28" s="19" t="str">
        <f>IFERROR(__xludf.DUMMYFUNCTION("""COMPUTED_VALUE"""),"LOK")</f>
        <v>LOK</v>
      </c>
      <c r="C28" s="20">
        <f>IFERROR(__xludf.DUMMYFUNCTION("""COMPUTED_VALUE"""),617.1)</f>
        <v>617.1</v>
      </c>
      <c r="D28" s="21">
        <f>IFERROR(__xludf.DUMMYFUNCTION("""COMPUTED_VALUE"""),-0.7760529057638091)</f>
        <v>-0.7760529058</v>
      </c>
      <c r="E28" s="21">
        <f>IFERROR(__xludf.DUMMYFUNCTION("""COMPUTED_VALUE"""),3.8709337699099997)</f>
        <v>3.87093377</v>
      </c>
      <c r="F28" s="21">
        <f>IFERROR(__xludf.DUMMYFUNCTION("""COMPUTED_VALUE"""),3.0948808641461905)</f>
        <v>3.094880864</v>
      </c>
      <c r="G28" s="23">
        <f>IFERROR(__xludf.DUMMYFUNCTION("""COMPUTED_VALUE"""),0.9497580722101656)</f>
        <v>0.9497580722</v>
      </c>
      <c r="H28" s="4"/>
      <c r="I28" s="5" t="s">
        <v>2830</v>
      </c>
      <c r="J28" s="5" t="s">
        <v>2831</v>
      </c>
      <c r="K28" s="24">
        <v>302.0</v>
      </c>
      <c r="L28" s="5">
        <v>3.241922</v>
      </c>
      <c r="M28" s="5">
        <v>0.036101</v>
      </c>
      <c r="N28" s="5">
        <v>3.278023</v>
      </c>
      <c r="O28" s="5">
        <v>0.495483</v>
      </c>
    </row>
    <row r="29">
      <c r="A29" s="12" t="str">
        <f>IFERROR(__xludf.DUMMYFUNCTION("""COMPUTED_VALUE"""),"Coty Clarke")</f>
        <v>Coty Clarke</v>
      </c>
      <c r="B29" s="13" t="str">
        <f>IFERROR(__xludf.DUMMYFUNCTION("""COMPUTED_VALUE"""),"AVT")</f>
        <v>AVT</v>
      </c>
      <c r="C29" s="14">
        <f>IFERROR(__xludf.DUMMYFUNCTION("""COMPUTED_VALUE"""),795.8)</f>
        <v>795.8</v>
      </c>
      <c r="D29" s="15">
        <f>IFERROR(__xludf.DUMMYFUNCTION("""COMPUTED_VALUE"""),2.4521044778176093)</f>
        <v>2.452104478</v>
      </c>
      <c r="E29" s="15">
        <f>IFERROR(__xludf.DUMMYFUNCTION("""COMPUTED_VALUE"""),0.5284304512875759)</f>
        <v>0.5284304513</v>
      </c>
      <c r="F29" s="15">
        <f>IFERROR(__xludf.DUMMYFUNCTION("""COMPUTED_VALUE"""),2.9805349291051852)</f>
        <v>2.980534929</v>
      </c>
      <c r="G29" s="17">
        <f>IFERROR(__xludf.DUMMYFUNCTION("""COMPUTED_VALUE"""),1.1864379996234018)</f>
        <v>1.186438</v>
      </c>
      <c r="H29" s="4"/>
      <c r="I29" s="5" t="s">
        <v>2832</v>
      </c>
      <c r="J29" s="5" t="s">
        <v>2785</v>
      </c>
      <c r="K29" s="24">
        <v>296.0</v>
      </c>
      <c r="L29" s="5">
        <v>1.143539</v>
      </c>
      <c r="M29" s="5">
        <v>2.133707</v>
      </c>
      <c r="N29" s="5">
        <v>3.277245</v>
      </c>
      <c r="O29" s="5">
        <v>0.471037</v>
      </c>
    </row>
    <row r="30">
      <c r="A30" s="18" t="str">
        <f>IFERROR(__xludf.DUMMYFUNCTION("""COMPUTED_VALUE"""),"Malcolm Thomas")</f>
        <v>Malcolm Thomas</v>
      </c>
      <c r="B30" s="19" t="str">
        <f>IFERROR(__xludf.DUMMYFUNCTION("""COMPUTED_VALUE"""),"KHI")</f>
        <v>KHI</v>
      </c>
      <c r="C30" s="20">
        <f>IFERROR(__xludf.DUMMYFUNCTION("""COMPUTED_VALUE"""),641.1)</f>
        <v>641.1</v>
      </c>
      <c r="D30" s="21">
        <f>IFERROR(__xludf.DUMMYFUNCTION("""COMPUTED_VALUE"""),-0.7736829960253658)</f>
        <v>-0.773682996</v>
      </c>
      <c r="E30" s="21">
        <f>IFERROR(__xludf.DUMMYFUNCTION("""COMPUTED_VALUE"""),3.656154147613417)</f>
        <v>3.656154148</v>
      </c>
      <c r="F30" s="21">
        <f>IFERROR(__xludf.DUMMYFUNCTION("""COMPUTED_VALUE"""),2.8824711515880512)</f>
        <v>2.882471152</v>
      </c>
      <c r="G30" s="23">
        <f>IFERROR(__xludf.DUMMYFUNCTION("""COMPUTED_VALUE"""),0.9459934730928676)</f>
        <v>0.9459934731</v>
      </c>
      <c r="H30" s="4"/>
      <c r="I30" s="5" t="s">
        <v>2833</v>
      </c>
      <c r="J30" s="5" t="s">
        <v>2785</v>
      </c>
      <c r="K30" s="5">
        <v>157.0</v>
      </c>
      <c r="L30" s="5">
        <v>1.233634</v>
      </c>
      <c r="M30" s="5">
        <v>1.912192</v>
      </c>
      <c r="N30" s="5">
        <v>3.145825</v>
      </c>
      <c r="O30" s="5">
        <v>0.244176</v>
      </c>
    </row>
    <row r="31">
      <c r="A31" s="12" t="str">
        <f>IFERROR(__xludf.DUMMYFUNCTION("""COMPUTED_VALUE"""),"Semen Antonov")</f>
        <v>Semen Antonov</v>
      </c>
      <c r="B31" s="13" t="str">
        <f>IFERROR(__xludf.DUMMYFUNCTION("""COMPUTED_VALUE"""),"CSKA")</f>
        <v>CSKA</v>
      </c>
      <c r="C31" s="14">
        <f>IFERROR(__xludf.DUMMYFUNCTION("""COMPUTED_VALUE"""),470.7)</f>
        <v>470.7</v>
      </c>
      <c r="D31" s="15">
        <f>IFERROR(__xludf.DUMMYFUNCTION("""COMPUTED_VALUE"""),-1.5832390516782744)</f>
        <v>-1.583239052</v>
      </c>
      <c r="E31" s="15">
        <f>IFERROR(__xludf.DUMMYFUNCTION("""COMPUTED_VALUE"""),4.416935789836228)</f>
        <v>4.41693579</v>
      </c>
      <c r="F31" s="15">
        <f>IFERROR(__xludf.DUMMYFUNCTION("""COMPUTED_VALUE"""),2.8336967381579536)</f>
        <v>2.833696738</v>
      </c>
      <c r="G31" s="17">
        <f>IFERROR(__xludf.DUMMYFUNCTION("""COMPUTED_VALUE"""),0.6889697543970407)</f>
        <v>0.6889697544</v>
      </c>
      <c r="H31" s="4"/>
      <c r="I31" s="5" t="s">
        <v>50</v>
      </c>
      <c r="J31" s="5" t="s">
        <v>51</v>
      </c>
      <c r="K31" s="24">
        <v>296.0</v>
      </c>
      <c r="L31" s="5">
        <v>1.463464</v>
      </c>
      <c r="M31" s="5">
        <v>1.680882</v>
      </c>
      <c r="N31" s="5">
        <v>3.144347</v>
      </c>
      <c r="O31" s="5">
        <v>0.462947</v>
      </c>
    </row>
    <row r="32">
      <c r="A32" s="18" t="str">
        <f>IFERROR(__xludf.DUMMYFUNCTION("""COMPUTED_VALUE"""),"Justin Carter")</f>
        <v>Justin Carter</v>
      </c>
      <c r="B32" s="19" t="str">
        <f>IFERROR(__xludf.DUMMYFUNCTION("""COMPUTED_VALUE"""),"AST")</f>
        <v>AST</v>
      </c>
      <c r="C32" s="20">
        <f>IFERROR(__xludf.DUMMYFUNCTION("""COMPUTED_VALUE"""),689.8)</f>
        <v>689.8</v>
      </c>
      <c r="D32" s="21">
        <f>IFERROR(__xludf.DUMMYFUNCTION("""COMPUTED_VALUE"""),2.6508428591642605)</f>
        <v>2.650842859</v>
      </c>
      <c r="E32" s="21">
        <f>IFERROR(__xludf.DUMMYFUNCTION("""COMPUTED_VALUE"""),0.1663683756941241)</f>
        <v>0.1663683757</v>
      </c>
      <c r="F32" s="21">
        <f>IFERROR(__xludf.DUMMYFUNCTION("""COMPUTED_VALUE"""),2.8172112348583846)</f>
        <v>2.817211235</v>
      </c>
      <c r="G32" s="23">
        <f>IFERROR(__xludf.DUMMYFUNCTION("""COMPUTED_VALUE"""),0.9926306930441766)</f>
        <v>0.992630693</v>
      </c>
      <c r="H32" s="4"/>
      <c r="I32" s="5" t="s">
        <v>114</v>
      </c>
      <c r="J32" s="5" t="s">
        <v>12</v>
      </c>
      <c r="K32" s="24">
        <v>463.0</v>
      </c>
      <c r="L32" s="5">
        <v>2.738863</v>
      </c>
      <c r="M32" s="5">
        <v>0.39074</v>
      </c>
      <c r="N32" s="5">
        <v>3.129603</v>
      </c>
      <c r="O32" s="5">
        <v>0.72379</v>
      </c>
    </row>
    <row r="33">
      <c r="A33" s="12" t="str">
        <f>IFERROR(__xludf.DUMMYFUNCTION("""COMPUTED_VALUE"""),"Kyle Kuric")</f>
        <v>Kyle Kuric</v>
      </c>
      <c r="B33" s="13" t="str">
        <f>IFERROR(__xludf.DUMMYFUNCTION("""COMPUTED_VALUE"""),"ZEN")</f>
        <v>ZEN</v>
      </c>
      <c r="C33" s="14">
        <f>IFERROR(__xludf.DUMMYFUNCTION("""COMPUTED_VALUE"""),701.0)</f>
        <v>701</v>
      </c>
      <c r="D33" s="15">
        <f>IFERROR(__xludf.DUMMYFUNCTION("""COMPUTED_VALUE"""),3.8253334356718707)</f>
        <v>3.825333436</v>
      </c>
      <c r="E33" s="15">
        <f>IFERROR(__xludf.DUMMYFUNCTION("""COMPUTED_VALUE"""),-1.0106643562065107)</f>
        <v>-1.010664356</v>
      </c>
      <c r="F33" s="15">
        <f>IFERROR(__xludf.DUMMYFUNCTION("""COMPUTED_VALUE"""),2.81466907946536)</f>
        <v>2.814669079</v>
      </c>
      <c r="G33" s="17">
        <f>IFERROR(__xludf.DUMMYFUNCTION("""COMPUTED_VALUE"""),1.029084012600996)</f>
        <v>1.029084013</v>
      </c>
      <c r="H33" s="4"/>
      <c r="I33" s="5" t="s">
        <v>2834</v>
      </c>
      <c r="J33" s="5" t="s">
        <v>22</v>
      </c>
      <c r="K33" s="24">
        <v>566.0</v>
      </c>
      <c r="L33" s="5">
        <v>0.026415</v>
      </c>
      <c r="M33" s="5">
        <v>3.070954</v>
      </c>
      <c r="N33" s="5">
        <v>3.097368</v>
      </c>
      <c r="O33" s="5">
        <v>0.842189</v>
      </c>
    </row>
    <row r="34">
      <c r="A34" s="18" t="str">
        <f>IFERROR(__xludf.DUMMYFUNCTION("""COMPUTED_VALUE"""),"Tyler Honeycutt")</f>
        <v>Tyler Honeycutt</v>
      </c>
      <c r="B34" s="19" t="str">
        <f>IFERROR(__xludf.DUMMYFUNCTION("""COMPUTED_VALUE"""),"KHI")</f>
        <v>KHI</v>
      </c>
      <c r="C34" s="20">
        <f>IFERROR(__xludf.DUMMYFUNCTION("""COMPUTED_VALUE"""),353.6)</f>
        <v>353.6</v>
      </c>
      <c r="D34" s="21">
        <f>IFERROR(__xludf.DUMMYFUNCTION("""COMPUTED_VALUE"""),0.19161005451515623)</f>
        <v>0.1916100545</v>
      </c>
      <c r="E34" s="21">
        <f>IFERROR(__xludf.DUMMYFUNCTION("""COMPUTED_VALUE"""),2.569417143490413)</f>
        <v>2.569417143</v>
      </c>
      <c r="F34" s="21">
        <f>IFERROR(__xludf.DUMMYFUNCTION("""COMPUTED_VALUE"""),2.761027198005569)</f>
        <v>2.761027198</v>
      </c>
      <c r="G34" s="23">
        <f>IFERROR(__xludf.DUMMYFUNCTION("""COMPUTED_VALUE"""),0.5087865194909141)</f>
        <v>0.5087865195</v>
      </c>
      <c r="H34" s="4"/>
      <c r="I34" s="5" t="s">
        <v>87</v>
      </c>
      <c r="J34" s="5" t="s">
        <v>51</v>
      </c>
      <c r="K34" s="24">
        <v>578.0</v>
      </c>
      <c r="L34" s="5">
        <v>0.253598</v>
      </c>
      <c r="M34" s="5">
        <v>2.770054</v>
      </c>
      <c r="N34" s="5">
        <v>3.023652</v>
      </c>
      <c r="O34" s="5">
        <v>0.882208</v>
      </c>
    </row>
    <row r="35">
      <c r="A35" s="12" t="str">
        <f>IFERROR(__xludf.DUMMYFUNCTION("""COMPUTED_VALUE"""),"Evgeny Baburin")</f>
        <v>Evgeny Baburin</v>
      </c>
      <c r="B35" s="13" t="str">
        <f>IFERROR(__xludf.DUMMYFUNCTION("""COMPUTED_VALUE"""),"LOK")</f>
        <v>LOK</v>
      </c>
      <c r="C35" s="14">
        <f>IFERROR(__xludf.DUMMYFUNCTION("""COMPUTED_VALUE"""),173.1)</f>
        <v>173.1</v>
      </c>
      <c r="D35" s="15">
        <f>IFERROR(__xludf.DUMMYFUNCTION("""COMPUTED_VALUE"""),0.21791734788255535)</f>
        <v>0.2179173479</v>
      </c>
      <c r="E35" s="15">
        <f>IFERROR(__xludf.DUMMYFUNCTION("""COMPUTED_VALUE"""),2.4491387640118836)</f>
        <v>2.449138764</v>
      </c>
      <c r="F35" s="15">
        <f>IFERROR(__xludf.DUMMYFUNCTION("""COMPUTED_VALUE"""),2.667056111894439)</f>
        <v>2.667056112</v>
      </c>
      <c r="G35" s="17">
        <f>IFERROR(__xludf.DUMMYFUNCTION("""COMPUTED_VALUE"""),0.24404139796555205)</f>
        <v>0.244041398</v>
      </c>
      <c r="H35" s="4"/>
      <c r="I35" s="5" t="s">
        <v>2835</v>
      </c>
      <c r="J35" s="5" t="s">
        <v>2785</v>
      </c>
      <c r="K35" s="24">
        <v>374.0</v>
      </c>
      <c r="L35" s="5">
        <v>-0.077365</v>
      </c>
      <c r="M35" s="5">
        <v>2.929912</v>
      </c>
      <c r="N35" s="5">
        <v>2.852546</v>
      </c>
      <c r="O35" s="5">
        <v>0.547819</v>
      </c>
    </row>
    <row r="36">
      <c r="A36" s="18" t="str">
        <f>IFERROR(__xludf.DUMMYFUNCTION("""COMPUTED_VALUE"""),"Anthony Gill")</f>
        <v>Anthony Gill</v>
      </c>
      <c r="B36" s="19" t="str">
        <f>IFERROR(__xludf.DUMMYFUNCTION("""COMPUTED_VALUE"""),"KHI")</f>
        <v>KHI</v>
      </c>
      <c r="C36" s="20">
        <f>IFERROR(__xludf.DUMMYFUNCTION("""COMPUTED_VALUE"""),467.7)</f>
        <v>467.7</v>
      </c>
      <c r="D36" s="21">
        <f>IFERROR(__xludf.DUMMYFUNCTION("""COMPUTED_VALUE"""),1.2988401086387396)</f>
        <v>1.298840109</v>
      </c>
      <c r="E36" s="21">
        <f>IFERROR(__xludf.DUMMYFUNCTION("""COMPUTED_VALUE"""),1.362963846907142)</f>
        <v>1.362963847</v>
      </c>
      <c r="F36" s="21">
        <f>IFERROR(__xludf.DUMMYFUNCTION("""COMPUTED_VALUE"""),2.6618039555458815)</f>
        <v>2.661803956</v>
      </c>
      <c r="G36" s="23">
        <f>IFERROR(__xludf.DUMMYFUNCTION("""COMPUTED_VALUE"""),0.6589372409612582)</f>
        <v>0.658937241</v>
      </c>
      <c r="H36" s="4"/>
      <c r="I36" s="5" t="s">
        <v>2836</v>
      </c>
      <c r="J36" s="5" t="s">
        <v>2785</v>
      </c>
      <c r="K36" s="24">
        <v>315.0</v>
      </c>
      <c r="L36" s="5">
        <v>2.649744</v>
      </c>
      <c r="M36" s="5">
        <v>0.17971</v>
      </c>
      <c r="N36" s="5">
        <v>2.829454</v>
      </c>
      <c r="O36" s="5">
        <v>0.459786</v>
      </c>
    </row>
    <row r="37">
      <c r="A37" s="12" t="str">
        <f>IFERROR(__xludf.DUMMYFUNCTION("""COMPUTED_VALUE"""),"Jonas Maciulis")</f>
        <v>Jonas Maciulis</v>
      </c>
      <c r="B37" s="13" t="str">
        <f>IFERROR(__xludf.DUMMYFUNCTION("""COMPUTED_VALUE"""),"LOK")</f>
        <v>LOK</v>
      </c>
      <c r="C37" s="14">
        <f>IFERROR(__xludf.DUMMYFUNCTION("""COMPUTED_VALUE"""),258.0)</f>
        <v>258</v>
      </c>
      <c r="D37" s="15">
        <f>IFERROR(__xludf.DUMMYFUNCTION("""COMPUTED_VALUE"""),-2.0610063973509014)</f>
        <v>-2.061006397</v>
      </c>
      <c r="E37" s="15">
        <f>IFERROR(__xludf.DUMMYFUNCTION("""COMPUTED_VALUE"""),4.70602571069351)</f>
        <v>4.706025711</v>
      </c>
      <c r="F37" s="15">
        <f>IFERROR(__xludf.DUMMYFUNCTION("""COMPUTED_VALUE"""),2.6450193133426083)</f>
        <v>2.645019313</v>
      </c>
      <c r="G37" s="17">
        <f>IFERROR(__xludf.DUMMYFUNCTION("""COMPUTED_VALUE"""),0.3620183993817925)</f>
        <v>0.3620183994</v>
      </c>
      <c r="H37" s="4"/>
      <c r="I37" s="5" t="s">
        <v>2837</v>
      </c>
      <c r="J37" s="5" t="s">
        <v>2838</v>
      </c>
      <c r="K37" s="24">
        <v>690.0</v>
      </c>
      <c r="L37" s="5">
        <v>0.993648</v>
      </c>
      <c r="M37" s="5">
        <v>1.825651</v>
      </c>
      <c r="N37" s="5">
        <v>2.819299</v>
      </c>
      <c r="O37" s="5">
        <v>0.993061</v>
      </c>
    </row>
    <row r="38">
      <c r="A38" s="18" t="str">
        <f>IFERROR(__xludf.DUMMYFUNCTION("""COMPUTED_VALUE"""),"Alexey Shved")</f>
        <v>Alexey Shved</v>
      </c>
      <c r="B38" s="19" t="str">
        <f>IFERROR(__xludf.DUMMYFUNCTION("""COMPUTED_VALUE"""),"KHI")</f>
        <v>KHI</v>
      </c>
      <c r="C38" s="20">
        <f>IFERROR(__xludf.DUMMYFUNCTION("""COMPUTED_VALUE"""),665.4)</f>
        <v>665.4</v>
      </c>
      <c r="D38" s="21">
        <f>IFERROR(__xludf.DUMMYFUNCTION("""COMPUTED_VALUE"""),3.8163564530192455)</f>
        <v>3.816356453</v>
      </c>
      <c r="E38" s="21">
        <f>IFERROR(__xludf.DUMMYFUNCTION("""COMPUTED_VALUE"""),-1.1869271674796895)</f>
        <v>-1.186927167</v>
      </c>
      <c r="F38" s="21">
        <f>IFERROR(__xludf.DUMMYFUNCTION("""COMPUTED_VALUE"""),2.629429285539556)</f>
        <v>2.629429286</v>
      </c>
      <c r="G38" s="23">
        <f>IFERROR(__xludf.DUMMYFUNCTION("""COMPUTED_VALUE"""),0.930964088003521)</f>
        <v>0.930964088</v>
      </c>
      <c r="H38" s="4"/>
      <c r="I38" s="5" t="s">
        <v>2839</v>
      </c>
      <c r="J38" s="5" t="s">
        <v>2822</v>
      </c>
      <c r="K38" s="5">
        <v>518.0</v>
      </c>
      <c r="L38" s="5">
        <v>3.813634</v>
      </c>
      <c r="M38" s="5">
        <v>-1.105573</v>
      </c>
      <c r="N38" s="5">
        <v>2.708061</v>
      </c>
      <c r="O38" s="5">
        <v>0.728104</v>
      </c>
    </row>
    <row r="39">
      <c r="A39" s="12" t="str">
        <f>IFERROR(__xludf.DUMMYFUNCTION("""COMPUTED_VALUE"""),"Codi Miller-McIntyre")</f>
        <v>Codi Miller-McIntyre</v>
      </c>
      <c r="B39" s="13" t="str">
        <f>IFERROR(__xludf.DUMMYFUNCTION("""COMPUTED_VALUE"""),"PARM")</f>
        <v>PARM</v>
      </c>
      <c r="C39" s="14">
        <f>IFERROR(__xludf.DUMMYFUNCTION("""COMPUTED_VALUE"""),786.8)</f>
        <v>786.8</v>
      </c>
      <c r="D39" s="15">
        <f>IFERROR(__xludf.DUMMYFUNCTION("""COMPUTED_VALUE"""),3.4492727682508817)</f>
        <v>3.449272768</v>
      </c>
      <c r="E39" s="15">
        <f>IFERROR(__xludf.DUMMYFUNCTION("""COMPUTED_VALUE"""),-0.8710592016908678)</f>
        <v>-0.8710592017</v>
      </c>
      <c r="F39" s="15">
        <f>IFERROR(__xludf.DUMMYFUNCTION("""COMPUTED_VALUE"""),2.578213566560014)</f>
        <v>2.578213567</v>
      </c>
      <c r="G39" s="17">
        <f>IFERROR(__xludf.DUMMYFUNCTION("""COMPUTED_VALUE"""),1.0868911543885598)</f>
        <v>1.086891154</v>
      </c>
      <c r="H39" s="4"/>
      <c r="I39" s="5" t="s">
        <v>452</v>
      </c>
      <c r="J39" s="5" t="s">
        <v>51</v>
      </c>
      <c r="K39" s="24">
        <v>238.0</v>
      </c>
      <c r="L39" s="5">
        <v>0.176494</v>
      </c>
      <c r="M39" s="5">
        <v>2.480285</v>
      </c>
      <c r="N39" s="5">
        <v>2.656779</v>
      </c>
      <c r="O39" s="5">
        <v>0.337066</v>
      </c>
    </row>
    <row r="40">
      <c r="A40" s="18" t="str">
        <f>IFERROR(__xludf.DUMMYFUNCTION("""COMPUTED_VALUE"""),"Drew Gordon")</f>
        <v>Drew Gordon</v>
      </c>
      <c r="B40" s="19" t="str">
        <f>IFERROR(__xludf.DUMMYFUNCTION("""COMPUTED_VALUE"""),"ZEN")</f>
        <v>ZEN</v>
      </c>
      <c r="C40" s="20">
        <f>IFERROR(__xludf.DUMMYFUNCTION("""COMPUTED_VALUE"""),417.7)</f>
        <v>417.7</v>
      </c>
      <c r="D40" s="21">
        <f>IFERROR(__xludf.DUMMYFUNCTION("""COMPUTED_VALUE"""),1.221442824232194)</f>
        <v>1.221442824</v>
      </c>
      <c r="E40" s="21">
        <f>IFERROR(__xludf.DUMMYFUNCTION("""COMPUTED_VALUE"""),1.3276001793472025)</f>
        <v>1.327600179</v>
      </c>
      <c r="F40" s="21">
        <f>IFERROR(__xludf.DUMMYFUNCTION("""COMPUTED_VALUE"""),2.5490430035793965)</f>
        <v>2.549043004</v>
      </c>
      <c r="G40" s="23">
        <f>IFERROR(__xludf.DUMMYFUNCTION("""COMPUTED_VALUE"""),0.5793631760175183)</f>
        <v>0.579363176</v>
      </c>
      <c r="H40" s="4"/>
      <c r="I40" s="5" t="s">
        <v>2840</v>
      </c>
      <c r="J40" s="5" t="s">
        <v>2841</v>
      </c>
      <c r="K40" s="24">
        <v>787.0</v>
      </c>
      <c r="L40" s="5">
        <v>2.383277</v>
      </c>
      <c r="M40" s="5">
        <v>0.196048</v>
      </c>
      <c r="N40" s="5">
        <v>2.579325</v>
      </c>
      <c r="O40" s="5">
        <v>1.087155</v>
      </c>
    </row>
    <row r="41">
      <c r="A41" s="12" t="str">
        <f>IFERROR(__xludf.DUMMYFUNCTION("""COMPUTED_VALUE"""),"Stephane Lasme")</f>
        <v>Stephane Lasme</v>
      </c>
      <c r="B41" s="13" t="str">
        <f>IFERROR(__xludf.DUMMYFUNCTION("""COMPUTED_VALUE"""),"UNI")</f>
        <v>UNI</v>
      </c>
      <c r="C41" s="14">
        <f>IFERROR(__xludf.DUMMYFUNCTION("""COMPUTED_VALUE"""),687.5)</f>
        <v>687.5</v>
      </c>
      <c r="D41" s="15">
        <f>IFERROR(__xludf.DUMMYFUNCTION("""COMPUTED_VALUE"""),-2.8140393301173936)</f>
        <v>-2.81403933</v>
      </c>
      <c r="E41" s="15">
        <f>IFERROR(__xludf.DUMMYFUNCTION("""COMPUTED_VALUE"""),5.267105782533868)</f>
        <v>5.267105783</v>
      </c>
      <c r="F41" s="15">
        <f>IFERROR(__xludf.DUMMYFUNCTION("""COMPUTED_VALUE"""),2.4530664524164743)</f>
        <v>2.453066452</v>
      </c>
      <c r="G41" s="17">
        <f>IFERROR(__xludf.DUMMYFUNCTION("""COMPUTED_VALUE"""),0.8941788577101952)</f>
        <v>0.8941788577</v>
      </c>
      <c r="H41" s="4"/>
      <c r="I41" s="5" t="s">
        <v>2842</v>
      </c>
      <c r="J41" s="5" t="s">
        <v>2816</v>
      </c>
      <c r="K41" s="24">
        <v>418.0</v>
      </c>
      <c r="L41" s="5">
        <v>1.446986</v>
      </c>
      <c r="M41" s="5">
        <v>1.003797</v>
      </c>
      <c r="N41" s="5">
        <v>2.450782</v>
      </c>
      <c r="O41" s="5">
        <v>0.566879</v>
      </c>
    </row>
    <row r="42">
      <c r="A42" s="18" t="str">
        <f>IFERROR(__xludf.DUMMYFUNCTION("""COMPUTED_VALUE"""),"Anthony Clemmons")</f>
        <v>Anthony Clemmons</v>
      </c>
      <c r="B42" s="19" t="str">
        <f>IFERROR(__xludf.DUMMYFUNCTION("""COMPUTED_VALUE"""),"AST")</f>
        <v>AST</v>
      </c>
      <c r="C42" s="20">
        <f>IFERROR(__xludf.DUMMYFUNCTION("""COMPUTED_VALUE"""),604.8)</f>
        <v>604.8</v>
      </c>
      <c r="D42" s="21">
        <f>IFERROR(__xludf.DUMMYFUNCTION("""COMPUTED_VALUE"""),3.4524216256269105)</f>
        <v>3.452421626</v>
      </c>
      <c r="E42" s="21">
        <f>IFERROR(__xludf.DUMMYFUNCTION("""COMPUTED_VALUE"""),-1.0456858095704025)</f>
        <v>-1.04568581</v>
      </c>
      <c r="F42" s="21">
        <f>IFERROR(__xludf.DUMMYFUNCTION("""COMPUTED_VALUE"""),2.406735816056508)</f>
        <v>2.406735816</v>
      </c>
      <c r="G42" s="23">
        <f>IFERROR(__xludf.DUMMYFUNCTION("""COMPUTED_VALUE"""),0.7961549819947561)</f>
        <v>0.796154982</v>
      </c>
      <c r="H42" s="4"/>
      <c r="I42" s="5" t="s">
        <v>147</v>
      </c>
      <c r="J42" s="5" t="s">
        <v>2785</v>
      </c>
      <c r="K42" s="24">
        <v>219.0</v>
      </c>
      <c r="L42" s="5">
        <v>-1.640178</v>
      </c>
      <c r="M42" s="5">
        <v>4.073687</v>
      </c>
      <c r="N42" s="5">
        <v>2.433509</v>
      </c>
      <c r="O42" s="5">
        <v>0.293616</v>
      </c>
    </row>
    <row r="43">
      <c r="A43" s="12" t="str">
        <f>IFERROR(__xludf.DUMMYFUNCTION("""COMPUTED_VALUE"""),"Chris Babb")</f>
        <v>Chris Babb</v>
      </c>
      <c r="B43" s="13" t="str">
        <f>IFERROR(__xludf.DUMMYFUNCTION("""COMPUTED_VALUE"""),"LOK")</f>
        <v>LOK</v>
      </c>
      <c r="C43" s="14">
        <f>IFERROR(__xludf.DUMMYFUNCTION("""COMPUTED_VALUE"""),364.9)</f>
        <v>364.9</v>
      </c>
      <c r="D43" s="15">
        <f>IFERROR(__xludf.DUMMYFUNCTION("""COMPUTED_VALUE"""),1.719386664415079)</f>
        <v>1.719386664</v>
      </c>
      <c r="E43" s="15">
        <f>IFERROR(__xludf.DUMMYFUNCTION("""COMPUTED_VALUE"""),0.6839356109841632)</f>
        <v>0.683935611</v>
      </c>
      <c r="F43" s="15">
        <f>IFERROR(__xludf.DUMMYFUNCTION("""COMPUTED_VALUE"""),2.4033222753992423)</f>
        <v>2.403322275</v>
      </c>
      <c r="G43" s="17">
        <f>IFERROR(__xludf.DUMMYFUNCTION("""COMPUTED_VALUE"""),0.4853753865956138)</f>
        <v>0.4853753866</v>
      </c>
      <c r="H43" s="4"/>
      <c r="I43" s="5" t="s">
        <v>2843</v>
      </c>
      <c r="J43" s="5" t="s">
        <v>2838</v>
      </c>
      <c r="K43" s="24">
        <v>605.0</v>
      </c>
      <c r="L43" s="5">
        <v>1.792885</v>
      </c>
      <c r="M43" s="5">
        <v>0.614014</v>
      </c>
      <c r="N43" s="5">
        <v>2.406899</v>
      </c>
      <c r="O43" s="5">
        <v>0.796184</v>
      </c>
    </row>
    <row r="44">
      <c r="A44" s="18" t="str">
        <f>IFERROR(__xludf.DUMMYFUNCTION("""COMPUTED_VALUE"""),"Dmitry Kulagin")</f>
        <v>Dmitry Kulagin</v>
      </c>
      <c r="B44" s="19" t="str">
        <f>IFERROR(__xludf.DUMMYFUNCTION("""COMPUTED_VALUE"""),"LOK")</f>
        <v>LOK</v>
      </c>
      <c r="C44" s="20">
        <f>IFERROR(__xludf.DUMMYFUNCTION("""COMPUTED_VALUE"""),425.1)</f>
        <v>425.1</v>
      </c>
      <c r="D44" s="21">
        <f>IFERROR(__xludf.DUMMYFUNCTION("""COMPUTED_VALUE"""),-1.1631543857337805)</f>
        <v>-1.163154386</v>
      </c>
      <c r="E44" s="21">
        <f>IFERROR(__xludf.DUMMYFUNCTION("""COMPUTED_VALUE"""),3.3555047420962945)</f>
        <v>3.355504742</v>
      </c>
      <c r="F44" s="21">
        <f>IFERROR(__xludf.DUMMYFUNCTION("""COMPUTED_VALUE"""),2.192350356362514)</f>
        <v>2.192350356</v>
      </c>
      <c r="G44" s="23">
        <f>IFERROR(__xludf.DUMMYFUNCTION("""COMPUTED_VALUE"""),0.5383591372255766)</f>
        <v>0.5383591372</v>
      </c>
      <c r="H44" s="4"/>
      <c r="I44" s="5" t="s">
        <v>2844</v>
      </c>
      <c r="J44" s="5" t="s">
        <v>2816</v>
      </c>
      <c r="K44" s="24">
        <v>622.0</v>
      </c>
      <c r="L44" s="5">
        <v>3.745673</v>
      </c>
      <c r="M44" s="5">
        <v>-1.403647</v>
      </c>
      <c r="N44" s="5">
        <v>2.342026</v>
      </c>
      <c r="O44" s="5">
        <v>0.822855</v>
      </c>
    </row>
    <row r="45">
      <c r="A45" s="12" t="str">
        <f>IFERROR(__xludf.DUMMYFUNCTION("""COMPUTED_VALUE"""),"Vladimir Veremeenko")</f>
        <v>Vladimir Veremeenko</v>
      </c>
      <c r="B45" s="13" t="str">
        <f>IFERROR(__xludf.DUMMYFUNCTION("""COMPUTED_VALUE"""),"NIZ")</f>
        <v>NIZ</v>
      </c>
      <c r="C45" s="14">
        <f>IFERROR(__xludf.DUMMYFUNCTION("""COMPUTED_VALUE"""),312.9)</f>
        <v>312.9</v>
      </c>
      <c r="D45" s="15">
        <f>IFERROR(__xludf.DUMMYFUNCTION("""COMPUTED_VALUE"""),1.8197076042463005)</f>
        <v>1.819707604</v>
      </c>
      <c r="E45" s="15">
        <f>IFERROR(__xludf.DUMMYFUNCTION("""COMPUTED_VALUE"""),0.3302760888156089)</f>
        <v>0.3302760888</v>
      </c>
      <c r="F45" s="15">
        <f>IFERROR(__xludf.DUMMYFUNCTION("""COMPUTED_VALUE"""),2.1499836930619094)</f>
        <v>2.149983693</v>
      </c>
      <c r="G45" s="17">
        <f>IFERROR(__xludf.DUMMYFUNCTION("""COMPUTED_VALUE"""),0.40107963605509706)</f>
        <v>0.4010796361</v>
      </c>
      <c r="H45" s="4"/>
      <c r="I45" s="5" t="s">
        <v>2846</v>
      </c>
      <c r="J45" s="5" t="s">
        <v>22</v>
      </c>
      <c r="K45" s="24">
        <v>618.0</v>
      </c>
      <c r="L45" s="5">
        <v>2.539747</v>
      </c>
      <c r="M45" s="5">
        <v>-0.248499</v>
      </c>
      <c r="N45" s="5">
        <v>2.291248</v>
      </c>
      <c r="O45" s="5">
        <v>0.774664</v>
      </c>
    </row>
    <row r="46">
      <c r="A46" s="18" t="str">
        <f>IFERROR(__xludf.DUMMYFUNCTION("""COMPUTED_VALUE"""),"Vyacheslav Zaytsev")</f>
        <v>Vyacheslav Zaytsev</v>
      </c>
      <c r="B46" s="19" t="str">
        <f>IFERROR(__xludf.DUMMYFUNCTION("""COMPUTED_VALUE"""),"KHI")</f>
        <v>KHI</v>
      </c>
      <c r="C46" s="20">
        <f>IFERROR(__xludf.DUMMYFUNCTION("""COMPUTED_VALUE"""),262.3)</f>
        <v>262.3</v>
      </c>
      <c r="D46" s="21">
        <f>IFERROR(__xludf.DUMMYFUNCTION("""COMPUTED_VALUE"""),-0.902001373872222)</f>
        <v>-0.9020013739</v>
      </c>
      <c r="E46" s="21">
        <f>IFERROR(__xludf.DUMMYFUNCTION("""COMPUTED_VALUE"""),3.0317034649611965)</f>
        <v>3.031703465</v>
      </c>
      <c r="F46" s="21">
        <f>IFERROR(__xludf.DUMMYFUNCTION("""COMPUTED_VALUE"""),2.1297020910889746)</f>
        <v>2.129702091</v>
      </c>
      <c r="G46" s="23">
        <f>IFERROR(__xludf.DUMMYFUNCTION("""COMPUTED_VALUE"""),0.327370612826439)</f>
        <v>0.3273706128</v>
      </c>
      <c r="H46" s="4"/>
      <c r="I46" s="5" t="s">
        <v>139</v>
      </c>
      <c r="J46" s="5" t="s">
        <v>51</v>
      </c>
      <c r="K46" s="24">
        <v>437.0</v>
      </c>
      <c r="L46" s="5">
        <v>2.283568</v>
      </c>
      <c r="M46" s="5">
        <v>-0.05832</v>
      </c>
      <c r="N46" s="5">
        <v>2.225248</v>
      </c>
      <c r="O46" s="5">
        <v>0.560733</v>
      </c>
    </row>
    <row r="47">
      <c r="A47" s="12" t="str">
        <f>IFERROR(__xludf.DUMMYFUNCTION("""COMPUTED_VALUE"""),"Sergio Rodriguez")</f>
        <v>Sergio Rodriguez</v>
      </c>
      <c r="B47" s="13" t="str">
        <f>IFERROR(__xludf.DUMMYFUNCTION("""COMPUTED_VALUE"""),"CSKA")</f>
        <v>CSKA</v>
      </c>
      <c r="C47" s="14">
        <f>IFERROR(__xludf.DUMMYFUNCTION("""COMPUTED_VALUE"""),498.3)</f>
        <v>498.3</v>
      </c>
      <c r="D47" s="15">
        <f>IFERROR(__xludf.DUMMYFUNCTION("""COMPUTED_VALUE"""),-0.8598306465498831)</f>
        <v>-0.8598306465</v>
      </c>
      <c r="E47" s="15">
        <f>IFERROR(__xludf.DUMMYFUNCTION("""COMPUTED_VALUE"""),2.7816037671967333)</f>
        <v>2.781603767</v>
      </c>
      <c r="F47" s="15">
        <f>IFERROR(__xludf.DUMMYFUNCTION("""COMPUTED_VALUE"""),1.9217731206468502)</f>
        <v>1.921773121</v>
      </c>
      <c r="G47" s="17">
        <f>IFERROR(__xludf.DUMMYFUNCTION("""COMPUTED_VALUE"""),0.5917658672795196)</f>
        <v>0.5917658673</v>
      </c>
      <c r="H47" s="4"/>
      <c r="I47" s="5" t="s">
        <v>68</v>
      </c>
      <c r="J47" s="5" t="s">
        <v>12</v>
      </c>
      <c r="K47" s="24">
        <v>389.0</v>
      </c>
      <c r="L47" s="5">
        <v>1.664574</v>
      </c>
      <c r="M47" s="5">
        <v>0.518285</v>
      </c>
      <c r="N47" s="5">
        <v>2.182859</v>
      </c>
      <c r="O47" s="5">
        <v>0.495577</v>
      </c>
    </row>
    <row r="48">
      <c r="A48" s="18" t="str">
        <f>IFERROR(__xludf.DUMMYFUNCTION("""COMPUTED_VALUE"""),"Quim Colom")</f>
        <v>Quim Colom</v>
      </c>
      <c r="B48" s="19" t="str">
        <f>IFERROR(__xludf.DUMMYFUNCTION("""COMPUTED_VALUE"""),"UNI")</f>
        <v>UNI</v>
      </c>
      <c r="C48" s="20">
        <f>IFERROR(__xludf.DUMMYFUNCTION("""COMPUTED_VALUE"""),710.3)</f>
        <v>710.3</v>
      </c>
      <c r="D48" s="21">
        <f>IFERROR(__xludf.DUMMYFUNCTION("""COMPUTED_VALUE"""),0.20316454686897878)</f>
        <v>0.2031645469</v>
      </c>
      <c r="E48" s="21">
        <f>IFERROR(__xludf.DUMMYFUNCTION("""COMPUTED_VALUE"""),1.281324807825095)</f>
        <v>1.281324808</v>
      </c>
      <c r="F48" s="21">
        <f>IFERROR(__xludf.DUMMYFUNCTION("""COMPUTED_VALUE"""),1.4844893546940736)</f>
        <v>1.484489355</v>
      </c>
      <c r="G48" s="23">
        <f>IFERROR(__xludf.DUMMYFUNCTION("""COMPUTED_VALUE"""),0.7228920942094045)</f>
        <v>0.7228920942</v>
      </c>
      <c r="H48" s="4"/>
      <c r="I48" s="5" t="s">
        <v>55</v>
      </c>
      <c r="J48" s="5" t="s">
        <v>12</v>
      </c>
      <c r="K48" s="24">
        <v>447.0</v>
      </c>
      <c r="L48" s="5">
        <v>3.059999</v>
      </c>
      <c r="M48" s="5">
        <v>-1.023863</v>
      </c>
      <c r="N48" s="5">
        <v>2.036136</v>
      </c>
      <c r="O48" s="5">
        <v>0.55055</v>
      </c>
    </row>
    <row r="49">
      <c r="A49" s="12" t="str">
        <f>IFERROR(__xludf.DUMMYFUNCTION("""COMPUTED_VALUE"""),"Stevan Jelovac")</f>
        <v>Stevan Jelovac</v>
      </c>
      <c r="B49" s="13" t="str">
        <f>IFERROR(__xludf.DUMMYFUNCTION("""COMPUTED_VALUE"""),"NIZ")</f>
        <v>NIZ</v>
      </c>
      <c r="C49" s="14">
        <f>IFERROR(__xludf.DUMMYFUNCTION("""COMPUTED_VALUE"""),791.2)</f>
        <v>791.2</v>
      </c>
      <c r="D49" s="15">
        <f>IFERROR(__xludf.DUMMYFUNCTION("""COMPUTED_VALUE"""),3.260076997220486)</f>
        <v>3.260076997</v>
      </c>
      <c r="E49" s="15">
        <f>IFERROR(__xludf.DUMMYFUNCTION("""COMPUTED_VALUE"""),-1.8530254031189304)</f>
        <v>-1.853025403</v>
      </c>
      <c r="F49" s="15">
        <f>IFERROR(__xludf.DUMMYFUNCTION("""COMPUTED_VALUE"""),1.4070515941015556)</f>
        <v>1.407051594</v>
      </c>
      <c r="G49" s="17">
        <f>IFERROR(__xludf.DUMMYFUNCTION("""COMPUTED_VALUE"""),0.8326138823766255)</f>
        <v>0.8326138824</v>
      </c>
      <c r="H49" s="4"/>
      <c r="I49" s="5" t="s">
        <v>1932</v>
      </c>
      <c r="J49" s="5" t="s">
        <v>2831</v>
      </c>
      <c r="K49" s="24">
        <v>585.0</v>
      </c>
      <c r="L49" s="5">
        <v>2.357338</v>
      </c>
      <c r="M49" s="5">
        <v>-0.451795</v>
      </c>
      <c r="N49" s="5">
        <v>1.905542</v>
      </c>
      <c r="O49" s="5">
        <v>0.709605</v>
      </c>
    </row>
    <row r="50">
      <c r="A50" s="18" t="str">
        <f>IFERROR(__xludf.DUMMYFUNCTION("""COMPUTED_VALUE"""),"Tre McLean")</f>
        <v>Tre McLean</v>
      </c>
      <c r="B50" s="19" t="str">
        <f>IFERROR(__xludf.DUMMYFUNCTION("""COMPUTED_VALUE"""),"PARM")</f>
        <v>PARM</v>
      </c>
      <c r="C50" s="20">
        <f>IFERROR(__xludf.DUMMYFUNCTION("""COMPUTED_VALUE"""),553.7)</f>
        <v>553.7</v>
      </c>
      <c r="D50" s="21">
        <f>IFERROR(__xludf.DUMMYFUNCTION("""COMPUTED_VALUE"""),2.8025914355568533)</f>
        <v>2.802591436</v>
      </c>
      <c r="E50" s="21">
        <f>IFERROR(__xludf.DUMMYFUNCTION("""COMPUTED_VALUE"""),-1.4047176878349426)</f>
        <v>-1.404717688</v>
      </c>
      <c r="F50" s="21">
        <f>IFERROR(__xludf.DUMMYFUNCTION("""COMPUTED_VALUE"""),1.3978737477219108)</f>
        <v>1.397873748</v>
      </c>
      <c r="G50" s="23">
        <f>IFERROR(__xludf.DUMMYFUNCTION("""COMPUTED_VALUE"""),0.5676849969666448)</f>
        <v>0.567684997</v>
      </c>
      <c r="H50" s="4"/>
      <c r="I50" s="5" t="s">
        <v>2848</v>
      </c>
      <c r="J50" s="5" t="s">
        <v>2822</v>
      </c>
      <c r="K50" s="24">
        <v>492.0</v>
      </c>
      <c r="L50" s="5">
        <v>0.641619</v>
      </c>
      <c r="M50" s="5">
        <v>1.103555</v>
      </c>
      <c r="N50" s="5">
        <v>1.745173</v>
      </c>
      <c r="O50" s="5">
        <v>0.549886</v>
      </c>
    </row>
    <row r="51">
      <c r="A51" s="12" t="str">
        <f>IFERROR(__xludf.DUMMYFUNCTION("""COMPUTED_VALUE"""),"Branden Frazier")</f>
        <v>Branden Frazier</v>
      </c>
      <c r="B51" s="13" t="str">
        <f>IFERROR(__xludf.DUMMYFUNCTION("""COMPUTED_VALUE"""),"AVT")</f>
        <v>AVT</v>
      </c>
      <c r="C51" s="14">
        <f>IFERROR(__xludf.DUMMYFUNCTION("""COMPUTED_VALUE"""),552.6)</f>
        <v>552.6</v>
      </c>
      <c r="D51" s="15">
        <f>IFERROR(__xludf.DUMMYFUNCTION("""COMPUTED_VALUE"""),2.7030724615238597)</f>
        <v>2.703072462</v>
      </c>
      <c r="E51" s="15">
        <f>IFERROR(__xludf.DUMMYFUNCTION("""COMPUTED_VALUE"""),-1.3090944994690752)</f>
        <v>-1.309094499</v>
      </c>
      <c r="F51" s="15">
        <f>IFERROR(__xludf.DUMMYFUNCTION("""COMPUTED_VALUE"""),1.3939779620547845)</f>
        <v>1.393977962</v>
      </c>
      <c r="G51" s="17">
        <f>IFERROR(__xludf.DUMMYFUNCTION("""COMPUTED_VALUE"""),0.5614163050131932)</f>
        <v>0.561416305</v>
      </c>
      <c r="H51" s="4"/>
      <c r="I51" s="5" t="s">
        <v>129</v>
      </c>
      <c r="J51" s="5" t="s">
        <v>51</v>
      </c>
      <c r="K51" s="5">
        <v>591.0</v>
      </c>
      <c r="L51" s="5">
        <v>3.784892</v>
      </c>
      <c r="M51" s="5">
        <v>-2.041248</v>
      </c>
      <c r="N51" s="5">
        <v>1.743644</v>
      </c>
      <c r="O51" s="5">
        <v>0.671178</v>
      </c>
    </row>
    <row r="52">
      <c r="A52" s="18" t="str">
        <f>IFERROR(__xludf.DUMMYFUNCTION("""COMPUTED_VALUE"""),"Stefan Markovic")</f>
        <v>Stefan Markovic</v>
      </c>
      <c r="B52" s="19" t="str">
        <f>IFERROR(__xludf.DUMMYFUNCTION("""COMPUTED_VALUE"""),"KHI")</f>
        <v>KHI</v>
      </c>
      <c r="C52" s="20">
        <f>IFERROR(__xludf.DUMMYFUNCTION("""COMPUTED_VALUE"""),455.8)</f>
        <v>455.8</v>
      </c>
      <c r="D52" s="21">
        <f>IFERROR(__xludf.DUMMYFUNCTION("""COMPUTED_VALUE"""),0.2472243523153017)</f>
        <v>0.2472243523</v>
      </c>
      <c r="E52" s="21">
        <f>IFERROR(__xludf.DUMMYFUNCTION("""COMPUTED_VALUE"""),1.124756870424013)</f>
        <v>1.12475687</v>
      </c>
      <c r="F52" s="21">
        <f>IFERROR(__xludf.DUMMYFUNCTION("""COMPUTED_VALUE"""),1.3719812227393147)</f>
        <v>1.371981223</v>
      </c>
      <c r="G52" s="23">
        <f>IFERROR(__xludf.DUMMYFUNCTION("""COMPUTED_VALUE"""),0.46449617877705873)</f>
        <v>0.4644961788</v>
      </c>
      <c r="H52" s="4"/>
      <c r="I52" s="5" t="s">
        <v>443</v>
      </c>
      <c r="J52" s="5" t="s">
        <v>51</v>
      </c>
      <c r="K52" s="24">
        <v>456.0</v>
      </c>
      <c r="L52" s="5">
        <v>1.310016</v>
      </c>
      <c r="M52" s="5">
        <v>0.298543</v>
      </c>
      <c r="N52" s="5">
        <v>1.608559</v>
      </c>
      <c r="O52" s="5">
        <v>0.49938</v>
      </c>
    </row>
    <row r="53">
      <c r="A53" s="12" t="str">
        <f>IFERROR(__xludf.DUMMYFUNCTION("""COMPUTED_VALUE"""),"Trevor Lacey")</f>
        <v>Trevor Lacey</v>
      </c>
      <c r="B53" s="13" t="str">
        <f>IFERROR(__xludf.DUMMYFUNCTION("""COMPUTED_VALUE"""),"LOK")</f>
        <v>LOK</v>
      </c>
      <c r="C53" s="14">
        <f>IFERROR(__xludf.DUMMYFUNCTION("""COMPUTED_VALUE"""),467.1)</f>
        <v>467.1</v>
      </c>
      <c r="D53" s="15">
        <f>IFERROR(__xludf.DUMMYFUNCTION("""COMPUTED_VALUE"""),-2.108822019950228)</f>
        <v>-2.10882202</v>
      </c>
      <c r="E53" s="15">
        <f>IFERROR(__xludf.DUMMYFUNCTION("""COMPUTED_VALUE"""),3.370679573969644)</f>
        <v>3.370679574</v>
      </c>
      <c r="F53" s="15">
        <f>IFERROR(__xludf.DUMMYFUNCTION("""COMPUTED_VALUE"""),1.2618575540194157)</f>
        <v>1.261857554</v>
      </c>
      <c r="G53" s="17">
        <f>IFERROR(__xludf.DUMMYFUNCTION("""COMPUTED_VALUE"""),0.4602547428286716)</f>
        <v>0.4602547428</v>
      </c>
      <c r="H53" s="4"/>
      <c r="I53" s="5" t="s">
        <v>2847</v>
      </c>
      <c r="J53" s="5" t="s">
        <v>2785</v>
      </c>
      <c r="K53" s="24">
        <v>467.0</v>
      </c>
      <c r="L53" s="5">
        <v>-1.312253</v>
      </c>
      <c r="M53" s="5">
        <v>2.766879</v>
      </c>
      <c r="N53" s="5">
        <v>1.454626</v>
      </c>
      <c r="O53" s="5">
        <v>0.487088</v>
      </c>
    </row>
    <row r="54">
      <c r="A54" s="18" t="str">
        <f>IFERROR(__xludf.DUMMYFUNCTION("""COMPUTED_VALUE"""),"Suleiman Braimoh")</f>
        <v>Suleiman Braimoh</v>
      </c>
      <c r="B54" s="19" t="str">
        <f>IFERROR(__xludf.DUMMYFUNCTION("""COMPUTED_VALUE"""),"ENI")</f>
        <v>ENI</v>
      </c>
      <c r="C54" s="20">
        <f>IFERROR(__xludf.DUMMYFUNCTION("""COMPUTED_VALUE"""),599.0)</f>
        <v>599</v>
      </c>
      <c r="D54" s="21">
        <f>IFERROR(__xludf.DUMMYFUNCTION("""COMPUTED_VALUE"""),2.175377986465228)</f>
        <v>2.175377986</v>
      </c>
      <c r="E54" s="21">
        <f>IFERROR(__xludf.DUMMYFUNCTION("""COMPUTED_VALUE"""),-0.9899741307229952)</f>
        <v>-0.9899741307</v>
      </c>
      <c r="F54" s="21">
        <f>IFERROR(__xludf.DUMMYFUNCTION("""COMPUTED_VALUE"""),1.1854038557422326)</f>
        <v>1.185403856</v>
      </c>
      <c r="G54" s="23">
        <f>IFERROR(__xludf.DUMMYFUNCTION("""COMPUTED_VALUE"""),0.6280428259733377)</f>
        <v>0.628042826</v>
      </c>
      <c r="H54" s="4"/>
      <c r="I54" s="5" t="s">
        <v>2849</v>
      </c>
      <c r="J54" s="5" t="s">
        <v>2841</v>
      </c>
      <c r="K54" s="24">
        <v>554.0</v>
      </c>
      <c r="L54" s="5">
        <v>1.736329</v>
      </c>
      <c r="M54" s="5">
        <v>-0.337563</v>
      </c>
      <c r="N54" s="5">
        <v>1.398766</v>
      </c>
      <c r="O54" s="5">
        <v>0.567834</v>
      </c>
    </row>
    <row r="55">
      <c r="A55" s="12" t="str">
        <f>IFERROR(__xludf.DUMMYFUNCTION("""COMPUTED_VALUE"""),"Jake Odum")</f>
        <v>Jake Odum</v>
      </c>
      <c r="B55" s="13" t="str">
        <f>IFERROR(__xludf.DUMMYFUNCTION("""COMPUTED_VALUE"""),"NIZ")</f>
        <v>NIZ</v>
      </c>
      <c r="C55" s="14">
        <f>IFERROR(__xludf.DUMMYFUNCTION("""COMPUTED_VALUE"""),666.5)</f>
        <v>666.5</v>
      </c>
      <c r="D55" s="15">
        <f>IFERROR(__xludf.DUMMYFUNCTION("""COMPUTED_VALUE"""),1.6462148036733322)</f>
        <v>1.646214804</v>
      </c>
      <c r="E55" s="15">
        <f>IFERROR(__xludf.DUMMYFUNCTION("""COMPUTED_VALUE"""),-0.5365973329423295)</f>
        <v>-0.5365973329</v>
      </c>
      <c r="F55" s="15">
        <f>IFERROR(__xludf.DUMMYFUNCTION("""COMPUTED_VALUE"""),1.1096174707310027)</f>
        <v>1.109617471</v>
      </c>
      <c r="G55" s="17">
        <f>IFERROR(__xludf.DUMMYFUNCTION("""COMPUTED_VALUE"""),0.6401559408139758)</f>
        <v>0.6401559408</v>
      </c>
      <c r="H55" s="4"/>
      <c r="I55" s="5" t="s">
        <v>2850</v>
      </c>
      <c r="J55" s="5" t="s">
        <v>2851</v>
      </c>
      <c r="K55" s="24">
        <v>727.0</v>
      </c>
      <c r="L55" s="5">
        <v>1.739158</v>
      </c>
      <c r="M55" s="5">
        <v>-0.522103</v>
      </c>
      <c r="N55" s="5">
        <v>1.217055</v>
      </c>
      <c r="O55" s="5">
        <v>0.709729</v>
      </c>
    </row>
    <row r="56">
      <c r="A56" s="18" t="str">
        <f>IFERROR(__xludf.DUMMYFUNCTION("""COMPUTED_VALUE"""),"Mareks Mejeris")</f>
        <v>Mareks Mejeris</v>
      </c>
      <c r="B56" s="19" t="str">
        <f>IFERROR(__xludf.DUMMYFUNCTION("""COMPUTED_VALUE"""),"RIG")</f>
        <v>RIG</v>
      </c>
      <c r="C56" s="20">
        <f>IFERROR(__xludf.DUMMYFUNCTION("""COMPUTED_VALUE"""),770.3)</f>
        <v>770.3</v>
      </c>
      <c r="D56" s="21">
        <f>IFERROR(__xludf.DUMMYFUNCTION("""COMPUTED_VALUE"""),0.8260302044799082)</f>
        <v>0.8260302045</v>
      </c>
      <c r="E56" s="21">
        <f>IFERROR(__xludf.DUMMYFUNCTION("""COMPUTED_VALUE"""),0.142897712754535)</f>
        <v>0.1428977128</v>
      </c>
      <c r="F56" s="21">
        <f>IFERROR(__xludf.DUMMYFUNCTION("""COMPUTED_VALUE"""),0.9689279172344432)</f>
        <v>0.9689279172</v>
      </c>
      <c r="G56" s="23">
        <f>IFERROR(__xludf.DUMMYFUNCTION("""COMPUTED_VALUE"""),0.6940323672635008)</f>
        <v>0.6940323673</v>
      </c>
      <c r="H56" s="4"/>
      <c r="I56" s="5" t="s">
        <v>2852</v>
      </c>
      <c r="J56" s="5" t="s">
        <v>2816</v>
      </c>
      <c r="K56" s="24">
        <v>190.0</v>
      </c>
      <c r="L56" s="5">
        <v>1.072452</v>
      </c>
      <c r="M56" s="5">
        <v>0.140112</v>
      </c>
      <c r="N56" s="5">
        <v>1.212564</v>
      </c>
      <c r="O56" s="5">
        <v>0.186219</v>
      </c>
    </row>
    <row r="57">
      <c r="A57" s="12" t="str">
        <f>IFERROR(__xludf.DUMMYFUNCTION("""COMPUTED_VALUE"""),"Ivan Lazarev")</f>
        <v>Ivan Lazarev</v>
      </c>
      <c r="B57" s="13" t="str">
        <f>IFERROR(__xludf.DUMMYFUNCTION("""COMPUTED_VALUE"""),"ZEN")</f>
        <v>ZEN</v>
      </c>
      <c r="C57" s="14">
        <f>IFERROR(__xludf.DUMMYFUNCTION("""COMPUTED_VALUE"""),71.1)</f>
        <v>71.1</v>
      </c>
      <c r="D57" s="15">
        <f>IFERROR(__xludf.DUMMYFUNCTION("""COMPUTED_VALUE"""),1.2489229728379334)</f>
        <v>1.248922973</v>
      </c>
      <c r="E57" s="15">
        <f>IFERROR(__xludf.DUMMYFUNCTION("""COMPUTED_VALUE"""),-0.384987699246762)</f>
        <v>-0.3849876992</v>
      </c>
      <c r="F57" s="15">
        <f>IFERROR(__xludf.DUMMYFUNCTION("""COMPUTED_VALUE"""),0.8639352735911714)</f>
        <v>0.8639352736</v>
      </c>
      <c r="G57" s="17">
        <f>IFERROR(__xludf.DUMMYFUNCTION("""COMPUTED_VALUE"""),0.06208678473744151)</f>
        <v>0.06208678474</v>
      </c>
      <c r="H57" s="4"/>
      <c r="I57" s="5" t="s">
        <v>2853</v>
      </c>
      <c r="J57" s="5" t="s">
        <v>2854</v>
      </c>
      <c r="K57" s="24">
        <v>599.0</v>
      </c>
      <c r="L57" s="5">
        <v>0.375965</v>
      </c>
      <c r="M57" s="5">
        <v>0.807265</v>
      </c>
      <c r="N57" s="5">
        <v>1.18323</v>
      </c>
      <c r="O57" s="5">
        <v>0.627614</v>
      </c>
    </row>
    <row r="58">
      <c r="A58" s="18" t="str">
        <f>IFERROR(__xludf.DUMMYFUNCTION("""COMPUTED_VALUE"""),"Maxim Sheleketo")</f>
        <v>Maxim Sheleketo</v>
      </c>
      <c r="B58" s="19" t="str">
        <f>IFERROR(__xludf.DUMMYFUNCTION("""COMPUTED_VALUE"""),"AVT")</f>
        <v>AVT</v>
      </c>
      <c r="C58" s="20">
        <f>IFERROR(__xludf.DUMMYFUNCTION("""COMPUTED_VALUE"""),545.7)</f>
        <v>545.7</v>
      </c>
      <c r="D58" s="21">
        <f>IFERROR(__xludf.DUMMYFUNCTION("""COMPUTED_VALUE"""),0.17851032292812635)</f>
        <v>0.1785103229</v>
      </c>
      <c r="E58" s="21">
        <f>IFERROR(__xludf.DUMMYFUNCTION("""COMPUTED_VALUE"""),0.66533838033794)</f>
        <v>0.6653383803</v>
      </c>
      <c r="F58" s="21">
        <f>IFERROR(__xludf.DUMMYFUNCTION("""COMPUTED_VALUE"""),0.8438487032660664)</f>
        <v>0.8438487033</v>
      </c>
      <c r="G58" s="23">
        <f>IFERROR(__xludf.DUMMYFUNCTION("""COMPUTED_VALUE"""),0.4645426192787972)</f>
        <v>0.4645426193</v>
      </c>
      <c r="H58" s="4"/>
      <c r="I58" s="5" t="s">
        <v>2855</v>
      </c>
      <c r="J58" s="5" t="s">
        <v>2785</v>
      </c>
      <c r="K58" s="5">
        <v>284.0</v>
      </c>
      <c r="L58" s="5">
        <v>-0.076643</v>
      </c>
      <c r="M58" s="5">
        <v>1.166627</v>
      </c>
      <c r="N58" s="5">
        <v>1.089983</v>
      </c>
      <c r="O58" s="5">
        <v>0.265266</v>
      </c>
    </row>
    <row r="59">
      <c r="A59" s="12" t="str">
        <f>IFERROR(__xludf.DUMMYFUNCTION("""COMPUTED_VALUE"""),"Leo Westermann")</f>
        <v>Leo Westermann</v>
      </c>
      <c r="B59" s="13" t="str">
        <f>IFERROR(__xludf.DUMMYFUNCTION("""COMPUTED_VALUE"""),"CSKA")</f>
        <v>CSKA</v>
      </c>
      <c r="C59" s="14">
        <f>IFERROR(__xludf.DUMMYFUNCTION("""COMPUTED_VALUE"""),196.6)</f>
        <v>196.6</v>
      </c>
      <c r="D59" s="15">
        <f>IFERROR(__xludf.DUMMYFUNCTION("""COMPUTED_VALUE"""),-1.8041606761543005)</f>
        <v>-1.804160676</v>
      </c>
      <c r="E59" s="15">
        <f>IFERROR(__xludf.DUMMYFUNCTION("""COMPUTED_VALUE"""),2.5238750723061316)</f>
        <v>2.523875072</v>
      </c>
      <c r="F59" s="15">
        <f>IFERROR(__xludf.DUMMYFUNCTION("""COMPUTED_VALUE"""),0.7197143961518311)</f>
        <v>0.7197143962</v>
      </c>
      <c r="G59" s="17">
        <f>IFERROR(__xludf.DUMMYFUNCTION("""COMPUTED_VALUE"""),0.16191361621494027)</f>
        <v>0.1619136162</v>
      </c>
      <c r="H59" s="4"/>
      <c r="I59" s="5" t="s">
        <v>2856</v>
      </c>
      <c r="J59" s="5" t="s">
        <v>2851</v>
      </c>
      <c r="K59" s="24">
        <v>319.0</v>
      </c>
      <c r="L59" s="5">
        <v>4.108674</v>
      </c>
      <c r="M59" s="5">
        <v>-3.028434</v>
      </c>
      <c r="N59" s="5">
        <v>1.080241</v>
      </c>
      <c r="O59" s="5">
        <v>0.29792</v>
      </c>
    </row>
    <row r="60">
      <c r="A60" s="18" t="str">
        <f>IFERROR(__xludf.DUMMYFUNCTION("""COMPUTED_VALUE"""),"Mikhail Kulagin")</f>
        <v>Mikhail Kulagin</v>
      </c>
      <c r="B60" s="19" t="str">
        <f>IFERROR(__xludf.DUMMYFUNCTION("""COMPUTED_VALUE"""),"CSKA")</f>
        <v>CSKA</v>
      </c>
      <c r="C60" s="20">
        <f>IFERROR(__xludf.DUMMYFUNCTION("""COMPUTED_VALUE"""),222.2)</f>
        <v>222.2</v>
      </c>
      <c r="D60" s="21">
        <f>IFERROR(__xludf.DUMMYFUNCTION("""COMPUTED_VALUE"""),-1.9058986150693722)</f>
        <v>-1.905898615</v>
      </c>
      <c r="E60" s="21">
        <f>IFERROR(__xludf.DUMMYFUNCTION("""COMPUTED_VALUE"""),2.6109622837035364)</f>
        <v>2.610962284</v>
      </c>
      <c r="F60" s="21">
        <f>IFERROR(__xludf.DUMMYFUNCTION("""COMPUTED_VALUE"""),0.7050636686341641)</f>
        <v>0.7050636686</v>
      </c>
      <c r="G60" s="23">
        <f>IFERROR(__xludf.DUMMYFUNCTION("""COMPUTED_VALUE"""),0.18201119665984256)</f>
        <v>0.1820111967</v>
      </c>
      <c r="H60" s="4"/>
      <c r="I60" s="5" t="s">
        <v>2857</v>
      </c>
      <c r="J60" s="5" t="s">
        <v>2851</v>
      </c>
      <c r="K60" s="24">
        <v>712.0</v>
      </c>
      <c r="L60" s="5">
        <v>-1.25077</v>
      </c>
      <c r="M60" s="5">
        <v>2.216259</v>
      </c>
      <c r="N60" s="5">
        <v>0.96549</v>
      </c>
      <c r="O60" s="5">
        <v>0.64038</v>
      </c>
    </row>
    <row r="61">
      <c r="A61" s="12" t="str">
        <f>IFERROR(__xludf.DUMMYFUNCTION("""COMPUTED_VALUE"""),"Ian Hummer")</f>
        <v>Ian Hummer</v>
      </c>
      <c r="B61" s="13" t="str">
        <f>IFERROR(__xludf.DUMMYFUNCTION("""COMPUTED_VALUE"""),"AVT")</f>
        <v>AVT</v>
      </c>
      <c r="C61" s="14">
        <f>IFERROR(__xludf.DUMMYFUNCTION("""COMPUTED_VALUE"""),499.0)</f>
        <v>499</v>
      </c>
      <c r="D61" s="15">
        <f>IFERROR(__xludf.DUMMYFUNCTION("""COMPUTED_VALUE"""),0.8422650417941175)</f>
        <v>0.8422650418</v>
      </c>
      <c r="E61" s="15">
        <f>IFERROR(__xludf.DUMMYFUNCTION("""COMPUTED_VALUE"""),-0.18186628092267076)</f>
        <v>-0.1818662809</v>
      </c>
      <c r="F61" s="15">
        <f>IFERROR(__xludf.DUMMYFUNCTION("""COMPUTED_VALUE"""),0.6603987608714468)</f>
        <v>0.6603987609</v>
      </c>
      <c r="G61" s="17">
        <f>IFERROR(__xludf.DUMMYFUNCTION("""COMPUTED_VALUE"""),0.3973858560756648)</f>
        <v>0.3973858561</v>
      </c>
      <c r="H61" s="4"/>
      <c r="I61" s="5" t="s">
        <v>2858</v>
      </c>
      <c r="J61" s="5" t="s">
        <v>2816</v>
      </c>
      <c r="K61" s="24">
        <v>71.0</v>
      </c>
      <c r="L61" s="5">
        <v>1.318931</v>
      </c>
      <c r="M61" s="5">
        <v>-0.449402</v>
      </c>
      <c r="N61" s="5">
        <v>0.869529</v>
      </c>
      <c r="O61" s="5">
        <v>0.061861</v>
      </c>
    </row>
    <row r="62">
      <c r="A62" s="18" t="str">
        <f>IFERROR(__xludf.DUMMYFUNCTION("""COMPUTED_VALUE"""),"Kostas Kaimakoglou")</f>
        <v>Kostas Kaimakoglou</v>
      </c>
      <c r="B62" s="19" t="str">
        <f>IFERROR(__xludf.DUMMYFUNCTION("""COMPUTED_VALUE"""),"UNI")</f>
        <v>UNI</v>
      </c>
      <c r="C62" s="20">
        <f>IFERROR(__xludf.DUMMYFUNCTION("""COMPUTED_VALUE"""),61.6)</f>
        <v>61.6</v>
      </c>
      <c r="D62" s="21">
        <f>IFERROR(__xludf.DUMMYFUNCTION("""COMPUTED_VALUE"""),0.16431549163136583)</f>
        <v>0.1643154916</v>
      </c>
      <c r="E62" s="21">
        <f>IFERROR(__xludf.DUMMYFUNCTION("""COMPUTED_VALUE"""),0.4470030479802175)</f>
        <v>0.447003048</v>
      </c>
      <c r="F62" s="21">
        <f>IFERROR(__xludf.DUMMYFUNCTION("""COMPUTED_VALUE"""),0.6113185396115833)</f>
        <v>0.6113185396</v>
      </c>
      <c r="G62" s="23">
        <f>IFERROR(__xludf.DUMMYFUNCTION("""COMPUTED_VALUE"""),0.04698217116274619)</f>
        <v>0.04698217116</v>
      </c>
      <c r="H62" s="4"/>
      <c r="I62" s="5" t="s">
        <v>2859</v>
      </c>
      <c r="J62" s="5" t="s">
        <v>22</v>
      </c>
      <c r="K62" s="24">
        <v>62.0</v>
      </c>
      <c r="L62" s="5">
        <v>0.611897</v>
      </c>
      <c r="M62" s="5">
        <v>0.171915</v>
      </c>
      <c r="N62" s="5">
        <v>0.783812</v>
      </c>
      <c r="O62" s="5">
        <v>0.050075</v>
      </c>
    </row>
    <row r="63">
      <c r="A63" s="12" t="str">
        <f>IFERROR(__xludf.DUMMYFUNCTION("""COMPUTED_VALUE"""),"Demonte Harper")</f>
        <v>Demonte Harper</v>
      </c>
      <c r="B63" s="13" t="str">
        <f>IFERROR(__xludf.DUMMYFUNCTION("""COMPUTED_VALUE"""),"ZEN")</f>
        <v>ZEN</v>
      </c>
      <c r="C63" s="14">
        <f>IFERROR(__xludf.DUMMYFUNCTION("""COMPUTED_VALUE"""),582.8)</f>
        <v>582.8</v>
      </c>
      <c r="D63" s="15">
        <f>IFERROR(__xludf.DUMMYFUNCTION("""COMPUTED_VALUE"""),0.2339071079868737)</f>
        <v>0.233907108</v>
      </c>
      <c r="E63" s="15">
        <f>IFERROR(__xludf.DUMMYFUNCTION("""COMPUTED_VALUE"""),0.3171037391775085)</f>
        <v>0.3171037392</v>
      </c>
      <c r="F63" s="15">
        <f>IFERROR(__xludf.DUMMYFUNCTION("""COMPUTED_VALUE"""),0.5510108471643822)</f>
        <v>0.5510108472</v>
      </c>
      <c r="G63" s="17">
        <f>IFERROR(__xludf.DUMMYFUNCTION("""COMPUTED_VALUE"""),0.45331304712766823)</f>
        <v>0.4533130471</v>
      </c>
      <c r="H63" s="4"/>
      <c r="I63" s="5" t="s">
        <v>407</v>
      </c>
      <c r="J63" s="5" t="s">
        <v>12</v>
      </c>
      <c r="K63" s="24">
        <v>197.0</v>
      </c>
      <c r="L63" s="5">
        <v>0.526171</v>
      </c>
      <c r="M63" s="5">
        <v>0.104798</v>
      </c>
      <c r="N63" s="5">
        <v>0.630969</v>
      </c>
      <c r="O63" s="5">
        <v>0.157701</v>
      </c>
    </row>
    <row r="64">
      <c r="A64" s="18" t="str">
        <f>IFERROR(__xludf.DUMMYFUNCTION("""COMPUTED_VALUE"""),"Sergey Karasev")</f>
        <v>Sergey Karasev</v>
      </c>
      <c r="B64" s="19" t="str">
        <f>IFERROR(__xludf.DUMMYFUNCTION("""COMPUTED_VALUE"""),"ZEN")</f>
        <v>ZEN</v>
      </c>
      <c r="C64" s="20">
        <f>IFERROR(__xludf.DUMMYFUNCTION("""COMPUTED_VALUE"""),663.9)</f>
        <v>663.9</v>
      </c>
      <c r="D64" s="21">
        <f>IFERROR(__xludf.DUMMYFUNCTION("""COMPUTED_VALUE"""),-0.11797164578027788)</f>
        <v>-0.1179716458</v>
      </c>
      <c r="E64" s="21">
        <f>IFERROR(__xludf.DUMMYFUNCTION("""COMPUTED_VALUE"""),0.6618594961836993)</f>
        <v>0.6618594962</v>
      </c>
      <c r="F64" s="21">
        <f>IFERROR(__xludf.DUMMYFUNCTION("""COMPUTED_VALUE"""),0.5438878504034215)</f>
        <v>0.5438878504</v>
      </c>
      <c r="G64" s="23">
        <f>IFERROR(__xludf.DUMMYFUNCTION("""COMPUTED_VALUE"""),0.514952297805764)</f>
        <v>0.5149522978</v>
      </c>
      <c r="H64" s="4"/>
      <c r="I64" s="5" t="s">
        <v>2860</v>
      </c>
      <c r="J64" s="5" t="s">
        <v>2816</v>
      </c>
      <c r="K64" s="24">
        <v>36.0</v>
      </c>
      <c r="L64" s="5">
        <v>0.602198</v>
      </c>
      <c r="M64" s="5">
        <v>0.02185</v>
      </c>
      <c r="N64" s="5">
        <v>0.624048</v>
      </c>
      <c r="O64" s="5">
        <v>0.029045</v>
      </c>
    </row>
    <row r="65">
      <c r="A65" s="12" t="str">
        <f>IFERROR(__xludf.DUMMYFUNCTION("""COMPUTED_VALUE"""),"Stanislav Ilnitskiy")</f>
        <v>Stanislav Ilnitskiy</v>
      </c>
      <c r="B65" s="13" t="str">
        <f>IFERROR(__xludf.DUMMYFUNCTION("""COMPUTED_VALUE"""),"LOK")</f>
        <v>LOK</v>
      </c>
      <c r="C65" s="14">
        <f>IFERROR(__xludf.DUMMYFUNCTION("""COMPUTED_VALUE"""),298.5)</f>
        <v>298.5</v>
      </c>
      <c r="D65" s="15">
        <f>IFERROR(__xludf.DUMMYFUNCTION("""COMPUTED_VALUE"""),-1.2531116031712264)</f>
        <v>-1.253111603</v>
      </c>
      <c r="E65" s="15">
        <f>IFERROR(__xludf.DUMMYFUNCTION("""COMPUTED_VALUE"""),1.754533379540712)</f>
        <v>1.75453338</v>
      </c>
      <c r="F65" s="15">
        <f>IFERROR(__xludf.DUMMYFUNCTION("""COMPUTED_VALUE"""),0.5014217763694856)</f>
        <v>0.5014217764</v>
      </c>
      <c r="G65" s="17">
        <f>IFERROR(__xludf.DUMMYFUNCTION("""COMPUTED_VALUE"""),0.2255561513386649)</f>
        <v>0.2255561513</v>
      </c>
      <c r="H65" s="4"/>
      <c r="I65" s="5" t="s">
        <v>2861</v>
      </c>
      <c r="J65" s="5" t="s">
        <v>2785</v>
      </c>
      <c r="K65" s="24">
        <v>356.0</v>
      </c>
      <c r="L65" s="5">
        <v>-1.250122</v>
      </c>
      <c r="M65" s="5">
        <v>1.811765</v>
      </c>
      <c r="N65" s="5">
        <v>0.561643</v>
      </c>
      <c r="O65" s="5">
        <v>0.275583</v>
      </c>
    </row>
    <row r="66">
      <c r="A66" s="18" t="str">
        <f>IFERROR(__xludf.DUMMYFUNCTION("""COMPUTED_VALUE"""),"Andrei Desiatnikov")</f>
        <v>Andrei Desiatnikov</v>
      </c>
      <c r="B66" s="19" t="str">
        <f>IFERROR(__xludf.DUMMYFUNCTION("""COMPUTED_VALUE"""),"ZEN")</f>
        <v>ZEN</v>
      </c>
      <c r="C66" s="20">
        <f>IFERROR(__xludf.DUMMYFUNCTION("""COMPUTED_VALUE"""),52.8)</f>
        <v>52.8</v>
      </c>
      <c r="D66" s="21">
        <f>IFERROR(__xludf.DUMMYFUNCTION("""COMPUTED_VALUE"""),0.24900579597408495)</f>
        <v>0.249005796</v>
      </c>
      <c r="E66" s="21">
        <f>IFERROR(__xludf.DUMMYFUNCTION("""COMPUTED_VALUE"""),0.11286800233576472)</f>
        <v>0.1128680023</v>
      </c>
      <c r="F66" s="21">
        <f>IFERROR(__xludf.DUMMYFUNCTION("""COMPUTED_VALUE"""),0.36187379830984967)</f>
        <v>0.3618737983</v>
      </c>
      <c r="G66" s="23">
        <f>IFERROR(__xludf.DUMMYFUNCTION("""COMPUTED_VALUE"""),0.03802392821908218)</f>
        <v>0.03802392822</v>
      </c>
      <c r="H66" s="4"/>
      <c r="I66" s="5" t="s">
        <v>2862</v>
      </c>
      <c r="J66" s="5" t="s">
        <v>2822</v>
      </c>
      <c r="K66" s="24">
        <v>467.0</v>
      </c>
      <c r="L66" s="5">
        <v>0.412825</v>
      </c>
      <c r="M66" s="5">
        <v>0.046024</v>
      </c>
      <c r="N66" s="5">
        <v>0.458849</v>
      </c>
      <c r="O66" s="5">
        <v>0.342882</v>
      </c>
    </row>
    <row r="67">
      <c r="A67" s="12" t="str">
        <f>IFERROR(__xludf.DUMMYFUNCTION("""COMPUTED_VALUE"""),"Octavius Ellis")</f>
        <v>Octavius Ellis</v>
      </c>
      <c r="B67" s="13" t="str">
        <f>IFERROR(__xludf.DUMMYFUNCTION("""COMPUTED_VALUE"""),"ENI")</f>
        <v>ENI</v>
      </c>
      <c r="C67" s="14">
        <f>IFERROR(__xludf.DUMMYFUNCTION("""COMPUTED_VALUE"""),91.6)</f>
        <v>91.6</v>
      </c>
      <c r="D67" s="15">
        <f>IFERROR(__xludf.DUMMYFUNCTION("""COMPUTED_VALUE"""),1.1704017362546408)</f>
        <v>1.170401736</v>
      </c>
      <c r="E67" s="15">
        <f>IFERROR(__xludf.DUMMYFUNCTION("""COMPUTED_VALUE"""),-0.8201898900500619)</f>
        <v>-0.8201898901</v>
      </c>
      <c r="F67" s="15">
        <f>IFERROR(__xludf.DUMMYFUNCTION("""COMPUTED_VALUE"""),0.35021184620457896)</f>
        <v>0.3502118462</v>
      </c>
      <c r="G67" s="17">
        <f>IFERROR(__xludf.DUMMYFUNCTION("""COMPUTED_VALUE"""),0.07085988121271171)</f>
        <v>0.07085988121</v>
      </c>
      <c r="H67" s="4"/>
      <c r="I67" s="5" t="s">
        <v>2863</v>
      </c>
      <c r="J67" s="5" t="s">
        <v>2831</v>
      </c>
      <c r="K67" s="24">
        <v>689.0</v>
      </c>
      <c r="L67" s="5">
        <v>2.568763</v>
      </c>
      <c r="M67" s="5">
        <v>-2.177682</v>
      </c>
      <c r="N67" s="5">
        <v>0.391082</v>
      </c>
      <c r="O67" s="5">
        <v>0.51226</v>
      </c>
    </row>
    <row r="68">
      <c r="A68" s="18" t="str">
        <f>IFERROR(__xludf.DUMMYFUNCTION("""COMPUTED_VALUE"""),"Kaspars Berzins")</f>
        <v>Kaspars Berzins</v>
      </c>
      <c r="B68" s="19" t="str">
        <f>IFERROR(__xludf.DUMMYFUNCTION("""COMPUTED_VALUE"""),"RIG")</f>
        <v>RIG</v>
      </c>
      <c r="C68" s="20">
        <f>IFERROR(__xludf.DUMMYFUNCTION("""COMPUTED_VALUE"""),330.9)</f>
        <v>330.9</v>
      </c>
      <c r="D68" s="21">
        <f>IFERROR(__xludf.DUMMYFUNCTION("""COMPUTED_VALUE"""),3.6902437519360696)</f>
        <v>3.690243752</v>
      </c>
      <c r="E68" s="21">
        <f>IFERROR(__xludf.DUMMYFUNCTION("""COMPUTED_VALUE"""),-3.3887385157933703)</f>
        <v>-3.388738516</v>
      </c>
      <c r="F68" s="21">
        <f>IFERROR(__xludf.DUMMYFUNCTION("""COMPUTED_VALUE"""),0.3015052361426993)</f>
        <v>0.3015052361</v>
      </c>
      <c r="G68" s="23">
        <f>IFERROR(__xludf.DUMMYFUNCTION("""COMPUTED_VALUE"""),0.23111541228807148)</f>
        <v>0.2311154123</v>
      </c>
      <c r="H68" s="4"/>
      <c r="I68" s="5" t="s">
        <v>2864</v>
      </c>
      <c r="J68" s="5" t="s">
        <v>2822</v>
      </c>
      <c r="K68" s="5">
        <v>769.0</v>
      </c>
      <c r="L68" s="5">
        <v>1.380933</v>
      </c>
      <c r="M68" s="5">
        <v>-1.001916</v>
      </c>
      <c r="N68" s="5">
        <v>0.379017</v>
      </c>
      <c r="O68" s="5">
        <v>0.54619</v>
      </c>
    </row>
    <row r="69">
      <c r="A69" s="12" t="str">
        <f>IFERROR(__xludf.DUMMYFUNCTION("""COMPUTED_VALUE"""),"Justin Robinson")</f>
        <v>Justin Robinson</v>
      </c>
      <c r="B69" s="13" t="str">
        <f>IFERROR(__xludf.DUMMYFUNCTION("""COMPUTED_VALUE"""),"AVT")</f>
        <v>AVT</v>
      </c>
      <c r="C69" s="14">
        <f>IFERROR(__xludf.DUMMYFUNCTION("""COMPUTED_VALUE"""),872.0)</f>
        <v>872</v>
      </c>
      <c r="D69" s="15">
        <f>IFERROR(__xludf.DUMMYFUNCTION("""COMPUTED_VALUE"""),1.3229619783790587)</f>
        <v>1.322961978</v>
      </c>
      <c r="E69" s="15">
        <f>IFERROR(__xludf.DUMMYFUNCTION("""COMPUTED_VALUE"""),-1.1166052737578371)</f>
        <v>-1.116605274</v>
      </c>
      <c r="F69" s="15">
        <f>IFERROR(__xludf.DUMMYFUNCTION("""COMPUTED_VALUE"""),0.20635670462122163)</f>
        <v>0.2063567046</v>
      </c>
      <c r="G69" s="17">
        <f>IFERROR(__xludf.DUMMYFUNCTION("""COMPUTED_VALUE"""),0.5759136003537321)</f>
        <v>0.5759136004</v>
      </c>
      <c r="H69" s="4"/>
      <c r="I69" s="5" t="s">
        <v>665</v>
      </c>
      <c r="J69" s="5" t="s">
        <v>2854</v>
      </c>
      <c r="K69" s="24">
        <v>92.0</v>
      </c>
      <c r="L69" s="5">
        <v>0.620686</v>
      </c>
      <c r="M69" s="5">
        <v>-0.27138</v>
      </c>
      <c r="N69" s="5">
        <v>0.349306</v>
      </c>
      <c r="O69" s="5">
        <v>0.070833</v>
      </c>
    </row>
    <row r="70">
      <c r="A70" s="18" t="str">
        <f>IFERROR(__xludf.DUMMYFUNCTION("""COMPUTED_VALUE"""),"Nikita Barinov")</f>
        <v>Nikita Barinov</v>
      </c>
      <c r="B70" s="19" t="str">
        <f>IFERROR(__xludf.DUMMYFUNCTION("""COMPUTED_VALUE"""),"ZEN")</f>
        <v>ZEN</v>
      </c>
      <c r="C70" s="20">
        <f>IFERROR(__xludf.DUMMYFUNCTION("""COMPUTED_VALUE"""),75.3)</f>
        <v>75.3</v>
      </c>
      <c r="D70" s="21">
        <f>IFERROR(__xludf.DUMMYFUNCTION("""COMPUTED_VALUE"""),0.32232519654628283)</f>
        <v>0.3223251965</v>
      </c>
      <c r="E70" s="21">
        <f>IFERROR(__xludf.DUMMYFUNCTION("""COMPUTED_VALUE"""),-0.23484256762455208)</f>
        <v>-0.2348425676</v>
      </c>
      <c r="F70" s="21">
        <f>IFERROR(__xludf.DUMMYFUNCTION("""COMPUTED_VALUE"""),0.08748262892173075)</f>
        <v>0.08748262892</v>
      </c>
      <c r="G70" s="23">
        <f>IFERROR(__xludf.DUMMYFUNCTION("""COMPUTED_VALUE"""),0.047927438322662795)</f>
        <v>0.04792743832</v>
      </c>
      <c r="H70" s="4"/>
      <c r="I70" s="5" t="s">
        <v>2865</v>
      </c>
      <c r="J70" s="5" t="s">
        <v>2851</v>
      </c>
      <c r="K70" s="24">
        <v>274.0</v>
      </c>
      <c r="L70" s="5">
        <v>1.289953</v>
      </c>
      <c r="M70" s="5">
        <v>-1.018789</v>
      </c>
      <c r="N70" s="5">
        <v>0.271164</v>
      </c>
      <c r="O70" s="5">
        <v>0.189014</v>
      </c>
    </row>
    <row r="71">
      <c r="A71" s="12" t="str">
        <f>IFERROR(__xludf.DUMMYFUNCTION("""COMPUTED_VALUE"""),"Ruslan Pateev")</f>
        <v>Ruslan Pateev</v>
      </c>
      <c r="B71" s="13" t="str">
        <f>IFERROR(__xludf.DUMMYFUNCTION("""COMPUTED_VALUE"""),"KHI")</f>
        <v>KHI</v>
      </c>
      <c r="C71" s="14">
        <f>IFERROR(__xludf.DUMMYFUNCTION("""COMPUTED_VALUE"""),40.5)</f>
        <v>40.5</v>
      </c>
      <c r="D71" s="15">
        <f>IFERROR(__xludf.DUMMYFUNCTION("""COMPUTED_VALUE"""),-0.5371942357193468)</f>
        <v>-0.5371942357</v>
      </c>
      <c r="E71" s="15">
        <f>IFERROR(__xludf.DUMMYFUNCTION("""COMPUTED_VALUE"""),0.57729949704085)</f>
        <v>0.577299497</v>
      </c>
      <c r="F71" s="15">
        <f>IFERROR(__xludf.DUMMYFUNCTION("""COMPUTED_VALUE"""),0.04010526132150333)</f>
        <v>0.04010526132</v>
      </c>
      <c r="G71" s="17">
        <f>IFERROR(__xludf.DUMMYFUNCTION("""COMPUTED_VALUE"""),0.024970674657820928)</f>
        <v>0.02497067466</v>
      </c>
      <c r="H71" s="4"/>
      <c r="I71" s="5" t="s">
        <v>2866</v>
      </c>
      <c r="J71" s="5" t="s">
        <v>22</v>
      </c>
      <c r="K71" s="24">
        <v>150.0</v>
      </c>
      <c r="L71" s="5">
        <v>1.294302</v>
      </c>
      <c r="M71" s="5">
        <v>-1.037798</v>
      </c>
      <c r="N71" s="5">
        <v>0.256504</v>
      </c>
      <c r="O71" s="5">
        <v>0.098641</v>
      </c>
    </row>
    <row r="72">
      <c r="A72" s="18" t="str">
        <f>IFERROR(__xludf.DUMMYFUNCTION("""COMPUTED_VALUE"""),"Shayne Whittington")</f>
        <v>Shayne Whittington</v>
      </c>
      <c r="B72" s="19" t="str">
        <f>IFERROR(__xludf.DUMMYFUNCTION("""COMPUTED_VALUE"""),"ZEN")</f>
        <v>ZEN</v>
      </c>
      <c r="C72" s="20">
        <f>IFERROR(__xludf.DUMMYFUNCTION("""COMPUTED_VALUE"""),263.9)</f>
        <v>263.9</v>
      </c>
      <c r="D72" s="21">
        <f>IFERROR(__xludf.DUMMYFUNCTION("""COMPUTED_VALUE"""),-0.08153488638875195)</f>
        <v>-0.08153488639</v>
      </c>
      <c r="E72" s="21">
        <f>IFERROR(__xludf.DUMMYFUNCTION("""COMPUTED_VALUE"""),0.1089735541625399)</f>
        <v>0.1089735542</v>
      </c>
      <c r="F72" s="21">
        <f>IFERROR(__xludf.DUMMYFUNCTION("""COMPUTED_VALUE"""),0.027438667773787954)</f>
        <v>0.02743866777</v>
      </c>
      <c r="G72" s="23">
        <f>IFERROR(__xludf.DUMMYFUNCTION("""COMPUTED_VALUE"""),0.16313738105254294)</f>
        <v>0.1631373811</v>
      </c>
      <c r="H72" s="4"/>
      <c r="I72" s="5" t="s">
        <v>2867</v>
      </c>
      <c r="J72" s="5" t="s">
        <v>2816</v>
      </c>
      <c r="K72" s="24">
        <v>504.0</v>
      </c>
      <c r="L72" s="5">
        <v>0.304936</v>
      </c>
      <c r="M72" s="5">
        <v>-0.133939</v>
      </c>
      <c r="N72" s="5">
        <v>0.170997</v>
      </c>
      <c r="O72" s="5">
        <v>0.333508</v>
      </c>
    </row>
    <row r="73">
      <c r="A73" s="12" t="str">
        <f>IFERROR(__xludf.DUMMYFUNCTION("""COMPUTED_VALUE"""),"Brian Qvale")</f>
        <v>Brian Qvale</v>
      </c>
      <c r="B73" s="13" t="str">
        <f>IFERROR(__xludf.DUMMYFUNCTION("""COMPUTED_VALUE"""),"LOK")</f>
        <v>LOK</v>
      </c>
      <c r="C73" s="14">
        <f>IFERROR(__xludf.DUMMYFUNCTION("""COMPUTED_VALUE"""),386.9)</f>
        <v>386.9</v>
      </c>
      <c r="D73" s="15">
        <f>IFERROR(__xludf.DUMMYFUNCTION("""COMPUTED_VALUE"""),-2.3135754859066306)</f>
        <v>-2.313575486</v>
      </c>
      <c r="E73" s="15">
        <f>IFERROR(__xludf.DUMMYFUNCTION("""COMPUTED_VALUE"""),2.3372623331628506)</f>
        <v>2.337262333</v>
      </c>
      <c r="F73" s="15">
        <f>IFERROR(__xludf.DUMMYFUNCTION("""COMPUTED_VALUE"""),0.023686847256219945)</f>
        <v>0.02368684726</v>
      </c>
      <c r="G73" s="17">
        <f>IFERROR(__xludf.DUMMYFUNCTION("""COMPUTED_VALUE"""),0.23651868329036307)</f>
        <v>0.2365186833</v>
      </c>
      <c r="H73" s="4"/>
      <c r="I73" s="5" t="s">
        <v>2868</v>
      </c>
      <c r="J73" s="5" t="s">
        <v>22</v>
      </c>
      <c r="K73" s="5">
        <v>157.0</v>
      </c>
      <c r="L73" s="5">
        <v>-0.24081</v>
      </c>
      <c r="M73" s="5">
        <v>0.380158</v>
      </c>
      <c r="N73" s="5">
        <v>0.139347</v>
      </c>
      <c r="O73" s="5">
        <v>0.098205</v>
      </c>
    </row>
    <row r="74">
      <c r="A74" s="18" t="str">
        <f>IFERROR(__xludf.DUMMYFUNCTION("""COMPUTED_VALUE"""),"Sergei Tkachenko")</f>
        <v>Sergei Tkachenko</v>
      </c>
      <c r="B74" s="19" t="str">
        <f>IFERROR(__xludf.DUMMYFUNCTION("""COMPUTED_VALUE"""),"PARM")</f>
        <v>PARM</v>
      </c>
      <c r="C74" s="20">
        <f>IFERROR(__xludf.DUMMYFUNCTION("""COMPUTED_VALUE"""),3.2)</f>
        <v>3.2</v>
      </c>
      <c r="D74" s="21">
        <f>IFERROR(__xludf.DUMMYFUNCTION("""COMPUTED_VALUE"""),-0.0740392975107719)</f>
        <v>-0.07403929751</v>
      </c>
      <c r="E74" s="21">
        <f>IFERROR(__xludf.DUMMYFUNCTION("""COMPUTED_VALUE"""),0.09476461285930865)</f>
        <v>0.09476461286</v>
      </c>
      <c r="F74" s="21">
        <f>IFERROR(__xludf.DUMMYFUNCTION("""COMPUTED_VALUE"""),0.020725315348536742)</f>
        <v>0.02072531535</v>
      </c>
      <c r="G74" s="23">
        <f>IFERROR(__xludf.DUMMYFUNCTION("""COMPUTED_VALUE"""),0.0019511152152221227)</f>
        <v>0.001951115215</v>
      </c>
      <c r="H74" s="4"/>
      <c r="I74" s="5" t="s">
        <v>2869</v>
      </c>
      <c r="J74" s="5" t="s">
        <v>2822</v>
      </c>
      <c r="K74" s="24">
        <v>10.0</v>
      </c>
      <c r="L74" s="5">
        <v>0.010393</v>
      </c>
      <c r="M74" s="5">
        <v>0.122617</v>
      </c>
      <c r="N74" s="5">
        <v>0.13301</v>
      </c>
      <c r="O74" s="5">
        <v>0.006243</v>
      </c>
    </row>
    <row r="75">
      <c r="A75" s="12" t="str">
        <f>IFERROR(__xludf.DUMMYFUNCTION("""COMPUTED_VALUE"""),"Ike Udanoh")</f>
        <v>Ike Udanoh</v>
      </c>
      <c r="B75" s="13" t="str">
        <f>IFERROR(__xludf.DUMMYFUNCTION("""COMPUTED_VALUE"""),"AST")</f>
        <v>AST</v>
      </c>
      <c r="C75" s="14">
        <f>IFERROR(__xludf.DUMMYFUNCTION("""COMPUTED_VALUE"""),694.6)</f>
        <v>694.6</v>
      </c>
      <c r="D75" s="15">
        <f>IFERROR(__xludf.DUMMYFUNCTION("""COMPUTED_VALUE"""),-1.7215733578448984)</f>
        <v>-1.721573358</v>
      </c>
      <c r="E75" s="15">
        <f>IFERROR(__xludf.DUMMYFUNCTION("""COMPUTED_VALUE"""),1.7334024771040761)</f>
        <v>1.733402477</v>
      </c>
      <c r="F75" s="15">
        <f>IFERROR(__xludf.DUMMYFUNCTION("""COMPUTED_VALUE"""),0.011829119259177734)</f>
        <v>0.01182911926</v>
      </c>
      <c r="G75" s="17">
        <f>IFERROR(__xludf.DUMMYFUNCTION("""COMPUTED_VALUE"""),0.41744060201790184)</f>
        <v>0.417440602</v>
      </c>
      <c r="H75" s="4"/>
      <c r="I75" s="5" t="s">
        <v>2870</v>
      </c>
      <c r="J75" s="5" t="s">
        <v>51</v>
      </c>
      <c r="K75" s="5">
        <v>41.0</v>
      </c>
      <c r="L75" s="5">
        <v>-0.393045</v>
      </c>
      <c r="M75" s="5">
        <v>0.465712</v>
      </c>
      <c r="N75" s="5">
        <v>0.072666</v>
      </c>
      <c r="O75" s="5">
        <v>0.025486</v>
      </c>
    </row>
    <row r="76">
      <c r="A76" s="18" t="str">
        <f>IFERROR(__xludf.DUMMYFUNCTION("""COMPUTED_VALUE"""),"Madis Soodla")</f>
        <v>Madis Soodla</v>
      </c>
      <c r="B76" s="19" t="str">
        <f>IFERROR(__xludf.DUMMYFUNCTION("""COMPUTED_VALUE"""),"KCT")</f>
        <v>KCT</v>
      </c>
      <c r="C76" s="20">
        <f>IFERROR(__xludf.DUMMYFUNCTION("""COMPUTED_VALUE"""),0.6)</f>
        <v>0.6</v>
      </c>
      <c r="D76" s="21">
        <f>IFERROR(__xludf.DUMMYFUNCTION("""COMPUTED_VALUE"""),-0.012058813077174862)</f>
        <v>-0.01205881308</v>
      </c>
      <c r="E76" s="21">
        <f>IFERROR(__xludf.DUMMYFUNCTION("""COMPUTED_VALUE"""),-0.0028332222606384707)</f>
        <v>-0.002833222261</v>
      </c>
      <c r="F76" s="21">
        <f>IFERROR(__xludf.DUMMYFUNCTION("""COMPUTED_VALUE"""),-0.014892035337813333)</f>
        <v>-0.01489203534</v>
      </c>
      <c r="G76" s="23">
        <f>IFERROR(__xludf.DUMMYFUNCTION("""COMPUTED_VALUE"""),3.5916373944122425E-4)</f>
        <v>0.0003591637394</v>
      </c>
      <c r="H76" s="4"/>
      <c r="I76" s="5" t="s">
        <v>2871</v>
      </c>
      <c r="J76" s="5" t="s">
        <v>2816</v>
      </c>
      <c r="K76" s="24">
        <v>75.0</v>
      </c>
      <c r="L76" s="5">
        <v>0.371835</v>
      </c>
      <c r="M76" s="5">
        <v>-0.315903</v>
      </c>
      <c r="N76" s="5">
        <v>0.055932</v>
      </c>
      <c r="O76" s="5">
        <v>0.047206</v>
      </c>
    </row>
    <row r="77">
      <c r="A77" s="12" t="str">
        <f>IFERROR(__xludf.DUMMYFUNCTION("""COMPUTED_VALUE"""),"Maxim Proshchenko")</f>
        <v>Maxim Proshchenko</v>
      </c>
      <c r="B77" s="13" t="str">
        <f>IFERROR(__xludf.DUMMYFUNCTION("""COMPUTED_VALUE"""),"KHI")</f>
        <v>KHI</v>
      </c>
      <c r="C77" s="14">
        <f>IFERROR(__xludf.DUMMYFUNCTION("""COMPUTED_VALUE"""),2.6)</f>
        <v>2.6</v>
      </c>
      <c r="D77" s="15">
        <f>IFERROR(__xludf.DUMMYFUNCTION("""COMPUTED_VALUE"""),-0.060026764436308055)</f>
        <v>-0.06002676444</v>
      </c>
      <c r="E77" s="15">
        <f>IFERROR(__xludf.DUMMYFUNCTION("""COMPUTED_VALUE"""),0.010223625393394935)</f>
        <v>0.01022362539</v>
      </c>
      <c r="F77" s="15">
        <f>IFERROR(__xludf.DUMMYFUNCTION("""COMPUTED_VALUE"""),-0.04980313904291312)</f>
        <v>-0.04980313904</v>
      </c>
      <c r="G77" s="17">
        <f>IFERROR(__xludf.DUMMYFUNCTION("""COMPUTED_VALUE"""),0.0015324082387220307)</f>
        <v>0.001532408239</v>
      </c>
      <c r="H77" s="4"/>
      <c r="I77" s="5" t="s">
        <v>2872</v>
      </c>
      <c r="J77" s="5" t="s">
        <v>2841</v>
      </c>
      <c r="K77" s="24">
        <v>3.0</v>
      </c>
      <c r="L77" s="5">
        <v>-0.085433</v>
      </c>
      <c r="M77" s="5">
        <v>0.106151</v>
      </c>
      <c r="N77" s="5">
        <v>0.020718</v>
      </c>
      <c r="O77" s="5">
        <v>0.001951</v>
      </c>
    </row>
    <row r="78">
      <c r="A78" s="18" t="str">
        <f>IFERROR(__xludf.DUMMYFUNCTION("""COMPUTED_VALUE"""),"Gleb Sheiko")</f>
        <v>Gleb Sheiko</v>
      </c>
      <c r="B78" s="19" t="str">
        <f>IFERROR(__xludf.DUMMYFUNCTION("""COMPUTED_VALUE"""),"PARM")</f>
        <v>PARM</v>
      </c>
      <c r="C78" s="20">
        <f>IFERROR(__xludf.DUMMYFUNCTION("""COMPUTED_VALUE"""),5.8)</f>
        <v>5.8</v>
      </c>
      <c r="D78" s="21">
        <f>IFERROR(__xludf.DUMMYFUNCTION("""COMPUTED_VALUE"""),0.17110929074597586)</f>
        <v>0.1711092907</v>
      </c>
      <c r="E78" s="21">
        <f>IFERROR(__xludf.DUMMYFUNCTION("""COMPUTED_VALUE"""),-0.2258566417041878)</f>
        <v>-0.2258566417</v>
      </c>
      <c r="F78" s="21">
        <f>IFERROR(__xludf.DUMMYFUNCTION("""COMPUTED_VALUE"""),-0.05474735095821193)</f>
        <v>-0.05474735096</v>
      </c>
      <c r="G78" s="23">
        <f>IFERROR(__xludf.DUMMYFUNCTION("""COMPUTED_VALUE"""),0.003404314417231794)</f>
        <v>0.003404314417</v>
      </c>
      <c r="H78" s="4"/>
      <c r="I78" s="5" t="s">
        <v>2873</v>
      </c>
      <c r="J78" s="5" t="s">
        <v>2838</v>
      </c>
      <c r="K78" s="24">
        <v>695.0</v>
      </c>
      <c r="L78" s="5">
        <v>-3.381017</v>
      </c>
      <c r="M78" s="5">
        <v>3.393086</v>
      </c>
      <c r="N78" s="5">
        <v>0.012069</v>
      </c>
      <c r="O78" s="5">
        <v>0.41749</v>
      </c>
    </row>
    <row r="79">
      <c r="A79" s="12" t="str">
        <f>IFERROR(__xludf.DUMMYFUNCTION("""COMPUTED_VALUE"""),"Sergey Rozhkov")</f>
        <v>Sergey Rozhkov</v>
      </c>
      <c r="B79" s="13" t="str">
        <f>IFERROR(__xludf.DUMMYFUNCTION("""COMPUTED_VALUE"""),"AVT")</f>
        <v>AVT</v>
      </c>
      <c r="C79" s="14">
        <f>IFERROR(__xludf.DUMMYFUNCTION("""COMPUTED_VALUE"""),3.9)</f>
        <v>3.9</v>
      </c>
      <c r="D79" s="15">
        <f>IFERROR(__xludf.DUMMYFUNCTION("""COMPUTED_VALUE"""),-0.19763369709816264)</f>
        <v>-0.1976336971</v>
      </c>
      <c r="E79" s="15">
        <f>IFERROR(__xludf.DUMMYFUNCTION("""COMPUTED_VALUE"""),0.13934531738636244)</f>
        <v>0.1393453174</v>
      </c>
      <c r="F79" s="15">
        <f>IFERROR(__xludf.DUMMYFUNCTION("""COMPUTED_VALUE"""),-0.058288379711800196)</f>
        <v>-0.05828837971</v>
      </c>
      <c r="G79" s="17">
        <f>IFERROR(__xludf.DUMMYFUNCTION("""COMPUTED_VALUE"""),0.002266806554091975)</f>
        <v>0.002266806554</v>
      </c>
      <c r="H79" s="4"/>
      <c r="I79" s="5" t="s">
        <v>2874</v>
      </c>
      <c r="J79" s="5" t="s">
        <v>2875</v>
      </c>
      <c r="K79" s="5">
        <v>1.0</v>
      </c>
      <c r="L79" s="5">
        <v>-0.012069</v>
      </c>
      <c r="M79" s="5">
        <v>-0.002832</v>
      </c>
      <c r="N79" s="5">
        <v>-0.014901</v>
      </c>
      <c r="O79" s="5">
        <v>3.59E-4</v>
      </c>
    </row>
    <row r="80">
      <c r="A80" s="18" t="str">
        <f>IFERROR(__xludf.DUMMYFUNCTION("""COMPUTED_VALUE"""),"Evgeny Voronov")</f>
        <v>Evgeny Voronov</v>
      </c>
      <c r="B80" s="19" t="str">
        <f>IFERROR(__xludf.DUMMYFUNCTION("""COMPUTED_VALUE"""),"ZEN")</f>
        <v>ZEN</v>
      </c>
      <c r="C80" s="20">
        <f>IFERROR(__xludf.DUMMYFUNCTION("""COMPUTED_VALUE"""),480.6)</f>
        <v>480.6</v>
      </c>
      <c r="D80" s="21">
        <f>IFERROR(__xludf.DUMMYFUNCTION("""COMPUTED_VALUE"""),-0.575562895146897)</f>
        <v>-0.5755628951</v>
      </c>
      <c r="E80" s="21">
        <f>IFERROR(__xludf.DUMMYFUNCTION("""COMPUTED_VALUE"""),0.45951223590661927)</f>
        <v>0.4595122359</v>
      </c>
      <c r="F80" s="21">
        <f>IFERROR(__xludf.DUMMYFUNCTION("""COMPUTED_VALUE"""),-0.11605065924027769)</f>
        <v>-0.1160506592</v>
      </c>
      <c r="G80" s="23">
        <f>IFERROR(__xludf.DUMMYFUNCTION("""COMPUTED_VALUE"""),0.2760700904506324)</f>
        <v>0.2760700905</v>
      </c>
      <c r="H80" s="4"/>
      <c r="I80" s="5" t="s">
        <v>2876</v>
      </c>
      <c r="J80" s="5" t="s">
        <v>51</v>
      </c>
      <c r="K80" s="24">
        <v>3.0</v>
      </c>
      <c r="L80" s="5">
        <v>-0.050983</v>
      </c>
      <c r="M80" s="5">
        <v>0.003062</v>
      </c>
      <c r="N80" s="5">
        <v>-0.047921</v>
      </c>
      <c r="O80" s="5">
        <v>0.001541</v>
      </c>
    </row>
    <row r="81">
      <c r="A81" s="12" t="str">
        <f>IFERROR(__xludf.DUMMYFUNCTION("""COMPUTED_VALUE"""),"Matthias Tass")</f>
        <v>Matthias Tass</v>
      </c>
      <c r="B81" s="13" t="str">
        <f>IFERROR(__xludf.DUMMYFUNCTION("""COMPUTED_VALUE"""),"KCT")</f>
        <v>KCT</v>
      </c>
      <c r="C81" s="14">
        <f>IFERROR(__xludf.DUMMYFUNCTION("""COMPUTED_VALUE"""),2.1)</f>
        <v>2.1</v>
      </c>
      <c r="D81" s="15">
        <f>IFERROR(__xludf.DUMMYFUNCTION("""COMPUTED_VALUE"""),-0.09781615983810495)</f>
        <v>-0.09781615984</v>
      </c>
      <c r="E81" s="15">
        <f>IFERROR(__xludf.DUMMYFUNCTION("""COMPUTED_VALUE"""),-0.0324467056550541)</f>
        <v>-0.03244670566</v>
      </c>
      <c r="F81" s="15">
        <f>IFERROR(__xludf.DUMMYFUNCTION("""COMPUTED_VALUE"""),-0.13026286549315905)</f>
        <v>-0.1302628655</v>
      </c>
      <c r="G81" s="17">
        <f>IFERROR(__xludf.DUMMYFUNCTION("""COMPUTED_VALUE"""),0.001184014308211978)</f>
        <v>0.001184014308</v>
      </c>
      <c r="H81" s="4"/>
      <c r="I81" s="5" t="s">
        <v>2877</v>
      </c>
      <c r="J81" s="5" t="s">
        <v>2822</v>
      </c>
      <c r="K81" s="24">
        <v>4.0</v>
      </c>
      <c r="L81" s="5">
        <v>-0.195342</v>
      </c>
      <c r="M81" s="5">
        <v>0.14298</v>
      </c>
      <c r="N81" s="5">
        <v>-0.052362</v>
      </c>
      <c r="O81" s="5">
        <v>0.002269</v>
      </c>
    </row>
    <row r="82">
      <c r="A82" s="18" t="str">
        <f>IFERROR(__xludf.DUMMYFUNCTION("""COMPUTED_VALUE"""),"Vadim Sherbak")</f>
        <v>Vadim Sherbak</v>
      </c>
      <c r="B82" s="19" t="str">
        <f>IFERROR(__xludf.DUMMYFUNCTION("""COMPUTED_VALUE"""),"AST")</f>
        <v>AST</v>
      </c>
      <c r="C82" s="20">
        <f>IFERROR(__xludf.DUMMYFUNCTION("""COMPUTED_VALUE"""),2.3)</f>
        <v>2.3</v>
      </c>
      <c r="D82" s="21">
        <f>IFERROR(__xludf.DUMMYFUNCTION("""COMPUTED_VALUE"""),-0.11381296235985851)</f>
        <v>-0.1138129624</v>
      </c>
      <c r="E82" s="21">
        <f>IFERROR(__xludf.DUMMYFUNCTION("""COMPUTED_VALUE"""),-0.03622301163004445)</f>
        <v>-0.03622301163</v>
      </c>
      <c r="F82" s="21">
        <f>IFERROR(__xludf.DUMMYFUNCTION("""COMPUTED_VALUE"""),-0.15003597398990295)</f>
        <v>-0.150035974</v>
      </c>
      <c r="G82" s="23">
        <f>IFERROR(__xludf.DUMMYFUNCTION("""COMPUTED_VALUE"""),0.0012710421084543785)</f>
        <v>0.001271042108</v>
      </c>
      <c r="H82" s="4"/>
      <c r="I82" s="5" t="s">
        <v>2878</v>
      </c>
      <c r="J82" s="5" t="s">
        <v>2841</v>
      </c>
      <c r="K82" s="5">
        <v>6.0</v>
      </c>
      <c r="L82" s="5">
        <v>0.15041</v>
      </c>
      <c r="M82" s="5">
        <v>-0.20521</v>
      </c>
      <c r="N82" s="5">
        <v>-0.0548</v>
      </c>
      <c r="O82" s="5">
        <v>0.003404</v>
      </c>
    </row>
    <row r="83">
      <c r="A83" s="12" t="str">
        <f>IFERROR(__xludf.DUMMYFUNCTION("""COMPUTED_VALUE"""),"Kirill Koonovalov")</f>
        <v>Kirill Koonovalov</v>
      </c>
      <c r="B83" s="13" t="str">
        <f>IFERROR(__xludf.DUMMYFUNCTION("""COMPUTED_VALUE"""),"ZEN")</f>
        <v>ZEN</v>
      </c>
      <c r="C83" s="14">
        <f>IFERROR(__xludf.DUMMYFUNCTION("""COMPUTED_VALUE"""),4.3)</f>
        <v>4.3</v>
      </c>
      <c r="D83" s="15">
        <f>IFERROR(__xludf.DUMMYFUNCTION("""COMPUTED_VALUE"""),-0.14863827503738325)</f>
        <v>-0.148638275</v>
      </c>
      <c r="E83" s="15">
        <f>IFERROR(__xludf.DUMMYFUNCTION("""COMPUTED_VALUE"""),-0.009256563307502214)</f>
        <v>-0.009256563308</v>
      </c>
      <c r="F83" s="15">
        <f>IFERROR(__xludf.DUMMYFUNCTION("""COMPUTED_VALUE"""),-0.15789483834488546)</f>
        <v>-0.1578948383</v>
      </c>
      <c r="G83" s="17">
        <f>IFERROR(__xludf.DUMMYFUNCTION("""COMPUTED_VALUE"""),0.0024151785651805925)</f>
        <v>0.002415178565</v>
      </c>
      <c r="H83" s="4"/>
      <c r="I83" s="5" t="s">
        <v>2879</v>
      </c>
      <c r="J83" s="5" t="s">
        <v>2831</v>
      </c>
      <c r="K83" s="5">
        <v>531.0</v>
      </c>
      <c r="L83" s="5">
        <v>-0.646706</v>
      </c>
      <c r="M83" s="5">
        <v>0.582199</v>
      </c>
      <c r="N83" s="5">
        <v>-0.064507</v>
      </c>
      <c r="O83" s="5">
        <v>0.319355</v>
      </c>
    </row>
    <row r="84">
      <c r="A84" s="18" t="str">
        <f>IFERROR(__xludf.DUMMYFUNCTION("""COMPUTED_VALUE"""),"Aleksandr Platunov")</f>
        <v>Aleksandr Platunov</v>
      </c>
      <c r="B84" s="19" t="str">
        <f>IFERROR(__xludf.DUMMYFUNCTION("""COMPUTED_VALUE"""),"PARM")</f>
        <v>PARM</v>
      </c>
      <c r="C84" s="20">
        <f>IFERROR(__xludf.DUMMYFUNCTION("""COMPUTED_VALUE"""),15.5)</f>
        <v>15.5</v>
      </c>
      <c r="D84" s="21">
        <f>IFERROR(__xludf.DUMMYFUNCTION("""COMPUTED_VALUE"""),0.09577128657343795)</f>
        <v>0.09577128657</v>
      </c>
      <c r="E84" s="21">
        <f>IFERROR(__xludf.DUMMYFUNCTION("""COMPUTED_VALUE"""),-0.2565083642555336)</f>
        <v>-0.2565083643</v>
      </c>
      <c r="F84" s="21">
        <f>IFERROR(__xludf.DUMMYFUNCTION("""COMPUTED_VALUE"""),-0.1607370776820956)</f>
        <v>-0.1607370777</v>
      </c>
      <c r="G84" s="23">
        <f>IFERROR(__xludf.DUMMYFUNCTION("""COMPUTED_VALUE"""),0.008602034285922308)</f>
        <v>0.008602034286</v>
      </c>
      <c r="H84" s="4"/>
      <c r="I84" s="5" t="s">
        <v>2880</v>
      </c>
      <c r="J84" s="5" t="s">
        <v>2816</v>
      </c>
      <c r="K84" s="5">
        <v>595.0</v>
      </c>
      <c r="L84" s="5">
        <v>-0.198677</v>
      </c>
      <c r="M84" s="5">
        <v>0.08204</v>
      </c>
      <c r="N84" s="5">
        <v>-0.116637</v>
      </c>
      <c r="O84" s="5">
        <v>0.341524</v>
      </c>
    </row>
    <row r="85">
      <c r="A85" s="12" t="str">
        <f>IFERROR(__xludf.DUMMYFUNCTION("""COMPUTED_VALUE"""),"Aleksandr Bille")</f>
        <v>Aleksandr Bille</v>
      </c>
      <c r="B85" s="13" t="str">
        <f>IFERROR(__xludf.DUMMYFUNCTION("""COMPUTED_VALUE"""),"UNI")</f>
        <v>UNI</v>
      </c>
      <c r="C85" s="14">
        <f>IFERROR(__xludf.DUMMYFUNCTION("""COMPUTED_VALUE"""),7.3)</f>
        <v>7.3</v>
      </c>
      <c r="D85" s="15">
        <f>IFERROR(__xludf.DUMMYFUNCTION("""COMPUTED_VALUE"""),-0.06869840390192729)</f>
        <v>-0.0686984039</v>
      </c>
      <c r="E85" s="15">
        <f>IFERROR(__xludf.DUMMYFUNCTION("""COMPUTED_VALUE"""),-0.09915160066000676)</f>
        <v>-0.09915160066</v>
      </c>
      <c r="F85" s="15">
        <f>IFERROR(__xludf.DUMMYFUNCTION("""COMPUTED_VALUE"""),-0.16785000456193405)</f>
        <v>-0.1678500046</v>
      </c>
      <c r="G85" s="17">
        <f>IFERROR(__xludf.DUMMYFUNCTION("""COMPUTED_VALUE"""),0.003906397239773149)</f>
        <v>0.00390639724</v>
      </c>
      <c r="H85" s="4"/>
      <c r="I85" s="5" t="s">
        <v>2881</v>
      </c>
      <c r="J85" s="5" t="s">
        <v>2831</v>
      </c>
      <c r="K85" s="5">
        <v>90.0</v>
      </c>
      <c r="L85" s="5">
        <v>-0.303721</v>
      </c>
      <c r="M85" s="5">
        <v>0.184617</v>
      </c>
      <c r="N85" s="5">
        <v>-0.119104</v>
      </c>
      <c r="O85" s="5">
        <v>0.052445</v>
      </c>
    </row>
    <row r="86">
      <c r="A86" s="18" t="str">
        <f>IFERROR(__xludf.DUMMYFUNCTION("""COMPUTED_VALUE"""),"Anton Vashkevich")</f>
        <v>Anton Vashkevich</v>
      </c>
      <c r="B86" s="19" t="str">
        <f>IFERROR(__xludf.DUMMYFUNCTION("""COMPUTED_VALUE"""),"MIN")</f>
        <v>MIN</v>
      </c>
      <c r="C86" s="20">
        <f>IFERROR(__xludf.DUMMYFUNCTION("""COMPUTED_VALUE"""),10.6)</f>
        <v>10.6</v>
      </c>
      <c r="D86" s="21">
        <f>IFERROR(__xludf.DUMMYFUNCTION("""COMPUTED_VALUE"""),-0.20718877873690725)</f>
        <v>-0.2071887787</v>
      </c>
      <c r="E86" s="21">
        <f>IFERROR(__xludf.DUMMYFUNCTION("""COMPUTED_VALUE"""),0.014068154043566261)</f>
        <v>0.01406815404</v>
      </c>
      <c r="F86" s="21">
        <f>IFERROR(__xludf.DUMMYFUNCTION("""COMPUTED_VALUE"""),-0.193120624693341)</f>
        <v>-0.1931206247</v>
      </c>
      <c r="G86" s="23">
        <f>IFERROR(__xludf.DUMMYFUNCTION("""COMPUTED_VALUE"""),0.005779344598042439)</f>
        <v>0.005779344598</v>
      </c>
      <c r="H86" s="4"/>
      <c r="I86" s="5" t="s">
        <v>2882</v>
      </c>
      <c r="J86" s="5" t="s">
        <v>2875</v>
      </c>
      <c r="K86" s="24">
        <v>2.0</v>
      </c>
      <c r="L86" s="5">
        <v>-0.097852</v>
      </c>
      <c r="M86" s="5">
        <v>-0.032444</v>
      </c>
      <c r="N86" s="5">
        <v>-0.130296</v>
      </c>
      <c r="O86" s="5">
        <v>0.001184</v>
      </c>
    </row>
    <row r="87">
      <c r="A87" s="12" t="str">
        <f>IFERROR(__xludf.DUMMYFUNCTION("""COMPUTED_VALUE"""),"Erik Keedus")</f>
        <v>Erik Keedus</v>
      </c>
      <c r="B87" s="13" t="str">
        <f>IFERROR(__xludf.DUMMYFUNCTION("""COMPUTED_VALUE"""),"KCT")</f>
        <v>KCT</v>
      </c>
      <c r="C87" s="14">
        <f>IFERROR(__xludf.DUMMYFUNCTION("""COMPUTED_VALUE"""),413.4)</f>
        <v>413.4</v>
      </c>
      <c r="D87" s="15">
        <f>IFERROR(__xludf.DUMMYFUNCTION("""COMPUTED_VALUE"""),1.6459034731445223)</f>
        <v>1.645903473</v>
      </c>
      <c r="E87" s="15">
        <f>IFERROR(__xludf.DUMMYFUNCTION("""COMPUTED_VALUE"""),-1.8394746826194743)</f>
        <v>-1.839474683</v>
      </c>
      <c r="F87" s="15">
        <f>IFERROR(__xludf.DUMMYFUNCTION("""COMPUTED_VALUE"""),-0.193571209474952)</f>
        <v>-0.1935712095</v>
      </c>
      <c r="G87" s="17">
        <f>IFERROR(__xludf.DUMMYFUNCTION("""COMPUTED_VALUE"""),0.22518964744052347)</f>
        <v>0.2251896474</v>
      </c>
      <c r="H87" s="4"/>
      <c r="I87" s="5" t="s">
        <v>2883</v>
      </c>
      <c r="J87" s="5" t="s">
        <v>22</v>
      </c>
      <c r="K87" s="5">
        <v>7.0</v>
      </c>
      <c r="L87" s="5">
        <v>-0.016162</v>
      </c>
      <c r="M87" s="5">
        <v>-0.131751</v>
      </c>
      <c r="N87" s="5">
        <v>-0.147913</v>
      </c>
      <c r="O87" s="5">
        <v>0.003948</v>
      </c>
    </row>
    <row r="88">
      <c r="A88" s="18" t="str">
        <f>IFERROR(__xludf.DUMMYFUNCTION("""COMPUTED_VALUE"""),"Dimitri Uzinskiy")</f>
        <v>Dimitri Uzinskiy</v>
      </c>
      <c r="B88" s="19" t="str">
        <f>IFERROR(__xludf.DUMMYFUNCTION("""COMPUTED_VALUE"""),"NIZ")</f>
        <v>NIZ</v>
      </c>
      <c r="C88" s="20">
        <f>IFERROR(__xludf.DUMMYFUNCTION("""COMPUTED_VALUE"""),595.6)</f>
        <v>595.6</v>
      </c>
      <c r="D88" s="21">
        <f>IFERROR(__xludf.DUMMYFUNCTION("""COMPUTED_VALUE"""),-1.302715507380348)</f>
        <v>-1.302715507</v>
      </c>
      <c r="E88" s="21">
        <f>IFERROR(__xludf.DUMMYFUNCTION("""COMPUTED_VALUE"""),1.1030027722811742)</f>
        <v>1.103002772</v>
      </c>
      <c r="F88" s="21">
        <f>IFERROR(__xludf.DUMMYFUNCTION("""COMPUTED_VALUE"""),-0.19971273509917375)</f>
        <v>-0.1997127351</v>
      </c>
      <c r="G88" s="23">
        <f>IFERROR(__xludf.DUMMYFUNCTION("""COMPUTED_VALUE"""),0.33118843065579967)</f>
        <v>0.3311884307</v>
      </c>
      <c r="H88" s="4"/>
      <c r="I88" s="5" t="s">
        <v>2884</v>
      </c>
      <c r="J88" s="5" t="s">
        <v>2838</v>
      </c>
      <c r="K88" s="5">
        <v>2.0</v>
      </c>
      <c r="L88" s="5">
        <v>-0.126582</v>
      </c>
      <c r="M88" s="5">
        <v>-0.023491</v>
      </c>
      <c r="N88" s="5">
        <v>-0.150072</v>
      </c>
      <c r="O88" s="5">
        <v>0.001271</v>
      </c>
    </row>
    <row r="89">
      <c r="A89" s="12" t="str">
        <f>IFERROR(__xludf.DUMMYFUNCTION("""COMPUTED_VALUE"""),"Savelii Makarov")</f>
        <v>Savelii Makarov</v>
      </c>
      <c r="B89" s="13" t="str">
        <f>IFERROR(__xludf.DUMMYFUNCTION("""COMPUTED_VALUE"""),"AVT")</f>
        <v>AVT</v>
      </c>
      <c r="C89" s="14">
        <f>IFERROR(__xludf.DUMMYFUNCTION("""COMPUTED_VALUE"""),6.3)</f>
        <v>6.3</v>
      </c>
      <c r="D89" s="15">
        <f>IFERROR(__xludf.DUMMYFUNCTION("""COMPUTED_VALUE"""),-0.0811650186372755)</f>
        <v>-0.08116501864</v>
      </c>
      <c r="E89" s="15">
        <f>IFERROR(__xludf.DUMMYFUNCTION("""COMPUTED_VALUE"""),-0.121958990394586)</f>
        <v>-0.1219589904</v>
      </c>
      <c r="F89" s="15">
        <f>IFERROR(__xludf.DUMMYFUNCTION("""COMPUTED_VALUE"""),-0.2031240090318615)</f>
        <v>-0.203124009</v>
      </c>
      <c r="G89" s="17">
        <f>IFERROR(__xludf.DUMMYFUNCTION("""COMPUTED_VALUE"""),0.003388627088826009)</f>
        <v>0.003388627089</v>
      </c>
      <c r="H89" s="4"/>
      <c r="I89" s="5" t="s">
        <v>2885</v>
      </c>
      <c r="J89" s="5" t="s">
        <v>2816</v>
      </c>
      <c r="K89" s="24">
        <v>4.0</v>
      </c>
      <c r="L89" s="5">
        <v>-0.145964</v>
      </c>
      <c r="M89" s="5">
        <v>-0.013874</v>
      </c>
      <c r="N89" s="5">
        <v>-0.159838</v>
      </c>
      <c r="O89" s="5">
        <v>0.002413</v>
      </c>
    </row>
    <row r="90">
      <c r="A90" s="18" t="str">
        <f>IFERROR(__xludf.DUMMYFUNCTION("""COMPUTED_VALUE"""),"Ilya Popov")</f>
        <v>Ilya Popov</v>
      </c>
      <c r="B90" s="19" t="str">
        <f>IFERROR(__xludf.DUMMYFUNCTION("""COMPUTED_VALUE"""),"NIZ")</f>
        <v>NIZ</v>
      </c>
      <c r="C90" s="20">
        <f>IFERROR(__xludf.DUMMYFUNCTION("""COMPUTED_VALUE"""),89.7)</f>
        <v>89.7</v>
      </c>
      <c r="D90" s="21">
        <f>IFERROR(__xludf.DUMMYFUNCTION("""COMPUTED_VALUE"""),-0.44377281399947444)</f>
        <v>-0.443772814</v>
      </c>
      <c r="E90" s="21">
        <f>IFERROR(__xludf.DUMMYFUNCTION("""COMPUTED_VALUE"""),0.239833192688269)</f>
        <v>0.2398331927</v>
      </c>
      <c r="F90" s="21">
        <f>IFERROR(__xludf.DUMMYFUNCTION("""COMPUTED_VALUE"""),-0.20393962131120544)</f>
        <v>-0.2039396213</v>
      </c>
      <c r="G90" s="23">
        <f>IFERROR(__xludf.DUMMYFUNCTION("""COMPUTED_VALUE"""),0.0497613362773795)</f>
        <v>0.04976133628</v>
      </c>
      <c r="H90" s="4"/>
      <c r="I90" s="5" t="s">
        <v>2886</v>
      </c>
      <c r="J90" s="5" t="s">
        <v>2841</v>
      </c>
      <c r="K90" s="5">
        <v>16.0</v>
      </c>
      <c r="L90" s="5">
        <v>0.040373</v>
      </c>
      <c r="M90" s="5">
        <v>-0.201317</v>
      </c>
      <c r="N90" s="5">
        <v>-0.160944</v>
      </c>
      <c r="O90" s="5">
        <v>0.008601</v>
      </c>
    </row>
    <row r="91">
      <c r="A91" s="12" t="str">
        <f>IFERROR(__xludf.DUMMYFUNCTION("""COMPUTED_VALUE"""),"Davis Rozitis")</f>
        <v>Davis Rozitis</v>
      </c>
      <c r="B91" s="13" t="str">
        <f>IFERROR(__xludf.DUMMYFUNCTION("""COMPUTED_VALUE"""),"RIG")</f>
        <v>RIG</v>
      </c>
      <c r="C91" s="14">
        <f>IFERROR(__xludf.DUMMYFUNCTION("""COMPUTED_VALUE"""),3.8)</f>
        <v>3.8</v>
      </c>
      <c r="D91" s="15">
        <f>IFERROR(__xludf.DUMMYFUNCTION("""COMPUTED_VALUE"""),-0.22527376642178898)</f>
        <v>-0.2252737664</v>
      </c>
      <c r="E91" s="15">
        <f>IFERROR(__xludf.DUMMYFUNCTION("""COMPUTED_VALUE"""),-0.018520733480933083)</f>
        <v>-0.01852073348</v>
      </c>
      <c r="F91" s="15">
        <f>IFERROR(__xludf.DUMMYFUNCTION("""COMPUTED_VALUE"""),-0.24379449990272206)</f>
        <v>-0.2437944999</v>
      </c>
      <c r="G91" s="17">
        <f>IFERROR(__xludf.DUMMYFUNCTION("""COMPUTED_VALUE"""),0.0020252521558950286)</f>
        <v>0.002025252156</v>
      </c>
      <c r="H91" s="4"/>
      <c r="I91" s="5" t="s">
        <v>2887</v>
      </c>
      <c r="J91" s="5" t="s">
        <v>2822</v>
      </c>
      <c r="K91" s="5">
        <v>391.0</v>
      </c>
      <c r="L91" s="5">
        <v>-1.224052</v>
      </c>
      <c r="M91" s="5">
        <v>1.044677</v>
      </c>
      <c r="N91" s="5">
        <v>-0.179375</v>
      </c>
      <c r="O91" s="5">
        <v>0.212394</v>
      </c>
    </row>
    <row r="92">
      <c r="A92" s="18" t="str">
        <f>IFERROR(__xludf.DUMMYFUNCTION("""COMPUTED_VALUE"""),"Andrei Koscheev")</f>
        <v>Andrei Koscheev</v>
      </c>
      <c r="B92" s="19" t="str">
        <f>IFERROR(__xludf.DUMMYFUNCTION("""COMPUTED_VALUE"""),"UNI")</f>
        <v>UNI</v>
      </c>
      <c r="C92" s="20">
        <f>IFERROR(__xludf.DUMMYFUNCTION("""COMPUTED_VALUE"""),157.2)</f>
        <v>157.2</v>
      </c>
      <c r="D92" s="21">
        <f>IFERROR(__xludf.DUMMYFUNCTION("""COMPUTED_VALUE"""),-1.3626108462417055)</f>
        <v>-1.362610846</v>
      </c>
      <c r="E92" s="21">
        <f>IFERROR(__xludf.DUMMYFUNCTION("""COMPUTED_VALUE"""),1.0823076920058263)</f>
        <v>1.082307692</v>
      </c>
      <c r="F92" s="21">
        <f>IFERROR(__xludf.DUMMYFUNCTION("""COMPUTED_VALUE"""),-0.2803031542358791)</f>
        <v>-0.2803031542</v>
      </c>
      <c r="G92" s="23">
        <f>IFERROR(__xludf.DUMMYFUNCTION("""COMPUTED_VALUE"""),0.07895814829747454)</f>
        <v>0.0789581483</v>
      </c>
      <c r="H92" s="4"/>
      <c r="I92" s="5" t="s">
        <v>2888</v>
      </c>
      <c r="J92" s="5" t="s">
        <v>2811</v>
      </c>
      <c r="K92" s="5">
        <v>11.0</v>
      </c>
      <c r="L92" s="5">
        <v>-0.28022</v>
      </c>
      <c r="M92" s="5">
        <v>0.086936</v>
      </c>
      <c r="N92" s="5">
        <v>-0.193284</v>
      </c>
      <c r="O92" s="5">
        <v>0.005779</v>
      </c>
    </row>
    <row r="93">
      <c r="A93" s="12" t="str">
        <f>IFERROR(__xludf.DUMMYFUNCTION("""COMPUTED_VALUE"""),"Pavel Sergeev")</f>
        <v>Pavel Sergeev</v>
      </c>
      <c r="B93" s="13" t="str">
        <f>IFERROR(__xludf.DUMMYFUNCTION("""COMPUTED_VALUE"""),"UNI")</f>
        <v>UNI</v>
      </c>
      <c r="C93" s="14">
        <f>IFERROR(__xludf.DUMMYFUNCTION("""COMPUTED_VALUE"""),159.1)</f>
        <v>159.1</v>
      </c>
      <c r="D93" s="15">
        <f>IFERROR(__xludf.DUMMYFUNCTION("""COMPUTED_VALUE"""),0.09107011253702058)</f>
        <v>0.09107011254</v>
      </c>
      <c r="E93" s="15">
        <f>IFERROR(__xludf.DUMMYFUNCTION("""COMPUTED_VALUE"""),-0.4050226640539398)</f>
        <v>-0.4050226641</v>
      </c>
      <c r="F93" s="15">
        <f>IFERROR(__xludf.DUMMYFUNCTION("""COMPUTED_VALUE"""),-0.3139525515169192)</f>
        <v>-0.3139525515</v>
      </c>
      <c r="G93" s="17">
        <f>IFERROR(__xludf.DUMMYFUNCTION("""COMPUTED_VALUE"""),0.07834882548283365)</f>
        <v>0.07834882548</v>
      </c>
      <c r="H93" s="4"/>
      <c r="I93" s="5" t="s">
        <v>1425</v>
      </c>
      <c r="J93" s="5" t="s">
        <v>2851</v>
      </c>
      <c r="K93" s="5">
        <v>180.0</v>
      </c>
      <c r="L93" s="5">
        <v>1.928743</v>
      </c>
      <c r="M93" s="5">
        <v>-2.123665</v>
      </c>
      <c r="N93" s="5">
        <v>-0.194921</v>
      </c>
      <c r="O93" s="5">
        <v>0.098708</v>
      </c>
    </row>
    <row r="94">
      <c r="A94" s="18" t="str">
        <f>IFERROR(__xludf.DUMMYFUNCTION("""COMPUTED_VALUE"""),"Anthony Hilliard")</f>
        <v>Anthony Hilliard</v>
      </c>
      <c r="B94" s="19" t="str">
        <f>IFERROR(__xludf.DUMMYFUNCTION("""COMPUTED_VALUE"""),"ENI")</f>
        <v>ENI</v>
      </c>
      <c r="C94" s="20">
        <f>IFERROR(__xludf.DUMMYFUNCTION("""COMPUTED_VALUE"""),490.8)</f>
        <v>490.8</v>
      </c>
      <c r="D94" s="21">
        <f>IFERROR(__xludf.DUMMYFUNCTION("""COMPUTED_VALUE"""),2.612438856055316)</f>
        <v>2.612438856</v>
      </c>
      <c r="E94" s="21">
        <f>IFERROR(__xludf.DUMMYFUNCTION("""COMPUTED_VALUE"""),-2.9290820284145913)</f>
        <v>-2.929082028</v>
      </c>
      <c r="F94" s="21">
        <f>IFERROR(__xludf.DUMMYFUNCTION("""COMPUTED_VALUE"""),-0.3166431723592753)</f>
        <v>-0.3166431724</v>
      </c>
      <c r="G94" s="23">
        <f>IFERROR(__xludf.DUMMYFUNCTION("""COMPUTED_VALUE"""),0.2719434946203442)</f>
        <v>0.2719434946</v>
      </c>
      <c r="H94" s="4"/>
      <c r="I94" s="5" t="s">
        <v>2889</v>
      </c>
      <c r="J94" s="5" t="s">
        <v>2875</v>
      </c>
      <c r="K94" s="5">
        <v>413.0</v>
      </c>
      <c r="L94" s="5">
        <v>1.644194</v>
      </c>
      <c r="M94" s="5">
        <v>-1.839669</v>
      </c>
      <c r="N94" s="5">
        <v>-0.195475</v>
      </c>
      <c r="O94" s="5">
        <v>0.224952</v>
      </c>
    </row>
    <row r="95">
      <c r="A95" s="12" t="str">
        <f>IFERROR(__xludf.DUMMYFUNCTION("""COMPUTED_VALUE"""),"Chris Czerapowicz")</f>
        <v>Chris Czerapowicz</v>
      </c>
      <c r="B95" s="13" t="str">
        <f>IFERROR(__xludf.DUMMYFUNCTION("""COMPUTED_VALUE"""),"MIN")</f>
        <v>MIN</v>
      </c>
      <c r="C95" s="14">
        <f>IFERROR(__xludf.DUMMYFUNCTION("""COMPUTED_VALUE"""),709.1)</f>
        <v>709.1</v>
      </c>
      <c r="D95" s="15">
        <f>IFERROR(__xludf.DUMMYFUNCTION("""COMPUTED_VALUE"""),3.1942415753798166)</f>
        <v>3.194241575</v>
      </c>
      <c r="E95" s="15">
        <f>IFERROR(__xludf.DUMMYFUNCTION("""COMPUTED_VALUE"""),-3.5145650276126954)</f>
        <v>-3.514565028</v>
      </c>
      <c r="F95" s="15">
        <f>IFERROR(__xludf.DUMMYFUNCTION("""COMPUTED_VALUE"""),-0.3203234522328786)</f>
        <v>-0.3203234522</v>
      </c>
      <c r="G95" s="17">
        <f>IFERROR(__xludf.DUMMYFUNCTION("""COMPUTED_VALUE"""),0.3593988708676945)</f>
        <v>0.3593988709</v>
      </c>
      <c r="H95" s="4"/>
      <c r="I95" s="5" t="s">
        <v>355</v>
      </c>
      <c r="J95" s="5" t="s">
        <v>51</v>
      </c>
      <c r="K95" s="5">
        <v>467.0</v>
      </c>
      <c r="L95" s="5">
        <v>-0.490435</v>
      </c>
      <c r="M95" s="5">
        <v>0.293938</v>
      </c>
      <c r="N95" s="5">
        <v>-0.196498</v>
      </c>
      <c r="O95" s="5">
        <v>0.255496</v>
      </c>
    </row>
    <row r="96">
      <c r="A96" s="18" t="str">
        <f>IFERROR(__xludf.DUMMYFUNCTION("""COMPUTED_VALUE"""),"Alexander Petenev")</f>
        <v>Alexander Petenev</v>
      </c>
      <c r="B96" s="19" t="str">
        <f>IFERROR(__xludf.DUMMYFUNCTION("""COMPUTED_VALUE"""),"AVT")</f>
        <v>AVT</v>
      </c>
      <c r="C96" s="20">
        <f>IFERROR(__xludf.DUMMYFUNCTION("""COMPUTED_VALUE"""),21.6)</f>
        <v>21.6</v>
      </c>
      <c r="D96" s="21">
        <f>IFERROR(__xludf.DUMMYFUNCTION("""COMPUTED_VALUE"""),-0.397853145443615)</f>
        <v>-0.3978531454</v>
      </c>
      <c r="E96" s="21">
        <f>IFERROR(__xludf.DUMMYFUNCTION("""COMPUTED_VALUE"""),0.06322473613295898)</f>
        <v>0.06322473613</v>
      </c>
      <c r="F96" s="21">
        <f>IFERROR(__xludf.DUMMYFUNCTION("""COMPUTED_VALUE"""),-0.334628409310656)</f>
        <v>-0.3346284093</v>
      </c>
      <c r="G96" s="23">
        <f>IFERROR(__xludf.DUMMYFUNCTION("""COMPUTED_VALUE"""),0.010767875510042817)</f>
        <v>0.01076787551</v>
      </c>
      <c r="H96" s="4"/>
      <c r="I96" s="5" t="s">
        <v>2890</v>
      </c>
      <c r="J96" s="5" t="s">
        <v>2822</v>
      </c>
      <c r="K96" s="24">
        <v>6.0</v>
      </c>
      <c r="L96" s="5">
        <v>-0.081728</v>
      </c>
      <c r="M96" s="5">
        <v>-0.116259</v>
      </c>
      <c r="N96" s="5">
        <v>-0.197987</v>
      </c>
      <c r="O96" s="5">
        <v>0.003391</v>
      </c>
    </row>
    <row r="97">
      <c r="A97" s="12" t="str">
        <f>IFERROR(__xludf.DUMMYFUNCTION("""COMPUTED_VALUE"""),"Branko Mirkovic")</f>
        <v>Branko Mirkovic</v>
      </c>
      <c r="B97" s="13" t="str">
        <f>IFERROR(__xludf.DUMMYFUNCTION("""COMPUTED_VALUE"""),"KCT")</f>
        <v>KCT</v>
      </c>
      <c r="C97" s="14">
        <f>IFERROR(__xludf.DUMMYFUNCTION("""COMPUTED_VALUE"""),669.3)</f>
        <v>669.3</v>
      </c>
      <c r="D97" s="15">
        <f>IFERROR(__xludf.DUMMYFUNCTION("""COMPUTED_VALUE"""),2.2510421401623057)</f>
        <v>2.25104214</v>
      </c>
      <c r="E97" s="15">
        <f>IFERROR(__xludf.DUMMYFUNCTION("""COMPUTED_VALUE"""),-2.5944962576545363)</f>
        <v>-2.594496258</v>
      </c>
      <c r="F97" s="15">
        <f>IFERROR(__xludf.DUMMYFUNCTION("""COMPUTED_VALUE"""),-0.34345411749223054)</f>
        <v>-0.3434541175</v>
      </c>
      <c r="G97" s="17">
        <f>IFERROR(__xludf.DUMMYFUNCTION("""COMPUTED_VALUE"""),0.3343346562083649)</f>
        <v>0.3343346562</v>
      </c>
      <c r="H97" s="4"/>
      <c r="I97" s="5" t="s">
        <v>322</v>
      </c>
      <c r="J97" s="5" t="s">
        <v>12</v>
      </c>
      <c r="K97" s="5">
        <v>32.0</v>
      </c>
      <c r="L97" s="5">
        <v>-0.276505</v>
      </c>
      <c r="M97" s="5">
        <v>0.054616</v>
      </c>
      <c r="N97" s="5">
        <v>-0.221889</v>
      </c>
      <c r="O97" s="5">
        <v>0.017077</v>
      </c>
    </row>
    <row r="98">
      <c r="A98" s="18" t="str">
        <f>IFERROR(__xludf.DUMMYFUNCTION("""COMPUTED_VALUE"""),"Pavel Korobkov")</f>
        <v>Pavel Korobkov</v>
      </c>
      <c r="B98" s="19" t="str">
        <f>IFERROR(__xludf.DUMMYFUNCTION("""COMPUTED_VALUE"""),"CSKA")</f>
        <v>CSKA</v>
      </c>
      <c r="C98" s="20">
        <f>IFERROR(__xludf.DUMMYFUNCTION("""COMPUTED_VALUE"""),58.6)</f>
        <v>58.6</v>
      </c>
      <c r="D98" s="21">
        <f>IFERROR(__xludf.DUMMYFUNCTION("""COMPUTED_VALUE"""),-1.1861452288202108)</f>
        <v>-1.186145229</v>
      </c>
      <c r="E98" s="21">
        <f>IFERROR(__xludf.DUMMYFUNCTION("""COMPUTED_VALUE"""),0.8361900010205148)</f>
        <v>0.836190001</v>
      </c>
      <c r="F98" s="21">
        <f>IFERROR(__xludf.DUMMYFUNCTION("""COMPUTED_VALUE"""),-0.34995522779969596)</f>
        <v>-0.3499552278</v>
      </c>
      <c r="G98" s="23">
        <f>IFERROR(__xludf.DUMMYFUNCTION("""COMPUTED_VALUE"""),0.029279921189465388)</f>
        <v>0.02927992119</v>
      </c>
      <c r="H98" s="4"/>
      <c r="I98" s="5" t="s">
        <v>2891</v>
      </c>
      <c r="J98" s="5" t="s">
        <v>2851</v>
      </c>
      <c r="K98" s="24">
        <v>4.0</v>
      </c>
      <c r="L98" s="5">
        <v>-0.243078</v>
      </c>
      <c r="M98" s="5">
        <v>0.007754</v>
      </c>
      <c r="N98" s="5">
        <v>-0.235324</v>
      </c>
      <c r="O98" s="5">
        <v>0.002034</v>
      </c>
    </row>
    <row r="99">
      <c r="A99" s="12" t="str">
        <f>IFERROR(__xludf.DUMMYFUNCTION("""COMPUTED_VALUE"""),"Petr Gubanov")</f>
        <v>Petr Gubanov</v>
      </c>
      <c r="B99" s="13" t="str">
        <f>IFERROR(__xludf.DUMMYFUNCTION("""COMPUTED_VALUE"""),"NIZ")</f>
        <v>NIZ</v>
      </c>
      <c r="C99" s="14">
        <f>IFERROR(__xludf.DUMMYFUNCTION("""COMPUTED_VALUE"""),711.8)</f>
        <v>711.8</v>
      </c>
      <c r="D99" s="15">
        <f>IFERROR(__xludf.DUMMYFUNCTION("""COMPUTED_VALUE"""),0.5427291869299076)</f>
        <v>0.5427291869</v>
      </c>
      <c r="E99" s="15">
        <f>IFERROR(__xludf.DUMMYFUNCTION("""COMPUTED_VALUE"""),-0.8996483537733478)</f>
        <v>-0.8996483538</v>
      </c>
      <c r="F99" s="15">
        <f>IFERROR(__xludf.DUMMYFUNCTION("""COMPUTED_VALUE"""),-0.35691916684344027)</f>
        <v>-0.3569191668</v>
      </c>
      <c r="G99" s="17">
        <f>IFERROR(__xludf.DUMMYFUNCTION("""COMPUTED_VALUE"""),0.36123978244950833)</f>
        <v>0.3612397824</v>
      </c>
      <c r="H99" s="4"/>
      <c r="I99" s="5" t="s">
        <v>2892</v>
      </c>
      <c r="J99" s="5" t="s">
        <v>2854</v>
      </c>
      <c r="K99" s="24">
        <v>491.0</v>
      </c>
      <c r="L99" s="5">
        <v>0.815258</v>
      </c>
      <c r="M99" s="5">
        <v>-1.13224</v>
      </c>
      <c r="N99" s="5">
        <v>-0.316982</v>
      </c>
      <c r="O99" s="5">
        <v>0.271889</v>
      </c>
    </row>
    <row r="100">
      <c r="A100" s="18" t="str">
        <f>IFERROR(__xludf.DUMMYFUNCTION("""COMPUTED_VALUE"""),"James Anderson")</f>
        <v>James Anderson</v>
      </c>
      <c r="B100" s="19" t="str">
        <f>IFERROR(__xludf.DUMMYFUNCTION("""COMPUTED_VALUE"""),"KHI")</f>
        <v>KHI</v>
      </c>
      <c r="C100" s="20">
        <f>IFERROR(__xludf.DUMMYFUNCTION("""COMPUTED_VALUE"""),534.5)</f>
        <v>534.5</v>
      </c>
      <c r="D100" s="21">
        <f>IFERROR(__xludf.DUMMYFUNCTION("""COMPUTED_VALUE"""),-1.6036308196711264)</f>
        <v>-1.60363082</v>
      </c>
      <c r="E100" s="21">
        <f>IFERROR(__xludf.DUMMYFUNCTION("""COMPUTED_VALUE"""),1.2266618761689696)</f>
        <v>1.226661876</v>
      </c>
      <c r="F100" s="21">
        <f>IFERROR(__xludf.DUMMYFUNCTION("""COMPUTED_VALUE"""),-0.3769689435021569)</f>
        <v>-0.3769689435</v>
      </c>
      <c r="G100" s="23">
        <f>IFERROR(__xludf.DUMMYFUNCTION("""COMPUTED_VALUE"""),0.2621785859685985)</f>
        <v>0.262178586</v>
      </c>
      <c r="H100" s="4"/>
      <c r="I100" s="5" t="s">
        <v>2893</v>
      </c>
      <c r="J100" s="5" t="s">
        <v>2811</v>
      </c>
      <c r="K100" s="5">
        <v>709.0</v>
      </c>
      <c r="L100" s="5">
        <v>1.134291</v>
      </c>
      <c r="M100" s="5">
        <v>-1.453507</v>
      </c>
      <c r="N100" s="5">
        <v>-0.319216</v>
      </c>
      <c r="O100" s="5">
        <v>0.359636</v>
      </c>
    </row>
    <row r="101">
      <c r="A101" s="12" t="str">
        <f>IFERROR(__xludf.DUMMYFUNCTION("""COMPUTED_VALUE"""),"Grigory Motovilov")</f>
        <v>Grigory Motovilov</v>
      </c>
      <c r="B101" s="13" t="str">
        <f>IFERROR(__xludf.DUMMYFUNCTION("""COMPUTED_VALUE"""),"ZEN")</f>
        <v>ZEN</v>
      </c>
      <c r="C101" s="14">
        <f>IFERROR(__xludf.DUMMYFUNCTION("""COMPUTED_VALUE"""),5.8)</f>
        <v>5.8</v>
      </c>
      <c r="D101" s="15">
        <f>IFERROR(__xludf.DUMMYFUNCTION("""COMPUTED_VALUE"""),-0.3030782698228766)</f>
        <v>-0.3030782698</v>
      </c>
      <c r="E101" s="15">
        <f>IFERROR(__xludf.DUMMYFUNCTION("""COMPUTED_VALUE"""),-0.07517356828235622)</f>
        <v>-0.07517356828</v>
      </c>
      <c r="F101" s="15">
        <f>IFERROR(__xludf.DUMMYFUNCTION("""COMPUTED_VALUE"""),-0.37825183810523283)</f>
        <v>-0.3782518381</v>
      </c>
      <c r="G101" s="17">
        <f>IFERROR(__xludf.DUMMYFUNCTION("""COMPUTED_VALUE"""),0.0028679909629473433)</f>
        <v>0.002867990963</v>
      </c>
      <c r="H101" s="4"/>
      <c r="I101" s="5" t="s">
        <v>2894</v>
      </c>
      <c r="J101" s="5" t="s">
        <v>2875</v>
      </c>
      <c r="K101" s="5">
        <v>669.0</v>
      </c>
      <c r="L101" s="5">
        <v>2.252421</v>
      </c>
      <c r="M101" s="5">
        <v>-2.595241</v>
      </c>
      <c r="N101" s="5">
        <v>-0.34282</v>
      </c>
      <c r="O101" s="5">
        <v>0.334463</v>
      </c>
    </row>
    <row r="102">
      <c r="A102" s="18" t="str">
        <f>IFERROR(__xludf.DUMMYFUNCTION("""COMPUTED_VALUE"""),"Alexander Gankevich")</f>
        <v>Alexander Gankevich</v>
      </c>
      <c r="B102" s="19" t="str">
        <f>IFERROR(__xludf.DUMMYFUNCTION("""COMPUTED_VALUE"""),"CSKA")</f>
        <v>CSKA</v>
      </c>
      <c r="C102" s="20">
        <f>IFERROR(__xludf.DUMMYFUNCTION("""COMPUTED_VALUE"""),7.2)</f>
        <v>7.2</v>
      </c>
      <c r="D102" s="21">
        <f>IFERROR(__xludf.DUMMYFUNCTION("""COMPUTED_VALUE"""),-0.4971547156956913)</f>
        <v>-0.4971547157</v>
      </c>
      <c r="E102" s="21">
        <f>IFERROR(__xludf.DUMMYFUNCTION("""COMPUTED_VALUE"""),0.062477021575959246)</f>
        <v>0.06247702158</v>
      </c>
      <c r="F102" s="21">
        <f>IFERROR(__xludf.DUMMYFUNCTION("""COMPUTED_VALUE"""),-0.43467769411973206)</f>
        <v>-0.4346776941</v>
      </c>
      <c r="G102" s="23">
        <f>IFERROR(__xludf.DUMMYFUNCTION("""COMPUTED_VALUE"""),0.0034128156477349044)</f>
        <v>0.003412815648</v>
      </c>
      <c r="H102" s="4"/>
      <c r="I102" s="5" t="s">
        <v>2895</v>
      </c>
      <c r="J102" s="5" t="s">
        <v>2816</v>
      </c>
      <c r="K102" s="5">
        <v>6.0</v>
      </c>
      <c r="L102" s="5">
        <v>-0.299263</v>
      </c>
      <c r="M102" s="5">
        <v>-0.081413</v>
      </c>
      <c r="N102" s="5">
        <v>-0.380676</v>
      </c>
      <c r="O102" s="5">
        <v>0.002864</v>
      </c>
    </row>
    <row r="103">
      <c r="A103" s="12" t="str">
        <f>IFERROR(__xludf.DUMMYFUNCTION("""COMPUTED_VALUE"""),"Martynas Mazeika")</f>
        <v>Martynas Mazeika</v>
      </c>
      <c r="B103" s="13" t="str">
        <f>IFERROR(__xludf.DUMMYFUNCTION("""COMPUTED_VALUE"""),"KCT")</f>
        <v>KCT</v>
      </c>
      <c r="C103" s="14">
        <f>IFERROR(__xludf.DUMMYFUNCTION("""COMPUTED_VALUE"""),4.2)</f>
        <v>4.2</v>
      </c>
      <c r="D103" s="15">
        <f>IFERROR(__xludf.DUMMYFUNCTION("""COMPUTED_VALUE"""),-0.3479231454654244)</f>
        <v>-0.3479231455</v>
      </c>
      <c r="E103" s="15">
        <f>IFERROR(__xludf.DUMMYFUNCTION("""COMPUTED_VALUE"""),-0.11895187007750446)</f>
        <v>-0.1189518701</v>
      </c>
      <c r="F103" s="15">
        <f>IFERROR(__xludf.DUMMYFUNCTION("""COMPUTED_VALUE"""),-0.4668750155429289)</f>
        <v>-0.4668750155</v>
      </c>
      <c r="G103" s="17">
        <f>IFERROR(__xludf.DUMMYFUNCTION("""COMPUTED_VALUE"""),0.0019417081517752752)</f>
        <v>0.001941708152</v>
      </c>
      <c r="H103" s="4"/>
      <c r="I103" s="5" t="s">
        <v>241</v>
      </c>
      <c r="J103" s="5" t="s">
        <v>12</v>
      </c>
      <c r="K103" s="24">
        <v>7.0</v>
      </c>
      <c r="L103" s="5">
        <v>-0.412873</v>
      </c>
      <c r="M103" s="5">
        <v>-0.026159</v>
      </c>
      <c r="N103" s="5">
        <v>-0.439032</v>
      </c>
      <c r="O103" s="5">
        <v>0.003427</v>
      </c>
    </row>
    <row r="104">
      <c r="A104" s="18" t="str">
        <f>IFERROR(__xludf.DUMMYFUNCTION("""COMPUTED_VALUE"""),"Janari Joesaar")</f>
        <v>Janari Joesaar</v>
      </c>
      <c r="B104" s="19" t="str">
        <f>IFERROR(__xludf.DUMMYFUNCTION("""COMPUTED_VALUE"""),"KCT")</f>
        <v>KCT</v>
      </c>
      <c r="C104" s="20">
        <f>IFERROR(__xludf.DUMMYFUNCTION("""COMPUTED_VALUE"""),384.3)</f>
        <v>384.3</v>
      </c>
      <c r="D104" s="21">
        <f>IFERROR(__xludf.DUMMYFUNCTION("""COMPUTED_VALUE"""),0.7357262720858482)</f>
        <v>0.7357262721</v>
      </c>
      <c r="E104" s="21">
        <f>IFERROR(__xludf.DUMMYFUNCTION("""COMPUTED_VALUE"""),-1.3073049073802239)</f>
        <v>-1.307304907</v>
      </c>
      <c r="F104" s="21">
        <f>IFERROR(__xludf.DUMMYFUNCTION("""COMPUTED_VALUE"""),-0.5715786352943757)</f>
        <v>-0.5715786353</v>
      </c>
      <c r="G104" s="23">
        <f>IFERROR(__xludf.DUMMYFUNCTION("""COMPUTED_VALUE"""),0.16553270960071104)</f>
        <v>0.1655327096</v>
      </c>
      <c r="H104" s="4"/>
      <c r="I104" s="5" t="s">
        <v>1216</v>
      </c>
      <c r="J104" s="5" t="s">
        <v>2875</v>
      </c>
      <c r="K104" s="5">
        <v>4.0</v>
      </c>
      <c r="L104" s="5">
        <v>-0.347877</v>
      </c>
      <c r="M104" s="5">
        <v>-0.118967</v>
      </c>
      <c r="N104" s="5">
        <v>-0.466844</v>
      </c>
      <c r="O104" s="5">
        <v>0.001942</v>
      </c>
    </row>
    <row r="105">
      <c r="A105" s="12" t="str">
        <f>IFERROR(__xludf.DUMMYFUNCTION("""COMPUTED_VALUE"""),"Danilo Andjusic")</f>
        <v>Danilo Andjusic</v>
      </c>
      <c r="B105" s="13" t="str">
        <f>IFERROR(__xludf.DUMMYFUNCTION("""COMPUTED_VALUE"""),"UNI")</f>
        <v>UNI</v>
      </c>
      <c r="C105" s="14">
        <f>IFERROR(__xludf.DUMMYFUNCTION("""COMPUTED_VALUE"""),42.1)</f>
        <v>42.1</v>
      </c>
      <c r="D105" s="15">
        <f>IFERROR(__xludf.DUMMYFUNCTION("""COMPUTED_VALUE"""),-0.4904660781107945)</f>
        <v>-0.4904660781</v>
      </c>
      <c r="E105" s="15">
        <f>IFERROR(__xludf.DUMMYFUNCTION("""COMPUTED_VALUE"""),-0.09409041401711155)</f>
        <v>-0.09409041402</v>
      </c>
      <c r="F105" s="15">
        <f>IFERROR(__xludf.DUMMYFUNCTION("""COMPUTED_VALUE"""),-0.5845564921279061)</f>
        <v>-0.5845564921</v>
      </c>
      <c r="G105" s="17">
        <f>IFERROR(__xludf.DUMMYFUNCTION("""COMPUTED_VALUE"""),0.017404724575289562)</f>
        <v>0.01740472458</v>
      </c>
      <c r="H105" s="4"/>
      <c r="I105" s="5" t="s">
        <v>2896</v>
      </c>
      <c r="J105" s="5" t="s">
        <v>22</v>
      </c>
      <c r="K105" s="5">
        <v>61.0</v>
      </c>
      <c r="L105" s="5">
        <v>-0.573733</v>
      </c>
      <c r="M105" s="5">
        <v>0.102883</v>
      </c>
      <c r="N105" s="5">
        <v>-0.47085</v>
      </c>
      <c r="O105" s="5">
        <v>0.027283</v>
      </c>
    </row>
    <row r="106">
      <c r="A106" s="18" t="str">
        <f>IFERROR(__xludf.DUMMYFUNCTION("""COMPUTED_VALUE"""),"Alexander Perez Kaufmann")</f>
        <v>Alexander Perez Kaufmann</v>
      </c>
      <c r="B106" s="19" t="str">
        <f>IFERROR(__xludf.DUMMYFUNCTION("""COMPUTED_VALUE"""),"RIG")</f>
        <v>RIG</v>
      </c>
      <c r="C106" s="20">
        <f>IFERROR(__xludf.DUMMYFUNCTION("""COMPUTED_VALUE"""),797.2)</f>
        <v>797.2</v>
      </c>
      <c r="D106" s="21">
        <f>IFERROR(__xludf.DUMMYFUNCTION("""COMPUTED_VALUE"""),2.058993325101013)</f>
        <v>2.058993325</v>
      </c>
      <c r="E106" s="21">
        <f>IFERROR(__xludf.DUMMYFUNCTION("""COMPUTED_VALUE"""),-2.6479688637797407)</f>
        <v>-2.647968864</v>
      </c>
      <c r="F106" s="21">
        <f>IFERROR(__xludf.DUMMYFUNCTION("""COMPUTED_VALUE"""),-0.5889755386787279)</f>
        <v>-0.5889755387</v>
      </c>
      <c r="G106" s="23">
        <f>IFERROR(__xludf.DUMMYFUNCTION("""COMPUTED_VALUE"""),0.3413673700715251)</f>
        <v>0.3413673701</v>
      </c>
      <c r="H106" s="4"/>
      <c r="I106" s="5" t="s">
        <v>2897</v>
      </c>
      <c r="J106" s="5" t="s">
        <v>22</v>
      </c>
      <c r="K106" s="5">
        <v>42.0</v>
      </c>
      <c r="L106" s="5">
        <v>-0.189647</v>
      </c>
      <c r="M106" s="5">
        <v>-0.282141</v>
      </c>
      <c r="N106" s="5">
        <v>-0.471788</v>
      </c>
      <c r="O106" s="5">
        <v>0.018787</v>
      </c>
    </row>
    <row r="107">
      <c r="A107" s="12" t="str">
        <f>IFERROR(__xludf.DUMMYFUNCTION("""COMPUTED_VALUE"""),"Denis Levshin")</f>
        <v>Denis Levshin</v>
      </c>
      <c r="B107" s="13" t="str">
        <f>IFERROR(__xludf.DUMMYFUNCTION("""COMPUTED_VALUE"""),"LOK")</f>
        <v>LOK</v>
      </c>
      <c r="C107" s="14">
        <f>IFERROR(__xludf.DUMMYFUNCTION("""COMPUTED_VALUE"""),14.4)</f>
        <v>14.4</v>
      </c>
      <c r="D107" s="15">
        <f>IFERROR(__xludf.DUMMYFUNCTION("""COMPUTED_VALUE"""),-0.4417355446453843)</f>
        <v>-0.4417355446</v>
      </c>
      <c r="E107" s="15">
        <f>IFERROR(__xludf.DUMMYFUNCTION("""COMPUTED_VALUE"""),-0.15838799958757604)</f>
        <v>-0.1583879996</v>
      </c>
      <c r="F107" s="15">
        <f>IFERROR(__xludf.DUMMYFUNCTION("""COMPUTED_VALUE"""),-0.6001235442329603)</f>
        <v>-0.6001235442</v>
      </c>
      <c r="G107" s="17">
        <f>IFERROR(__xludf.DUMMYFUNCTION("""COMPUTED_VALUE"""),0.006089415596355169)</f>
        <v>0.006089415596</v>
      </c>
      <c r="H107" s="4"/>
      <c r="I107" s="5" t="s">
        <v>2898</v>
      </c>
      <c r="J107" s="5" t="s">
        <v>2875</v>
      </c>
      <c r="K107" s="5">
        <v>384.0</v>
      </c>
      <c r="L107" s="5">
        <v>0.735808</v>
      </c>
      <c r="M107" s="5">
        <v>-1.307818</v>
      </c>
      <c r="N107" s="5">
        <v>-0.572011</v>
      </c>
      <c r="O107" s="5">
        <v>0.165483</v>
      </c>
    </row>
    <row r="108">
      <c r="A108" s="18" t="str">
        <f>IFERROR(__xludf.DUMMYFUNCTION("""COMPUTED_VALUE"""),"Paul Carter")</f>
        <v>Paul Carter</v>
      </c>
      <c r="B108" s="19" t="str">
        <f>IFERROR(__xludf.DUMMYFUNCTION("""COMPUTED_VALUE"""),"RIG")</f>
        <v>RIG</v>
      </c>
      <c r="C108" s="20">
        <f>IFERROR(__xludf.DUMMYFUNCTION("""COMPUTED_VALUE"""),232.3)</f>
        <v>232.3</v>
      </c>
      <c r="D108" s="21">
        <f>IFERROR(__xludf.DUMMYFUNCTION("""COMPUTED_VALUE"""),2.96291354853108)</f>
        <v>2.962913549</v>
      </c>
      <c r="E108" s="21">
        <f>IFERROR(__xludf.DUMMYFUNCTION("""COMPUTED_VALUE"""),-3.57079267225158)</f>
        <v>-3.570792672</v>
      </c>
      <c r="F108" s="21">
        <f>IFERROR(__xludf.DUMMYFUNCTION("""COMPUTED_VALUE"""),-0.6078791237205001)</f>
        <v>-0.6078791237</v>
      </c>
      <c r="G108" s="23">
        <f>IFERROR(__xludf.DUMMYFUNCTION("""COMPUTED_VALUE"""),0.0981400623593644)</f>
        <v>0.09814006236</v>
      </c>
      <c r="H108" s="4"/>
      <c r="I108" s="5" t="s">
        <v>2899</v>
      </c>
      <c r="J108" s="5" t="s">
        <v>2785</v>
      </c>
      <c r="K108" s="5">
        <v>14.0</v>
      </c>
      <c r="L108" s="5">
        <v>-0.406285</v>
      </c>
      <c r="M108" s="5">
        <v>-0.187609</v>
      </c>
      <c r="N108" s="5">
        <v>-0.593894</v>
      </c>
      <c r="O108" s="5">
        <v>0.006112</v>
      </c>
    </row>
    <row r="109">
      <c r="A109" s="12" t="str">
        <f>IFERROR(__xludf.DUMMYFUNCTION("""COMPUTED_VALUE"""),"Martin Dorbek")</f>
        <v>Martin Dorbek</v>
      </c>
      <c r="B109" s="13" t="str">
        <f>IFERROR(__xludf.DUMMYFUNCTION("""COMPUTED_VALUE"""),"KCT")</f>
        <v>KCT</v>
      </c>
      <c r="C109" s="14">
        <f>IFERROR(__xludf.DUMMYFUNCTION("""COMPUTED_VALUE"""),432.1)</f>
        <v>432.1</v>
      </c>
      <c r="D109" s="15">
        <f>IFERROR(__xludf.DUMMYFUNCTION("""COMPUTED_VALUE"""),0.24300542073307968)</f>
        <v>0.2430054207</v>
      </c>
      <c r="E109" s="15">
        <f>IFERROR(__xludf.DUMMYFUNCTION("""COMPUTED_VALUE"""),-0.867999701513283)</f>
        <v>-0.8679997015</v>
      </c>
      <c r="F109" s="15">
        <f>IFERROR(__xludf.DUMMYFUNCTION("""COMPUTED_VALUE"""),-0.6249942807802034)</f>
        <v>-0.6249942808</v>
      </c>
      <c r="G109" s="17">
        <f>IFERROR(__xludf.DUMMYFUNCTION("""COMPUTED_VALUE"""),0.17916198819182722)</f>
        <v>0.1791619882</v>
      </c>
      <c r="H109" s="4"/>
      <c r="I109" s="5" t="s">
        <v>2900</v>
      </c>
      <c r="J109" s="5" t="s">
        <v>2831</v>
      </c>
      <c r="K109" s="5">
        <v>615.0</v>
      </c>
      <c r="L109" s="5">
        <v>0.422906</v>
      </c>
      <c r="M109" s="5">
        <v>-1.020299</v>
      </c>
      <c r="N109" s="5">
        <v>-0.597393</v>
      </c>
      <c r="O109" s="5">
        <v>0.268053</v>
      </c>
    </row>
    <row r="110">
      <c r="A110" s="18" t="str">
        <f>IFERROR(__xludf.DUMMYFUNCTION("""COMPUTED_VALUE"""),"Ivan Nelyubov")</f>
        <v>Ivan Nelyubov</v>
      </c>
      <c r="B110" s="19" t="str">
        <f>IFERROR(__xludf.DUMMYFUNCTION("""COMPUTED_VALUE"""),"LOK")</f>
        <v>LOK</v>
      </c>
      <c r="C110" s="20">
        <f>IFERROR(__xludf.DUMMYFUNCTION("""COMPUTED_VALUE"""),15.0)</f>
        <v>15</v>
      </c>
      <c r="D110" s="21">
        <f>IFERROR(__xludf.DUMMYFUNCTION("""COMPUTED_VALUE"""),-0.6990270263194075)</f>
        <v>-0.6990270263</v>
      </c>
      <c r="E110" s="21">
        <f>IFERROR(__xludf.DUMMYFUNCTION("""COMPUTED_VALUE"""),0.0470116045153639)</f>
        <v>0.04701160452</v>
      </c>
      <c r="F110" s="21">
        <f>IFERROR(__xludf.DUMMYFUNCTION("""COMPUTED_VALUE"""),-0.6520154218040436)</f>
        <v>-0.6520154218</v>
      </c>
      <c r="G110" s="23">
        <f>IFERROR(__xludf.DUMMYFUNCTION("""COMPUTED_VALUE"""),0.006108007990259144)</f>
        <v>0.00610800799</v>
      </c>
      <c r="H110" s="4"/>
      <c r="I110" s="5" t="s">
        <v>167</v>
      </c>
      <c r="J110" s="5" t="s">
        <v>12</v>
      </c>
      <c r="K110" s="24">
        <v>176.0</v>
      </c>
      <c r="L110" s="5">
        <v>-0.05659</v>
      </c>
      <c r="M110" s="5">
        <v>-0.567173</v>
      </c>
      <c r="N110" s="5">
        <v>-0.623763</v>
      </c>
      <c r="O110" s="5">
        <v>0.074016</v>
      </c>
    </row>
    <row r="111">
      <c r="A111" s="12" t="str">
        <f>IFERROR(__xludf.DUMMYFUNCTION("""COMPUTED_VALUE"""),"Grigori Shukhovtsov")</f>
        <v>Grigori Shukhovtsov</v>
      </c>
      <c r="B111" s="13" t="str">
        <f>IFERROR(__xludf.DUMMYFUNCTION("""COMPUTED_VALUE"""),"UNI")</f>
        <v>UNI</v>
      </c>
      <c r="C111" s="14">
        <f>IFERROR(__xludf.DUMMYFUNCTION("""COMPUTED_VALUE"""),75.3)</f>
        <v>75.3</v>
      </c>
      <c r="D111" s="15">
        <f>IFERROR(__xludf.DUMMYFUNCTION("""COMPUTED_VALUE"""),-1.3039807041921183)</f>
        <v>-1.303980704</v>
      </c>
      <c r="E111" s="15">
        <f>IFERROR(__xludf.DUMMYFUNCTION("""COMPUTED_VALUE"""),0.6016322585341011)</f>
        <v>0.6016322585</v>
      </c>
      <c r="F111" s="15">
        <f>IFERROR(__xludf.DUMMYFUNCTION("""COMPUTED_VALUE"""),-0.7023484456580172)</f>
        <v>-0.7023484457</v>
      </c>
      <c r="G111" s="17">
        <f>IFERROR(__xludf.DUMMYFUNCTION("""COMPUTED_VALUE"""),0.028539449119446017)</f>
        <v>0.02853944912</v>
      </c>
      <c r="H111" s="4"/>
      <c r="I111" s="5" t="s">
        <v>2901</v>
      </c>
      <c r="J111" s="5" t="s">
        <v>2875</v>
      </c>
      <c r="K111" s="5">
        <v>432.0</v>
      </c>
      <c r="L111" s="5">
        <v>0.241697</v>
      </c>
      <c r="M111" s="5">
        <v>-0.868265</v>
      </c>
      <c r="N111" s="5">
        <v>-0.626569</v>
      </c>
      <c r="O111" s="5">
        <v>0.178957</v>
      </c>
    </row>
    <row r="112">
      <c r="A112" s="18" t="str">
        <f>IFERROR(__xludf.DUMMYFUNCTION("""COMPUTED_VALUE"""),"Anton Kvitkovsky")</f>
        <v>Anton Kvitkovsky</v>
      </c>
      <c r="B112" s="19" t="str">
        <f>IFERROR(__xludf.DUMMYFUNCTION("""COMPUTED_VALUE"""),"AVT")</f>
        <v>AVT</v>
      </c>
      <c r="C112" s="20">
        <f>IFERROR(__xludf.DUMMYFUNCTION("""COMPUTED_VALUE"""),22.3)</f>
        <v>22.3</v>
      </c>
      <c r="D112" s="21">
        <f>IFERROR(__xludf.DUMMYFUNCTION("""COMPUTED_VALUE"""),-0.6667627665310256)</f>
        <v>-0.6667627665</v>
      </c>
      <c r="E112" s="21">
        <f>IFERROR(__xludf.DUMMYFUNCTION("""COMPUTED_VALUE"""),-0.09106993273941888)</f>
        <v>-0.09106993274</v>
      </c>
      <c r="F112" s="21">
        <f>IFERROR(__xludf.DUMMYFUNCTION("""COMPUTED_VALUE"""),-0.7578326992704445)</f>
        <v>-0.7578326993</v>
      </c>
      <c r="G112" s="23">
        <f>IFERROR(__xludf.DUMMYFUNCTION("""COMPUTED_VALUE"""),0.008291824061648852)</f>
        <v>0.008291824062</v>
      </c>
      <c r="H112" s="4"/>
      <c r="I112" s="5" t="s">
        <v>2902</v>
      </c>
      <c r="J112" s="5" t="s">
        <v>2785</v>
      </c>
      <c r="K112" s="24">
        <v>15.0</v>
      </c>
      <c r="L112" s="5">
        <v>-0.661749</v>
      </c>
      <c r="M112" s="5">
        <v>0.016592</v>
      </c>
      <c r="N112" s="5">
        <v>-0.645157</v>
      </c>
      <c r="O112" s="5">
        <v>0.006134</v>
      </c>
    </row>
    <row r="113">
      <c r="A113" s="12" t="str">
        <f>IFERROR(__xludf.DUMMYFUNCTION("""COMPUTED_VALUE"""),"Dmitry Sokolov")</f>
        <v>Dmitry Sokolov</v>
      </c>
      <c r="B113" s="13" t="str">
        <f>IFERROR(__xludf.DUMMYFUNCTION("""COMPUTED_VALUE"""),"KHI")</f>
        <v>KHI</v>
      </c>
      <c r="C113" s="14">
        <f>IFERROR(__xludf.DUMMYFUNCTION("""COMPUTED_VALUE"""),32.7)</f>
        <v>32.7</v>
      </c>
      <c r="D113" s="15">
        <f>IFERROR(__xludf.DUMMYFUNCTION("""COMPUTED_VALUE"""),-1.2519722689393797)</f>
        <v>-1.251972269</v>
      </c>
      <c r="E113" s="15">
        <f>IFERROR(__xludf.DUMMYFUNCTION("""COMPUTED_VALUE"""),0.46902953026617633)</f>
        <v>0.4690295303</v>
      </c>
      <c r="F113" s="15">
        <f>IFERROR(__xludf.DUMMYFUNCTION("""COMPUTED_VALUE"""),-0.7829427386732034)</f>
        <v>-0.7829427387</v>
      </c>
      <c r="G113" s="17">
        <f>IFERROR(__xludf.DUMMYFUNCTION("""COMPUTED_VALUE"""),0.012027668275058249)</f>
        <v>0.01202766828</v>
      </c>
      <c r="H113" s="4"/>
      <c r="I113" s="5" t="s">
        <v>2903</v>
      </c>
      <c r="J113" s="5" t="s">
        <v>22</v>
      </c>
      <c r="K113" s="5">
        <v>512.0</v>
      </c>
      <c r="L113" s="5">
        <v>0.324747</v>
      </c>
      <c r="M113" s="5">
        <v>-1.030215</v>
      </c>
      <c r="N113" s="5">
        <v>-0.705467</v>
      </c>
      <c r="O113" s="5">
        <v>0.193584</v>
      </c>
    </row>
    <row r="114">
      <c r="A114" s="18" t="str">
        <f>IFERROR(__xludf.DUMMYFUNCTION("""COMPUTED_VALUE"""),"Denis Pavlenko")</f>
        <v>Denis Pavlenko</v>
      </c>
      <c r="B114" s="19" t="str">
        <f>IFERROR(__xludf.DUMMYFUNCTION("""COMPUTED_VALUE"""),"AVT")</f>
        <v>AVT</v>
      </c>
      <c r="C114" s="20">
        <f>IFERROR(__xludf.DUMMYFUNCTION("""COMPUTED_VALUE"""),19.5)</f>
        <v>19.5</v>
      </c>
      <c r="D114" s="21">
        <f>IFERROR(__xludf.DUMMYFUNCTION("""COMPUTED_VALUE"""),-0.49018526680169344)</f>
        <v>-0.4901852668</v>
      </c>
      <c r="E114" s="21">
        <f>IFERROR(__xludf.DUMMYFUNCTION("""COMPUTED_VALUE"""),-0.3131956028310782)</f>
        <v>-0.3131956028</v>
      </c>
      <c r="F114" s="21">
        <f>IFERROR(__xludf.DUMMYFUNCTION("""COMPUTED_VALUE"""),-0.8033808696327717)</f>
        <v>-0.8033808696</v>
      </c>
      <c r="G114" s="23">
        <f>IFERROR(__xludf.DUMMYFUNCTION("""COMPUTED_VALUE"""),0.006984827353161915)</f>
        <v>0.006984827353</v>
      </c>
      <c r="H114" s="4"/>
      <c r="I114" s="5" t="s">
        <v>273</v>
      </c>
      <c r="J114" s="5" t="s">
        <v>51</v>
      </c>
      <c r="K114" s="5">
        <v>33.0</v>
      </c>
      <c r="L114" s="5">
        <v>-1.136298</v>
      </c>
      <c r="M114" s="5">
        <v>0.378952</v>
      </c>
      <c r="N114" s="5">
        <v>-0.757345</v>
      </c>
      <c r="O114" s="5">
        <v>0.012337</v>
      </c>
    </row>
    <row r="115">
      <c r="A115" s="12" t="str">
        <f>IFERROR(__xludf.DUMMYFUNCTION("""COMPUTED_VALUE"""),"Maxim Marchuk")</f>
        <v>Maxim Marchuk</v>
      </c>
      <c r="B115" s="13" t="str">
        <f>IFERROR(__xludf.DUMMYFUNCTION("""COMPUTED_VALUE"""),"AST")</f>
        <v>AST</v>
      </c>
      <c r="C115" s="14">
        <f>IFERROR(__xludf.DUMMYFUNCTION("""COMPUTED_VALUE"""),70.0)</f>
        <v>70</v>
      </c>
      <c r="D115" s="15">
        <f>IFERROR(__xludf.DUMMYFUNCTION("""COMPUTED_VALUE"""),-0.5143172751610514)</f>
        <v>-0.5143172752</v>
      </c>
      <c r="E115" s="15">
        <f>IFERROR(__xludf.DUMMYFUNCTION("""COMPUTED_VALUE"""),-0.297425346310181)</f>
        <v>-0.2974253463</v>
      </c>
      <c r="F115" s="15">
        <f>IFERROR(__xludf.DUMMYFUNCTION("""COMPUTED_VALUE"""),-0.8117426214712324)</f>
        <v>-0.8117426215</v>
      </c>
      <c r="G115" s="17">
        <f>IFERROR(__xludf.DUMMYFUNCTION("""COMPUTED_VALUE"""),0.024847195611462914)</f>
        <v>0.02484719561</v>
      </c>
      <c r="H115" s="4"/>
      <c r="I115" s="5" t="s">
        <v>2904</v>
      </c>
      <c r="J115" s="5" t="s">
        <v>2822</v>
      </c>
      <c r="K115" s="24">
        <v>20.0</v>
      </c>
      <c r="L115" s="5">
        <v>-0.486363</v>
      </c>
      <c r="M115" s="5">
        <v>-0.295322</v>
      </c>
      <c r="N115" s="5">
        <v>-0.781685</v>
      </c>
      <c r="O115" s="5">
        <v>0.007096</v>
      </c>
    </row>
    <row r="116">
      <c r="A116" s="18" t="str">
        <f>IFERROR(__xludf.DUMMYFUNCTION("""COMPUTED_VALUE"""),"Yauheni Beliankou")</f>
        <v>Yauheni Beliankou</v>
      </c>
      <c r="B116" s="19" t="str">
        <f>IFERROR(__xludf.DUMMYFUNCTION("""COMPUTED_VALUE"""),"MIN")</f>
        <v>MIN</v>
      </c>
      <c r="C116" s="20">
        <f>IFERROR(__xludf.DUMMYFUNCTION("""COMPUTED_VALUE"""),42.0)</f>
        <v>42</v>
      </c>
      <c r="D116" s="21">
        <f>IFERROR(__xludf.DUMMYFUNCTION("""COMPUTED_VALUE"""),-0.1051021316145498)</f>
        <v>-0.1051021316</v>
      </c>
      <c r="E116" s="21">
        <f>IFERROR(__xludf.DUMMYFUNCTION("""COMPUTED_VALUE"""),-0.7265213721678552)</f>
        <v>-0.7265213722</v>
      </c>
      <c r="F116" s="21">
        <f>IFERROR(__xludf.DUMMYFUNCTION("""COMPUTED_VALUE"""),-0.831623503782405)</f>
        <v>-0.8316235038</v>
      </c>
      <c r="G116" s="23">
        <f>IFERROR(__xludf.DUMMYFUNCTION("""COMPUTED_VALUE"""),0.014807292885441284)</f>
        <v>0.01480729289</v>
      </c>
      <c r="H116" s="4"/>
      <c r="I116" s="5" t="s">
        <v>2905</v>
      </c>
      <c r="J116" s="5" t="s">
        <v>2822</v>
      </c>
      <c r="K116" s="5">
        <v>20.0</v>
      </c>
      <c r="L116" s="5">
        <v>-0.750431</v>
      </c>
      <c r="M116" s="5">
        <v>-0.058716</v>
      </c>
      <c r="N116" s="5">
        <v>-0.809147</v>
      </c>
      <c r="O116" s="5">
        <v>0.007185</v>
      </c>
    </row>
    <row r="117">
      <c r="A117" s="12" t="str">
        <f>IFERROR(__xludf.DUMMYFUNCTION("""COMPUTED_VALUE"""),"Alexander Gudumak")</f>
        <v>Alexander Gudumak</v>
      </c>
      <c r="B117" s="13" t="str">
        <f>IFERROR(__xludf.DUMMYFUNCTION("""COMPUTED_VALUE"""),"ENI")</f>
        <v>ENI</v>
      </c>
      <c r="C117" s="14">
        <f>IFERROR(__xludf.DUMMYFUNCTION("""COMPUTED_VALUE"""),305.4)</f>
        <v>305.4</v>
      </c>
      <c r="D117" s="15">
        <f>IFERROR(__xludf.DUMMYFUNCTION("""COMPUTED_VALUE"""),0.539072149402023)</f>
        <v>0.5390721494</v>
      </c>
      <c r="E117" s="15">
        <f>IFERROR(__xludf.DUMMYFUNCTION("""COMPUTED_VALUE"""),-1.4119472578359493)</f>
        <v>-1.411947258</v>
      </c>
      <c r="F117" s="15">
        <f>IFERROR(__xludf.DUMMYFUNCTION("""COMPUTED_VALUE"""),-0.8728751084339263)</f>
        <v>-0.8728751084</v>
      </c>
      <c r="G117" s="17">
        <f>IFERROR(__xludf.DUMMYFUNCTION("""COMPUTED_VALUE"""),0.11330237381398865)</f>
        <v>0.1133023738</v>
      </c>
      <c r="H117" s="4"/>
      <c r="I117" s="5" t="s">
        <v>2906</v>
      </c>
      <c r="J117" s="5" t="s">
        <v>2838</v>
      </c>
      <c r="K117" s="5">
        <v>70.0</v>
      </c>
      <c r="L117" s="5">
        <v>-0.902396</v>
      </c>
      <c r="M117" s="5">
        <v>0.08999</v>
      </c>
      <c r="N117" s="5">
        <v>-0.812406</v>
      </c>
      <c r="O117" s="5">
        <v>0.024833</v>
      </c>
    </row>
    <row r="118">
      <c r="A118" s="18" t="str">
        <f>IFERROR(__xludf.DUMMYFUNCTION("""COMPUTED_VALUE"""),"Aliaksei Trastsinetski")</f>
        <v>Aliaksei Trastsinetski</v>
      </c>
      <c r="B118" s="19" t="str">
        <f>IFERROR(__xludf.DUMMYFUNCTION("""COMPUTED_VALUE"""),"MIN")</f>
        <v>MIN</v>
      </c>
      <c r="C118" s="20">
        <f>IFERROR(__xludf.DUMMYFUNCTION("""COMPUTED_VALUE"""),351.5)</f>
        <v>351.5</v>
      </c>
      <c r="D118" s="21">
        <f>IFERROR(__xludf.DUMMYFUNCTION("""COMPUTED_VALUE"""),0.6519738982509031)</f>
        <v>0.6519738983</v>
      </c>
      <c r="E118" s="21">
        <f>IFERROR(__xludf.DUMMYFUNCTION("""COMPUTED_VALUE"""),-1.5315494550115032)</f>
        <v>-1.531549455</v>
      </c>
      <c r="F118" s="21">
        <f>IFERROR(__xludf.DUMMYFUNCTION("""COMPUTED_VALUE"""),-0.8795755567606001)</f>
        <v>-0.8795755568</v>
      </c>
      <c r="G118" s="23">
        <f>IFERROR(__xludf.DUMMYFUNCTION("""COMPUTED_VALUE"""),0.11883694227229356)</f>
        <v>0.1188369423</v>
      </c>
      <c r="H118" s="4"/>
      <c r="I118" s="5" t="s">
        <v>2907</v>
      </c>
      <c r="J118" s="5" t="s">
        <v>2811</v>
      </c>
      <c r="K118" s="24">
        <v>42.0</v>
      </c>
      <c r="L118" s="5">
        <v>-0.393619</v>
      </c>
      <c r="M118" s="5">
        <v>-0.437951</v>
      </c>
      <c r="N118" s="5">
        <v>-0.83157</v>
      </c>
      <c r="O118" s="5">
        <v>0.014808</v>
      </c>
    </row>
    <row r="119">
      <c r="A119" s="12" t="str">
        <f>IFERROR(__xludf.DUMMYFUNCTION("""COMPUTED_VALUE"""),"Zabian Dowdell")</f>
        <v>Zabian Dowdell</v>
      </c>
      <c r="B119" s="13" t="str">
        <f>IFERROR(__xludf.DUMMYFUNCTION("""COMPUTED_VALUE"""),"ENI")</f>
        <v>ENI</v>
      </c>
      <c r="C119" s="14">
        <f>IFERROR(__xludf.DUMMYFUNCTION("""COMPUTED_VALUE"""),567.0)</f>
        <v>567</v>
      </c>
      <c r="D119" s="15">
        <f>IFERROR(__xludf.DUMMYFUNCTION("""COMPUTED_VALUE"""),2.6041091042094453)</f>
        <v>2.604109104</v>
      </c>
      <c r="E119" s="15">
        <f>IFERROR(__xludf.DUMMYFUNCTION("""COMPUTED_VALUE"""),-3.516880186224061)</f>
        <v>-3.516880186</v>
      </c>
      <c r="F119" s="15">
        <f>IFERROR(__xludf.DUMMYFUNCTION("""COMPUTED_VALUE"""),-0.9127710820146158)</f>
        <v>-0.912771082</v>
      </c>
      <c r="G119" s="17">
        <f>IFERROR(__xludf.DUMMYFUNCTION("""COMPUTED_VALUE"""),0.2029093171711638)</f>
        <v>0.2029093172</v>
      </c>
      <c r="H119" s="4"/>
      <c r="I119" s="5" t="s">
        <v>2908</v>
      </c>
      <c r="J119" s="5" t="s">
        <v>2854</v>
      </c>
      <c r="K119" s="24">
        <v>305.0</v>
      </c>
      <c r="L119" s="5">
        <v>-1.261047</v>
      </c>
      <c r="M119" s="5">
        <v>0.385418</v>
      </c>
      <c r="N119" s="5">
        <v>-0.875629</v>
      </c>
      <c r="O119" s="5">
        <v>0.113026</v>
      </c>
    </row>
    <row r="120">
      <c r="A120" s="18" t="str">
        <f>IFERROR(__xludf.DUMMYFUNCTION("""COMPUTED_VALUE"""),"Fedor Klyuchnikov")</f>
        <v>Fedor Klyuchnikov</v>
      </c>
      <c r="B120" s="19" t="str">
        <f>IFERROR(__xludf.DUMMYFUNCTION("""COMPUTED_VALUE"""),"AVT")</f>
        <v>AVT</v>
      </c>
      <c r="C120" s="20">
        <f>IFERROR(__xludf.DUMMYFUNCTION("""COMPUTED_VALUE"""),38.1)</f>
        <v>38.1</v>
      </c>
      <c r="D120" s="21">
        <f>IFERROR(__xludf.DUMMYFUNCTION("""COMPUTED_VALUE"""),-0.4625913190474576)</f>
        <v>-0.462591319</v>
      </c>
      <c r="E120" s="21">
        <f>IFERROR(__xludf.DUMMYFUNCTION("""COMPUTED_VALUE"""),-0.48945900893841027)</f>
        <v>-0.4894590089</v>
      </c>
      <c r="F120" s="21">
        <f>IFERROR(__xludf.DUMMYFUNCTION("""COMPUTED_VALUE"""),-0.9520503279858679)</f>
        <v>-0.952050328</v>
      </c>
      <c r="G120" s="23">
        <f>IFERROR(__xludf.DUMMYFUNCTION("""COMPUTED_VALUE"""),0.011951723153291675)</f>
        <v>0.01195172315</v>
      </c>
      <c r="H120" s="4"/>
      <c r="I120" s="5" t="s">
        <v>2909</v>
      </c>
      <c r="J120" s="5" t="s">
        <v>2811</v>
      </c>
      <c r="K120" s="5">
        <v>352.0</v>
      </c>
      <c r="L120" s="5">
        <v>-1.411919</v>
      </c>
      <c r="M120" s="5">
        <v>0.530211</v>
      </c>
      <c r="N120" s="5">
        <v>-0.881709</v>
      </c>
      <c r="O120" s="5">
        <v>0.118611</v>
      </c>
    </row>
    <row r="121">
      <c r="A121" s="12" t="str">
        <f>IFERROR(__xludf.DUMMYFUNCTION("""COMPUTED_VALUE"""),"Devon Saddler")</f>
        <v>Devon Saddler</v>
      </c>
      <c r="B121" s="13" t="str">
        <f>IFERROR(__xludf.DUMMYFUNCTION("""COMPUTED_VALUE"""),"MIN")</f>
        <v>MIN</v>
      </c>
      <c r="C121" s="14">
        <f>IFERROR(__xludf.DUMMYFUNCTION("""COMPUTED_VALUE"""),590.3)</f>
        <v>590.3</v>
      </c>
      <c r="D121" s="15">
        <f>IFERROR(__xludf.DUMMYFUNCTION("""COMPUTED_VALUE"""),2.340253144005315)</f>
        <v>2.340253144</v>
      </c>
      <c r="E121" s="15">
        <f>IFERROR(__xludf.DUMMYFUNCTION("""COMPUTED_VALUE"""),-3.327781925000081)</f>
        <v>-3.327781925</v>
      </c>
      <c r="F121" s="15">
        <f>IFERROR(__xludf.DUMMYFUNCTION("""COMPUTED_VALUE"""),-0.9875287809947657)</f>
        <v>-0.987528781</v>
      </c>
      <c r="G121" s="17">
        <f>IFERROR(__xludf.DUMMYFUNCTION("""COMPUTED_VALUE"""),0.18034289387204996)</f>
        <v>0.1803428939</v>
      </c>
      <c r="H121" s="4"/>
      <c r="I121" s="5" t="s">
        <v>2910</v>
      </c>
      <c r="J121" s="5" t="s">
        <v>2822</v>
      </c>
      <c r="K121" s="5">
        <v>38.0</v>
      </c>
      <c r="L121" s="5">
        <v>-0.456191</v>
      </c>
      <c r="M121" s="5">
        <v>-0.454576</v>
      </c>
      <c r="N121" s="5">
        <v>-0.910767</v>
      </c>
      <c r="O121" s="5">
        <v>0.012395</v>
      </c>
    </row>
    <row r="122">
      <c r="A122" s="18" t="str">
        <f>IFERROR(__xludf.DUMMYFUNCTION("""COMPUTED_VALUE"""),"Maxim Kolyushkin")</f>
        <v>Maxim Kolyushkin</v>
      </c>
      <c r="B122" s="19" t="str">
        <f>IFERROR(__xludf.DUMMYFUNCTION("""COMPUTED_VALUE"""),"NIZ")</f>
        <v>NIZ</v>
      </c>
      <c r="C122" s="20">
        <f>IFERROR(__xludf.DUMMYFUNCTION("""COMPUTED_VALUE"""),22.7)</f>
        <v>22.7</v>
      </c>
      <c r="D122" s="21">
        <f>IFERROR(__xludf.DUMMYFUNCTION("""COMPUTED_VALUE"""),-0.7989445428798924)</f>
        <v>-0.7989445429</v>
      </c>
      <c r="E122" s="21">
        <f>IFERROR(__xludf.DUMMYFUNCTION("""COMPUTED_VALUE"""),-0.20746291545466755)</f>
        <v>-0.2074629155</v>
      </c>
      <c r="F122" s="21">
        <f>IFERROR(__xludf.DUMMYFUNCTION("""COMPUTED_VALUE"""),-1.00640745833456)</f>
        <v>-1.006407458</v>
      </c>
      <c r="G122" s="23">
        <f>IFERROR(__xludf.DUMMYFUNCTION("""COMPUTED_VALUE"""),0.006966471085082109)</f>
        <v>0.006966471085</v>
      </c>
      <c r="H122" s="4"/>
      <c r="I122" s="5" t="s">
        <v>2911</v>
      </c>
      <c r="J122" s="5" t="s">
        <v>2854</v>
      </c>
      <c r="K122" s="24">
        <v>567.0</v>
      </c>
      <c r="L122" s="5">
        <v>0.806</v>
      </c>
      <c r="M122" s="5">
        <v>-1.719873</v>
      </c>
      <c r="N122" s="5">
        <v>-0.913873</v>
      </c>
      <c r="O122" s="5">
        <v>0.202704</v>
      </c>
    </row>
    <row r="123">
      <c r="A123" s="12" t="str">
        <f>IFERROR(__xludf.DUMMYFUNCTION("""COMPUTED_VALUE"""),"Andrejs Grazulis")</f>
        <v>Andrejs Grazulis</v>
      </c>
      <c r="B123" s="13" t="str">
        <f>IFERROR(__xludf.DUMMYFUNCTION("""COMPUTED_VALUE"""),"PARM")</f>
        <v>PARM</v>
      </c>
      <c r="C123" s="14">
        <f>IFERROR(__xludf.DUMMYFUNCTION("""COMPUTED_VALUE"""),512.9)</f>
        <v>512.9</v>
      </c>
      <c r="D123" s="15">
        <f>IFERROR(__xludf.DUMMYFUNCTION("""COMPUTED_VALUE"""),-1.2252728790959748)</f>
        <v>-1.225272879</v>
      </c>
      <c r="E123" s="15">
        <f>IFERROR(__xludf.DUMMYFUNCTION("""COMPUTED_VALUE"""),0.2079855036217635)</f>
        <v>0.2079855036</v>
      </c>
      <c r="F123" s="15">
        <f>IFERROR(__xludf.DUMMYFUNCTION("""COMPUTED_VALUE"""),-1.0172873754742113)</f>
        <v>-1.017287375</v>
      </c>
      <c r="G123" s="17">
        <f>IFERROR(__xludf.DUMMYFUNCTION("""COMPUTED_VALUE"""),0.15208447728014393)</f>
        <v>0.1520844773</v>
      </c>
      <c r="H123" s="4"/>
      <c r="I123" s="5" t="s">
        <v>2912</v>
      </c>
      <c r="J123" s="5" t="s">
        <v>2811</v>
      </c>
      <c r="K123" s="5">
        <v>590.0</v>
      </c>
      <c r="L123" s="5">
        <v>0.281157</v>
      </c>
      <c r="M123" s="5">
        <v>-1.266876</v>
      </c>
      <c r="N123" s="5">
        <v>-0.985719</v>
      </c>
      <c r="O123" s="5">
        <v>0.180665</v>
      </c>
    </row>
    <row r="124">
      <c r="A124" s="18" t="str">
        <f>IFERROR(__xludf.DUMMYFUNCTION("""COMPUTED_VALUE"""),"Maxim Tkachenko")</f>
        <v>Maxim Tkachenko</v>
      </c>
      <c r="B124" s="19" t="str">
        <f>IFERROR(__xludf.DUMMYFUNCTION("""COMPUTED_VALUE"""),"KHI")</f>
        <v>KHI</v>
      </c>
      <c r="C124" s="20">
        <f>IFERROR(__xludf.DUMMYFUNCTION("""COMPUTED_VALUE"""),32.1)</f>
        <v>32.1</v>
      </c>
      <c r="D124" s="21">
        <f>IFERROR(__xludf.DUMMYFUNCTION("""COMPUTED_VALUE"""),-0.8563236495715283)</f>
        <v>-0.8563236496</v>
      </c>
      <c r="E124" s="21">
        <f>IFERROR(__xludf.DUMMYFUNCTION("""COMPUTED_VALUE"""),-0.1621269121713904)</f>
        <v>-0.1621269122</v>
      </c>
      <c r="F124" s="21">
        <f>IFERROR(__xludf.DUMMYFUNCTION("""COMPUTED_VALUE"""),-1.0184505617429187)</f>
        <v>-1.018450562</v>
      </c>
      <c r="G124" s="23">
        <f>IFERROR(__xludf.DUMMYFUNCTION("""COMPUTED_VALUE"""),0.009522256776294926)</f>
        <v>0.009522256776</v>
      </c>
      <c r="H124" s="4"/>
      <c r="I124" s="5" t="s">
        <v>2913</v>
      </c>
      <c r="J124" s="5" t="s">
        <v>2831</v>
      </c>
      <c r="K124" s="5">
        <v>23.0</v>
      </c>
      <c r="L124" s="5">
        <v>-0.765673</v>
      </c>
      <c r="M124" s="5">
        <v>-0.221435</v>
      </c>
      <c r="N124" s="5">
        <v>-0.987109</v>
      </c>
      <c r="O124" s="5">
        <v>0.007147</v>
      </c>
    </row>
    <row r="125">
      <c r="A125" s="12" t="str">
        <f>IFERROR(__xludf.DUMMYFUNCTION("""COMPUTED_VALUE"""),"Artem Klimenko")</f>
        <v>Artem Klimenko</v>
      </c>
      <c r="B125" s="13" t="str">
        <f>IFERROR(__xludf.DUMMYFUNCTION("""COMPUTED_VALUE"""),"AVT")</f>
        <v>AVT</v>
      </c>
      <c r="C125" s="14">
        <f>IFERROR(__xludf.DUMMYFUNCTION("""COMPUTED_VALUE"""),454.6)</f>
        <v>454.6</v>
      </c>
      <c r="D125" s="15">
        <f>IFERROR(__xludf.DUMMYFUNCTION("""COMPUTED_VALUE"""),-1.677074923211798)</f>
        <v>-1.677074923</v>
      </c>
      <c r="E125" s="15">
        <f>IFERROR(__xludf.DUMMYFUNCTION("""COMPUTED_VALUE"""),0.6095120846109845)</f>
        <v>0.6095120846</v>
      </c>
      <c r="F125" s="15">
        <f>IFERROR(__xludf.DUMMYFUNCTION("""COMPUTED_VALUE"""),-1.0675628386008136)</f>
        <v>-1.067562839</v>
      </c>
      <c r="G125" s="17">
        <f>IFERROR(__xludf.DUMMYFUNCTION("""COMPUTED_VALUE"""),0.12688612305640473)</f>
        <v>0.1268861231</v>
      </c>
      <c r="H125" s="4"/>
      <c r="I125" s="5" t="s">
        <v>2914</v>
      </c>
      <c r="J125" s="5" t="s">
        <v>51</v>
      </c>
      <c r="K125" s="24">
        <v>32.0</v>
      </c>
      <c r="L125" s="5">
        <v>-0.742371</v>
      </c>
      <c r="M125" s="5">
        <v>-0.250562</v>
      </c>
      <c r="N125" s="5">
        <v>-0.992933</v>
      </c>
      <c r="O125" s="5">
        <v>0.009815</v>
      </c>
    </row>
    <row r="126">
      <c r="A126" s="18" t="str">
        <f>IFERROR(__xludf.DUMMYFUNCTION("""COMPUTED_VALUE"""),"Timofey Yakushin")</f>
        <v>Timofey Yakushin</v>
      </c>
      <c r="B126" s="19" t="str">
        <f>IFERROR(__xludf.DUMMYFUNCTION("""COMPUTED_VALUE"""),"KHI")</f>
        <v>KHI</v>
      </c>
      <c r="C126" s="20">
        <f>IFERROR(__xludf.DUMMYFUNCTION("""COMPUTED_VALUE"""),79.0)</f>
        <v>79</v>
      </c>
      <c r="D126" s="21">
        <f>IFERROR(__xludf.DUMMYFUNCTION("""COMPUTED_VALUE"""),-1.1774140779549918)</f>
        <v>-1.177414078</v>
      </c>
      <c r="E126" s="21">
        <f>IFERROR(__xludf.DUMMYFUNCTION("""COMPUTED_VALUE"""),0.08968850583078836)</f>
        <v>0.08968850583</v>
      </c>
      <c r="F126" s="21">
        <f>IFERROR(__xludf.DUMMYFUNCTION("""COMPUTED_VALUE"""),-1.0877255721242034)</f>
        <v>-1.087725572</v>
      </c>
      <c r="G126" s="23">
        <f>IFERROR(__xludf.DUMMYFUNCTION("""COMPUTED_VALUE"""),0.021780872347564605)</f>
        <v>0.02178087235</v>
      </c>
      <c r="H126" s="4"/>
      <c r="I126" s="5" t="s">
        <v>2915</v>
      </c>
      <c r="J126" s="5" t="s">
        <v>2841</v>
      </c>
      <c r="K126" s="5">
        <v>513.0</v>
      </c>
      <c r="L126" s="5">
        <v>-2.294003</v>
      </c>
      <c r="M126" s="5">
        <v>1.27558</v>
      </c>
      <c r="N126" s="5">
        <v>-1.018424</v>
      </c>
      <c r="O126" s="5">
        <v>0.151909</v>
      </c>
    </row>
    <row r="127">
      <c r="A127" s="12" t="str">
        <f>IFERROR(__xludf.DUMMYFUNCTION("""COMPUTED_VALUE"""),"Larry Gordon")</f>
        <v>Larry Gordon</v>
      </c>
      <c r="B127" s="13" t="str">
        <f>IFERROR(__xludf.DUMMYFUNCTION("""COMPUTED_VALUE"""),"AST")</f>
        <v>AST</v>
      </c>
      <c r="C127" s="14">
        <f>IFERROR(__xludf.DUMMYFUNCTION("""COMPUTED_VALUE"""),557.8)</f>
        <v>557.8</v>
      </c>
      <c r="D127" s="15">
        <f>IFERROR(__xludf.DUMMYFUNCTION("""COMPUTED_VALUE"""),0.23461328720024133)</f>
        <v>0.2346132872</v>
      </c>
      <c r="E127" s="15">
        <f>IFERROR(__xludf.DUMMYFUNCTION("""COMPUTED_VALUE"""),-1.3412249560609535)</f>
        <v>-1.341224956</v>
      </c>
      <c r="F127" s="15">
        <f>IFERROR(__xludf.DUMMYFUNCTION("""COMPUTED_VALUE"""),-1.1066116688607122)</f>
        <v>-1.106611669</v>
      </c>
      <c r="G127" s="17">
        <f>IFERROR(__xludf.DUMMYFUNCTION("""COMPUTED_VALUE"""),0.14886328721166214)</f>
        <v>0.1488632872</v>
      </c>
      <c r="H127" s="4"/>
      <c r="I127" s="5" t="s">
        <v>2916</v>
      </c>
      <c r="J127" s="5" t="s">
        <v>51</v>
      </c>
      <c r="K127" s="5">
        <v>79.0</v>
      </c>
      <c r="L127" s="5">
        <v>-0.899219</v>
      </c>
      <c r="M127" s="5">
        <v>-0.127976</v>
      </c>
      <c r="N127" s="5">
        <v>-1.027195</v>
      </c>
      <c r="O127" s="5">
        <v>0.023333</v>
      </c>
    </row>
    <row r="128">
      <c r="A128" s="18" t="str">
        <f>IFERROR(__xludf.DUMMYFUNCTION("""COMPUTED_VALUE"""),"Alan Makiev")</f>
        <v>Alan Makiev</v>
      </c>
      <c r="B128" s="19" t="str">
        <f>IFERROR(__xludf.DUMMYFUNCTION("""COMPUTED_VALUE"""),"CSKA")</f>
        <v>CSKA</v>
      </c>
      <c r="C128" s="20">
        <f>IFERROR(__xludf.DUMMYFUNCTION("""COMPUTED_VALUE"""),28.6)</f>
        <v>28.6</v>
      </c>
      <c r="D128" s="21">
        <f>IFERROR(__xludf.DUMMYFUNCTION("""COMPUTED_VALUE"""),-0.7573137881433338)</f>
        <v>-0.7573137881</v>
      </c>
      <c r="E128" s="21">
        <f>IFERROR(__xludf.DUMMYFUNCTION("""COMPUTED_VALUE"""),-0.3728711971967358)</f>
        <v>-0.3728711972</v>
      </c>
      <c r="F128" s="21">
        <f>IFERROR(__xludf.DUMMYFUNCTION("""COMPUTED_VALUE"""),-1.1301849853400696)</f>
        <v>-1.130184985</v>
      </c>
      <c r="G128" s="23">
        <f>IFERROR(__xludf.DUMMYFUNCTION("""COMPUTED_VALUE"""),0.007533026447592)</f>
        <v>0.007533026448</v>
      </c>
      <c r="H128" s="4"/>
      <c r="I128" s="5" t="s">
        <v>2917</v>
      </c>
      <c r="J128" s="5" t="s">
        <v>2831</v>
      </c>
      <c r="K128" s="5">
        <v>95.0</v>
      </c>
      <c r="L128" s="5">
        <v>-0.05086</v>
      </c>
      <c r="M128" s="5">
        <v>-1.011164</v>
      </c>
      <c r="N128" s="5">
        <v>-1.062024</v>
      </c>
      <c r="O128" s="5">
        <v>0.027553</v>
      </c>
    </row>
    <row r="129">
      <c r="A129" s="12" t="str">
        <f>IFERROR(__xludf.DUMMYFUNCTION("""COMPUTED_VALUE"""),"Maxim Grigoryev")</f>
        <v>Maxim Grigoryev</v>
      </c>
      <c r="B129" s="13" t="str">
        <f>IFERROR(__xludf.DUMMYFUNCTION("""COMPUTED_VALUE"""),"NIZ")</f>
        <v>NIZ</v>
      </c>
      <c r="C129" s="14">
        <f>IFERROR(__xludf.DUMMYFUNCTION("""COMPUTED_VALUE"""),250.3)</f>
        <v>250.3</v>
      </c>
      <c r="D129" s="15">
        <f>IFERROR(__xludf.DUMMYFUNCTION("""COMPUTED_VALUE"""),1.369068980819813)</f>
        <v>1.369068981</v>
      </c>
      <c r="E129" s="15">
        <f>IFERROR(__xludf.DUMMYFUNCTION("""COMPUTED_VALUE"""),-2.5639006140098592)</f>
        <v>-2.563900614</v>
      </c>
      <c r="F129" s="15">
        <f>IFERROR(__xludf.DUMMYFUNCTION("""COMPUTED_VALUE"""),-1.194831633190046)</f>
        <v>-1.194831633</v>
      </c>
      <c r="G129" s="17">
        <f>IFERROR(__xludf.DUMMYFUNCTION("""COMPUTED_VALUE"""),0.062248116137644194)</f>
        <v>0.06224811614</v>
      </c>
      <c r="H129" s="4"/>
      <c r="I129" s="5" t="s">
        <v>2918</v>
      </c>
      <c r="J129" s="5" t="s">
        <v>2838</v>
      </c>
      <c r="K129" s="5">
        <v>558.0</v>
      </c>
      <c r="L129" s="5">
        <v>-1.42574</v>
      </c>
      <c r="M129" s="5">
        <v>0.31862</v>
      </c>
      <c r="N129" s="5">
        <v>-1.107119</v>
      </c>
      <c r="O129" s="5">
        <v>0.148779</v>
      </c>
    </row>
    <row r="130">
      <c r="A130" s="18" t="str">
        <f>IFERROR(__xludf.DUMMYFUNCTION("""COMPUTED_VALUE"""),"Ken Brown")</f>
        <v>Ken Brown</v>
      </c>
      <c r="B130" s="19" t="str">
        <f>IFERROR(__xludf.DUMMYFUNCTION("""COMPUTED_VALUE"""),"RIG")</f>
        <v>RIG</v>
      </c>
      <c r="C130" s="20">
        <f>IFERROR(__xludf.DUMMYFUNCTION("""COMPUTED_VALUE"""),375.6)</f>
        <v>375.6</v>
      </c>
      <c r="D130" s="21">
        <f>IFERROR(__xludf.DUMMYFUNCTION("""COMPUTED_VALUE"""),3.7509687184903315)</f>
        <v>3.750968718</v>
      </c>
      <c r="E130" s="21">
        <f>IFERROR(__xludf.DUMMYFUNCTION("""COMPUTED_VALUE"""),-4.973697318466934)</f>
        <v>-4.973697318</v>
      </c>
      <c r="F130" s="21">
        <f>IFERROR(__xludf.DUMMYFUNCTION("""COMPUTED_VALUE"""),-1.2227285999766024)</f>
        <v>-1.2227286</v>
      </c>
      <c r="G130" s="23">
        <f>IFERROR(__xludf.DUMMYFUNCTION("""COMPUTED_VALUE"""),0.08859688346540721)</f>
        <v>0.08859688347</v>
      </c>
      <c r="H130" s="4"/>
      <c r="I130" s="5" t="s">
        <v>239</v>
      </c>
      <c r="J130" s="5" t="s">
        <v>12</v>
      </c>
      <c r="K130" s="24">
        <v>29.0</v>
      </c>
      <c r="L130" s="5">
        <v>-0.414517</v>
      </c>
      <c r="M130" s="5">
        <v>-0.724785</v>
      </c>
      <c r="N130" s="5">
        <v>-1.139302</v>
      </c>
      <c r="O130" s="5">
        <v>0.007505</v>
      </c>
    </row>
    <row r="131">
      <c r="A131" s="12" t="str">
        <f>IFERROR(__xludf.DUMMYFUNCTION("""COMPUTED_VALUE"""),"Vadim Panin")</f>
        <v>Vadim Panin</v>
      </c>
      <c r="B131" s="13" t="str">
        <f>IFERROR(__xludf.DUMMYFUNCTION("""COMPUTED_VALUE"""),"NIZ")</f>
        <v>NIZ</v>
      </c>
      <c r="C131" s="14">
        <f>IFERROR(__xludf.DUMMYFUNCTION("""COMPUTED_VALUE"""),519.5)</f>
        <v>519.5</v>
      </c>
      <c r="D131" s="15">
        <f>IFERROR(__xludf.DUMMYFUNCTION("""COMPUTED_VALUE"""),-2.0542113036297267)</f>
        <v>-2.054211304</v>
      </c>
      <c r="E131" s="15">
        <f>IFERROR(__xludf.DUMMYFUNCTION("""COMPUTED_VALUE"""),0.7638835306982319)</f>
        <v>0.7638835307</v>
      </c>
      <c r="F131" s="15">
        <f>IFERROR(__xludf.DUMMYFUNCTION("""COMPUTED_VALUE"""),-1.2903277729314948)</f>
        <v>-1.290327773</v>
      </c>
      <c r="G131" s="17">
        <f>IFERROR(__xludf.DUMMYFUNCTION("""COMPUTED_VALUE"""),0.11387332982107323)</f>
        <v>0.1138733298</v>
      </c>
      <c r="H131" s="4"/>
      <c r="I131" s="5" t="s">
        <v>2919</v>
      </c>
      <c r="J131" s="5" t="s">
        <v>2851</v>
      </c>
      <c r="K131" s="5">
        <v>375.0</v>
      </c>
      <c r="L131" s="5">
        <v>-0.02801</v>
      </c>
      <c r="M131" s="5">
        <v>-1.216688</v>
      </c>
      <c r="N131" s="5">
        <v>-1.244698</v>
      </c>
      <c r="O131" s="5">
        <v>0.085858</v>
      </c>
    </row>
    <row r="132">
      <c r="A132" s="18" t="str">
        <f>IFERROR(__xludf.DUMMYFUNCTION("""COMPUTED_VALUE"""),"Rustam Murzagaliyev")</f>
        <v>Rustam Murzagaliyev</v>
      </c>
      <c r="B132" s="19" t="str">
        <f>IFERROR(__xludf.DUMMYFUNCTION("""COMPUTED_VALUE"""),"AST")</f>
        <v>AST</v>
      </c>
      <c r="C132" s="20">
        <f>IFERROR(__xludf.DUMMYFUNCTION("""COMPUTED_VALUE"""),32.1)</f>
        <v>32.1</v>
      </c>
      <c r="D132" s="21">
        <f>IFERROR(__xludf.DUMMYFUNCTION("""COMPUTED_VALUE"""),-1.0694260854247721)</f>
        <v>-1.069426085</v>
      </c>
      <c r="E132" s="21">
        <f>IFERROR(__xludf.DUMMYFUNCTION("""COMPUTED_VALUE"""),-0.23687585047757187)</f>
        <v>-0.2368758505</v>
      </c>
      <c r="F132" s="21">
        <f>IFERROR(__xludf.DUMMYFUNCTION("""COMPUTED_VALUE"""),-1.306301935902344)</f>
        <v>-1.306301936</v>
      </c>
      <c r="G132" s="23">
        <f>IFERROR(__xludf.DUMMYFUNCTION("""COMPUTED_VALUE"""),0.0066518789008985345)</f>
        <v>0.006651878901</v>
      </c>
      <c r="H132" s="4"/>
      <c r="I132" s="5" t="s">
        <v>2920</v>
      </c>
      <c r="J132" s="5" t="s">
        <v>2851</v>
      </c>
      <c r="K132" s="5">
        <v>319.0</v>
      </c>
      <c r="L132" s="5">
        <v>-2.31981</v>
      </c>
      <c r="M132" s="5">
        <v>1.025362</v>
      </c>
      <c r="N132" s="5">
        <v>-1.294448</v>
      </c>
      <c r="O132" s="5">
        <v>0.068241</v>
      </c>
    </row>
    <row r="133">
      <c r="A133" s="12" t="str">
        <f>IFERROR(__xludf.DUMMYFUNCTION("""COMPUTED_VALUE"""),"Dmitri Paliashchuk")</f>
        <v>Dmitri Paliashchuk</v>
      </c>
      <c r="B133" s="13" t="str">
        <f>IFERROR(__xludf.DUMMYFUNCTION("""COMPUTED_VALUE"""),"MIN")</f>
        <v>MIN</v>
      </c>
      <c r="C133" s="14">
        <f>IFERROR(__xludf.DUMMYFUNCTION("""COMPUTED_VALUE"""),193.3)</f>
        <v>193.3</v>
      </c>
      <c r="D133" s="15">
        <f>IFERROR(__xludf.DUMMYFUNCTION("""COMPUTED_VALUE"""),-0.8069133470577031)</f>
        <v>-0.8069133471</v>
      </c>
      <c r="E133" s="15">
        <f>IFERROR(__xludf.DUMMYFUNCTION("""COMPUTED_VALUE"""),-0.5340588170191115)</f>
        <v>-0.534058817</v>
      </c>
      <c r="F133" s="15">
        <f>IFERROR(__xludf.DUMMYFUNCTION("""COMPUTED_VALUE"""),-1.3409721640768146)</f>
        <v>-1.340972164</v>
      </c>
      <c r="G133" s="17">
        <f>IFERROR(__xludf.DUMMYFUNCTION("""COMPUTED_VALUE"""),0.03843962809146318)</f>
        <v>0.03843962809</v>
      </c>
      <c r="H133" s="4"/>
      <c r="I133" s="5" t="s">
        <v>2921</v>
      </c>
      <c r="J133" s="5" t="s">
        <v>2838</v>
      </c>
      <c r="K133" s="5">
        <v>32.0</v>
      </c>
      <c r="L133" s="5">
        <v>-1.247156</v>
      </c>
      <c r="M133" s="5">
        <v>-0.05926</v>
      </c>
      <c r="N133" s="5">
        <v>-1.306416</v>
      </c>
      <c r="O133" s="5">
        <v>0.006651</v>
      </c>
    </row>
    <row r="134">
      <c r="A134" s="18" t="str">
        <f>IFERROR(__xludf.DUMMYFUNCTION("""COMPUTED_VALUE"""),"Artem Yakovenko")</f>
        <v>Artem Yakovenko</v>
      </c>
      <c r="B134" s="19" t="str">
        <f>IFERROR(__xludf.DUMMYFUNCTION("""COMPUTED_VALUE"""),"PARM")</f>
        <v>PARM</v>
      </c>
      <c r="C134" s="20">
        <f>IFERROR(__xludf.DUMMYFUNCTION("""COMPUTED_VALUE"""),28.4)</f>
        <v>28.4</v>
      </c>
      <c r="D134" s="21">
        <f>IFERROR(__xludf.DUMMYFUNCTION("""COMPUTED_VALUE"""),-1.0061527062994706)</f>
        <v>-1.006152706</v>
      </c>
      <c r="E134" s="21">
        <f>IFERROR(__xludf.DUMMYFUNCTION("""COMPUTED_VALUE"""),-0.3397422571117594)</f>
        <v>-0.3397422571</v>
      </c>
      <c r="F134" s="21">
        <f>IFERROR(__xludf.DUMMYFUNCTION("""COMPUTED_VALUE"""),-1.34589496341123)</f>
        <v>-1.345894963</v>
      </c>
      <c r="G134" s="23">
        <f>IFERROR(__xludf.DUMMYFUNCTION("""COMPUTED_VALUE"""),0.005605204839563812)</f>
        <v>0.00560520484</v>
      </c>
      <c r="H134" s="4"/>
      <c r="I134" s="5" t="s">
        <v>2922</v>
      </c>
      <c r="J134" s="5" t="s">
        <v>2811</v>
      </c>
      <c r="K134" s="24">
        <v>193.0</v>
      </c>
      <c r="L134" s="5">
        <v>-2.136109</v>
      </c>
      <c r="M134" s="5">
        <v>0.794288</v>
      </c>
      <c r="N134" s="5">
        <v>-1.341821</v>
      </c>
      <c r="O134" s="5">
        <v>0.03839</v>
      </c>
    </row>
    <row r="135">
      <c r="A135" s="12" t="str">
        <f>IFERROR(__xludf.DUMMYFUNCTION("""COMPUTED_VALUE"""),"Alexey Vzdykhalkin")</f>
        <v>Alexey Vzdykhalkin</v>
      </c>
      <c r="B135" s="13" t="str">
        <f>IFERROR(__xludf.DUMMYFUNCTION("""COMPUTED_VALUE"""),"PARM")</f>
        <v>PARM</v>
      </c>
      <c r="C135" s="14">
        <f>IFERROR(__xludf.DUMMYFUNCTION("""COMPUTED_VALUE"""),105.3)</f>
        <v>105.3</v>
      </c>
      <c r="D135" s="15">
        <f>IFERROR(__xludf.DUMMYFUNCTION("""COMPUTED_VALUE"""),-0.17341824398546982)</f>
        <v>-0.173418244</v>
      </c>
      <c r="E135" s="15">
        <f>IFERROR(__xludf.DUMMYFUNCTION("""COMPUTED_VALUE"""),-1.200399323337171)</f>
        <v>-1.200399323</v>
      </c>
      <c r="F135" s="15">
        <f>IFERROR(__xludf.DUMMYFUNCTION("""COMPUTED_VALUE"""),-1.373817567322641)</f>
        <v>-1.373817567</v>
      </c>
      <c r="G135" s="17">
        <f>IFERROR(__xludf.DUMMYFUNCTION("""COMPUTED_VALUE"""),0.019895502185846386)</f>
        <v>0.01989550219</v>
      </c>
      <c r="H135" s="4"/>
      <c r="I135" s="5" t="s">
        <v>2923</v>
      </c>
      <c r="J135" s="5" t="s">
        <v>2841</v>
      </c>
      <c r="K135" s="5">
        <v>28.0</v>
      </c>
      <c r="L135" s="5">
        <v>-1.107248</v>
      </c>
      <c r="M135" s="5">
        <v>-0.238691</v>
      </c>
      <c r="N135" s="5">
        <v>-1.345938</v>
      </c>
      <c r="O135" s="5">
        <v>0.005605</v>
      </c>
    </row>
    <row r="136">
      <c r="A136" s="18" t="str">
        <f>IFERROR(__xludf.DUMMYFUNCTION("""COMPUTED_VALUE"""),"Konstantin Bulanov")</f>
        <v>Konstantin Bulanov</v>
      </c>
      <c r="B136" s="19" t="str">
        <f>IFERROR(__xludf.DUMMYFUNCTION("""COMPUTED_VALUE"""),"PARM")</f>
        <v>PARM</v>
      </c>
      <c r="C136" s="20">
        <f>IFERROR(__xludf.DUMMYFUNCTION("""COMPUTED_VALUE"""),229.6)</f>
        <v>229.6</v>
      </c>
      <c r="D136" s="21">
        <f>IFERROR(__xludf.DUMMYFUNCTION("""COMPUTED_VALUE"""),1.020271503089355)</f>
        <v>1.020271503</v>
      </c>
      <c r="E136" s="21">
        <f>IFERROR(__xludf.DUMMYFUNCTION("""COMPUTED_VALUE"""),-2.4129340429374446)</f>
        <v>-2.412934043</v>
      </c>
      <c r="F136" s="21">
        <f>IFERROR(__xludf.DUMMYFUNCTION("""COMPUTED_VALUE"""),-1.3926625398480896)</f>
        <v>-1.39266254</v>
      </c>
      <c r="G136" s="23">
        <f>IFERROR(__xludf.DUMMYFUNCTION("""COMPUTED_VALUE"""),0.04207533744557564)</f>
        <v>0.04207533745</v>
      </c>
      <c r="H136" s="4"/>
      <c r="I136" s="5" t="s">
        <v>2924</v>
      </c>
      <c r="J136" s="5" t="s">
        <v>2841</v>
      </c>
      <c r="K136" s="24">
        <v>105.0</v>
      </c>
      <c r="L136" s="5">
        <v>-0.548356</v>
      </c>
      <c r="M136" s="5">
        <v>-0.825707</v>
      </c>
      <c r="N136" s="5">
        <v>-1.374063</v>
      </c>
      <c r="O136" s="5">
        <v>0.019888</v>
      </c>
    </row>
    <row r="137">
      <c r="A137" s="12" t="str">
        <f>IFERROR(__xludf.DUMMYFUNCTION("""COMPUTED_VALUE"""),"Micah Downs")</f>
        <v>Micah Downs</v>
      </c>
      <c r="B137" s="13" t="str">
        <f>IFERROR(__xludf.DUMMYFUNCTION("""COMPUTED_VALUE"""),"AVT")</f>
        <v>AVT</v>
      </c>
      <c r="C137" s="14">
        <f>IFERROR(__xludf.DUMMYFUNCTION("""COMPUTED_VALUE"""),716.9)</f>
        <v>716.9</v>
      </c>
      <c r="D137" s="15">
        <f>IFERROR(__xludf.DUMMYFUNCTION("""COMPUTED_VALUE"""),-2.0239117871199337)</f>
        <v>-2.023911787</v>
      </c>
      <c r="E137" s="15">
        <f>IFERROR(__xludf.DUMMYFUNCTION("""COMPUTED_VALUE"""),0.5911994216060792)</f>
        <v>0.5911994216</v>
      </c>
      <c r="F137" s="15">
        <f>IFERROR(__xludf.DUMMYFUNCTION("""COMPUTED_VALUE"""),-1.4327123655138545)</f>
        <v>-1.432712366</v>
      </c>
      <c r="G137" s="17">
        <f>IFERROR(__xludf.DUMMYFUNCTION("""COMPUTED_VALUE"""),0.12173824046694616)</f>
        <v>0.1217382405</v>
      </c>
      <c r="H137" s="4"/>
      <c r="I137" s="5" t="s">
        <v>2925</v>
      </c>
      <c r="J137" s="5" t="s">
        <v>2841</v>
      </c>
      <c r="K137" s="5">
        <v>230.0</v>
      </c>
      <c r="L137" s="5">
        <v>0.202797</v>
      </c>
      <c r="M137" s="5">
        <v>-1.595951</v>
      </c>
      <c r="N137" s="5">
        <v>-1.393154</v>
      </c>
      <c r="O137" s="5">
        <v>0.042041</v>
      </c>
    </row>
    <row r="138">
      <c r="A138" s="18" t="str">
        <f>IFERROR(__xludf.DUMMYFUNCTION("""COMPUTED_VALUE"""),"Nikolajs Zotovs")</f>
        <v>Nikolajs Zotovs</v>
      </c>
      <c r="B138" s="19" t="str">
        <f>IFERROR(__xludf.DUMMYFUNCTION("""COMPUTED_VALUE"""),"RIG")</f>
        <v>RIG</v>
      </c>
      <c r="C138" s="20">
        <f>IFERROR(__xludf.DUMMYFUNCTION("""COMPUTED_VALUE"""),23.9)</f>
        <v>23.9</v>
      </c>
      <c r="D138" s="21">
        <f>IFERROR(__xludf.DUMMYFUNCTION("""COMPUTED_VALUE"""),-0.9610233597655108)</f>
        <v>-0.9610233598</v>
      </c>
      <c r="E138" s="21">
        <f>IFERROR(__xludf.DUMMYFUNCTION("""COMPUTED_VALUE"""),-0.5033788448143471)</f>
        <v>-0.5033788448</v>
      </c>
      <c r="F138" s="21">
        <f>IFERROR(__xludf.DUMMYFUNCTION("""COMPUTED_VALUE"""),-1.464402204579858)</f>
        <v>-1.464402205</v>
      </c>
      <c r="G138" s="23">
        <f>IFERROR(__xludf.DUMMYFUNCTION("""COMPUTED_VALUE"""),0.00388469436197165)</f>
        <v>0.003884694362</v>
      </c>
      <c r="H138" s="4"/>
      <c r="I138" s="5" t="s">
        <v>2926</v>
      </c>
      <c r="J138" s="5" t="s">
        <v>2831</v>
      </c>
      <c r="K138" s="5">
        <v>121.0</v>
      </c>
      <c r="L138" s="5">
        <v>-1.094432</v>
      </c>
      <c r="M138" s="5">
        <v>-0.306095</v>
      </c>
      <c r="N138" s="5">
        <v>-1.400527</v>
      </c>
      <c r="O138" s="5">
        <v>0.022567</v>
      </c>
    </row>
    <row r="139">
      <c r="A139" s="12" t="str">
        <f>IFERROR(__xludf.DUMMYFUNCTION("""COMPUTED_VALUE"""),"Malcolm Griffin")</f>
        <v>Malcolm Griffin</v>
      </c>
      <c r="B139" s="13" t="str">
        <f>IFERROR(__xludf.DUMMYFUNCTION("""COMPUTED_VALUE"""),"ZEN")</f>
        <v>ZEN</v>
      </c>
      <c r="C139" s="14">
        <f>IFERROR(__xludf.DUMMYFUNCTION("""COMPUTED_VALUE"""),178.4)</f>
        <v>178.4</v>
      </c>
      <c r="D139" s="15">
        <f>IFERROR(__xludf.DUMMYFUNCTION("""COMPUTED_VALUE"""),-1.9477913500819295)</f>
        <v>-1.94779135</v>
      </c>
      <c r="E139" s="15">
        <f>IFERROR(__xludf.DUMMYFUNCTION("""COMPUTED_VALUE"""),0.4812564015340357)</f>
        <v>0.4812564015</v>
      </c>
      <c r="F139" s="15">
        <f>IFERROR(__xludf.DUMMYFUNCTION("""COMPUTED_VALUE"""),-1.4665349485478938)</f>
        <v>-1.466534949</v>
      </c>
      <c r="G139" s="17">
        <f>IFERROR(__xludf.DUMMYFUNCTION("""COMPUTED_VALUE"""),0.029017981112010205)</f>
        <v>0.02901798111</v>
      </c>
      <c r="H139" s="4"/>
      <c r="I139" s="5" t="s">
        <v>2927</v>
      </c>
      <c r="J139" s="5" t="s">
        <v>2851</v>
      </c>
      <c r="K139" s="5">
        <v>24.0</v>
      </c>
      <c r="L139" s="5">
        <v>-1.075698</v>
      </c>
      <c r="M139" s="5">
        <v>-0.338271</v>
      </c>
      <c r="N139" s="5">
        <v>-1.413969</v>
      </c>
      <c r="O139" s="5">
        <v>0.004248</v>
      </c>
    </row>
    <row r="140">
      <c r="A140" s="18" t="str">
        <f>IFERROR(__xludf.DUMMYFUNCTION("""COMPUTED_VALUE"""),"Corey Hawkins")</f>
        <v>Corey Hawkins</v>
      </c>
      <c r="B140" s="19" t="str">
        <f>IFERROR(__xludf.DUMMYFUNCTION("""COMPUTED_VALUE"""),"RIG")</f>
        <v>RIG</v>
      </c>
      <c r="C140" s="20">
        <f>IFERROR(__xludf.DUMMYFUNCTION("""COMPUTED_VALUE"""),41.7)</f>
        <v>41.7</v>
      </c>
      <c r="D140" s="21">
        <f>IFERROR(__xludf.DUMMYFUNCTION("""COMPUTED_VALUE"""),-0.8539324505728052)</f>
        <v>-0.8539324506</v>
      </c>
      <c r="E140" s="21">
        <f>IFERROR(__xludf.DUMMYFUNCTION("""COMPUTED_VALUE"""),-0.6464252820970626)</f>
        <v>-0.6464252821</v>
      </c>
      <c r="F140" s="21">
        <f>IFERROR(__xludf.DUMMYFUNCTION("""COMPUTED_VALUE"""),-1.5003577326698678)</f>
        <v>-1.500357733</v>
      </c>
      <c r="G140" s="23">
        <f>IFERROR(__xludf.DUMMYFUNCTION("""COMPUTED_VALUE"""),0.006322886689749307)</f>
        <v>0.00632288669</v>
      </c>
      <c r="H140" s="4"/>
      <c r="I140" s="5" t="s">
        <v>2928</v>
      </c>
      <c r="J140" s="5" t="s">
        <v>2816</v>
      </c>
      <c r="K140" s="5">
        <v>537.0</v>
      </c>
      <c r="L140" s="5">
        <v>-0.712472</v>
      </c>
      <c r="M140" s="5">
        <v>-0.701558</v>
      </c>
      <c r="N140" s="5">
        <v>-1.41403</v>
      </c>
      <c r="O140" s="5">
        <v>0.096002</v>
      </c>
    </row>
    <row r="141">
      <c r="A141" s="12" t="str">
        <f>IFERROR(__xludf.DUMMYFUNCTION("""COMPUTED_VALUE"""),"Marko Simonovic")</f>
        <v>Marko Simonovic</v>
      </c>
      <c r="B141" s="13" t="str">
        <f>IFERROR(__xludf.DUMMYFUNCTION("""COMPUTED_VALUE"""),"ZEN")</f>
        <v>ZEN</v>
      </c>
      <c r="C141" s="14">
        <f>IFERROR(__xludf.DUMMYFUNCTION("""COMPUTED_VALUE"""),586.9)</f>
        <v>586.9</v>
      </c>
      <c r="D141" s="15">
        <f>IFERROR(__xludf.DUMMYFUNCTION("""COMPUTED_VALUE"""),-1.1305519644252886)</f>
        <v>-1.130551964</v>
      </c>
      <c r="E141" s="15">
        <f>IFERROR(__xludf.DUMMYFUNCTION("""COMPUTED_VALUE"""),-0.4027298377411068)</f>
        <v>-0.4027298377</v>
      </c>
      <c r="F141" s="15">
        <f>IFERROR(__xludf.DUMMYFUNCTION("""COMPUTED_VALUE"""),-1.5332818021663954)</f>
        <v>-1.533281802</v>
      </c>
      <c r="G141" s="17">
        <f>IFERROR(__xludf.DUMMYFUNCTION("""COMPUTED_VALUE"""),0.08351898638232817)</f>
        <v>0.08351898638</v>
      </c>
      <c r="H141" s="4"/>
      <c r="I141" s="5" t="s">
        <v>2929</v>
      </c>
      <c r="J141" s="5" t="s">
        <v>2851</v>
      </c>
      <c r="K141" s="5">
        <v>42.0</v>
      </c>
      <c r="L141" s="5">
        <v>-1.061814</v>
      </c>
      <c r="M141" s="5">
        <v>-0.358743</v>
      </c>
      <c r="N141" s="5">
        <v>-1.420557</v>
      </c>
      <c r="O141" s="5">
        <v>0.007328</v>
      </c>
    </row>
    <row r="142">
      <c r="A142" s="18" t="str">
        <f>IFERROR(__xludf.DUMMYFUNCTION("""COMPUTED_VALUE"""),"Georgy Zhbanov")</f>
        <v>Georgy Zhbanov</v>
      </c>
      <c r="B142" s="19" t="str">
        <f>IFERROR(__xludf.DUMMYFUNCTION("""COMPUTED_VALUE"""),"NIZ")</f>
        <v>NIZ</v>
      </c>
      <c r="C142" s="20">
        <f>IFERROR(__xludf.DUMMYFUNCTION("""COMPUTED_VALUE"""),138.7)</f>
        <v>138.7</v>
      </c>
      <c r="D142" s="21">
        <f>IFERROR(__xludf.DUMMYFUNCTION("""COMPUTED_VALUE"""),-1.3231783849438439)</f>
        <v>-1.323178385</v>
      </c>
      <c r="E142" s="21">
        <f>IFERROR(__xludf.DUMMYFUNCTION("""COMPUTED_VALUE"""),-0.2554877743631685)</f>
        <v>-0.2554877744</v>
      </c>
      <c r="F142" s="21">
        <f>IFERROR(__xludf.DUMMYFUNCTION("""COMPUTED_VALUE"""),-1.5786661593070124)</f>
        <v>-1.578666159</v>
      </c>
      <c r="G142" s="23">
        <f>IFERROR(__xludf.DUMMYFUNCTION("""COMPUTED_VALUE"""),0.01805017688166369)</f>
        <v>0.01805017688</v>
      </c>
      <c r="H142" s="4"/>
      <c r="I142" s="5" t="s">
        <v>2930</v>
      </c>
      <c r="J142" s="5" t="s">
        <v>2851</v>
      </c>
      <c r="K142" s="24">
        <v>426.0</v>
      </c>
      <c r="L142" s="5">
        <v>-4.756811</v>
      </c>
      <c r="M142" s="5">
        <v>3.294755</v>
      </c>
      <c r="N142" s="5">
        <v>-1.462056</v>
      </c>
      <c r="O142" s="5">
        <v>0.069438</v>
      </c>
    </row>
    <row r="143">
      <c r="A143" s="12" t="str">
        <f>IFERROR(__xludf.DUMMYFUNCTION("""COMPUTED_VALUE"""),"Earvin Morris, Jr.")</f>
        <v>Earvin Morris, Jr.</v>
      </c>
      <c r="B143" s="13" t="str">
        <f>IFERROR(__xludf.DUMMYFUNCTION("""COMPUTED_VALUE"""),"AVT")</f>
        <v>AVT</v>
      </c>
      <c r="C143" s="14">
        <f>IFERROR(__xludf.DUMMYFUNCTION("""COMPUTED_VALUE"""),152.0)</f>
        <v>152</v>
      </c>
      <c r="D143" s="15">
        <f>IFERROR(__xludf.DUMMYFUNCTION("""COMPUTED_VALUE"""),-0.7981475398777442)</f>
        <v>-0.7981475399</v>
      </c>
      <c r="E143" s="15">
        <f>IFERROR(__xludf.DUMMYFUNCTION("""COMPUTED_VALUE"""),-0.8162936815574633)</f>
        <v>-0.8162936816</v>
      </c>
      <c r="F143" s="15">
        <f>IFERROR(__xludf.DUMMYFUNCTION("""COMPUTED_VALUE"""),-1.6144412214352075)</f>
        <v>-1.614441221</v>
      </c>
      <c r="G143" s="17">
        <f>IFERROR(__xludf.DUMMYFUNCTION("""COMPUTED_VALUE"""),0.017542815936231082)</f>
        <v>0.01754281594</v>
      </c>
      <c r="H143" s="4"/>
      <c r="I143" s="5" t="s">
        <v>777</v>
      </c>
      <c r="J143" s="5" t="s">
        <v>2822</v>
      </c>
      <c r="K143" s="5">
        <v>152.0</v>
      </c>
      <c r="L143" s="5">
        <v>-0.794356</v>
      </c>
      <c r="M143" s="5">
        <v>-0.67805</v>
      </c>
      <c r="N143" s="5">
        <v>-1.472406</v>
      </c>
      <c r="O143" s="5">
        <v>0.023951</v>
      </c>
    </row>
    <row r="144">
      <c r="A144" s="18" t="str">
        <f>IFERROR(__xludf.DUMMYFUNCTION("""COMPUTED_VALUE"""),"Alexander Pavlov")</f>
        <v>Alexander Pavlov</v>
      </c>
      <c r="B144" s="19" t="str">
        <f>IFERROR(__xludf.DUMMYFUNCTION("""COMPUTED_VALUE"""),"ENI")</f>
        <v>ENI</v>
      </c>
      <c r="C144" s="20">
        <f>IFERROR(__xludf.DUMMYFUNCTION("""COMPUTED_VALUE"""),100.2)</f>
        <v>100.2</v>
      </c>
      <c r="D144" s="21">
        <f>IFERROR(__xludf.DUMMYFUNCTION("""COMPUTED_VALUE"""),-0.7409502219795423)</f>
        <v>-0.740950222</v>
      </c>
      <c r="E144" s="21">
        <f>IFERROR(__xludf.DUMMYFUNCTION("""COMPUTED_VALUE"""),-0.898213649409505)</f>
        <v>-0.8982136494</v>
      </c>
      <c r="F144" s="21">
        <f>IFERROR(__xludf.DUMMYFUNCTION("""COMPUTED_VALUE"""),-1.6391638713890473)</f>
        <v>-1.639163871</v>
      </c>
      <c r="G144" s="23">
        <f>IFERROR(__xludf.DUMMYFUNCTION("""COMPUTED_VALUE"""),0.011900786704459189)</f>
        <v>0.0119007867</v>
      </c>
      <c r="H144" s="4"/>
      <c r="I144" s="5" t="s">
        <v>2931</v>
      </c>
      <c r="J144" s="5" t="s">
        <v>2816</v>
      </c>
      <c r="K144" s="5">
        <v>412.0</v>
      </c>
      <c r="L144" s="5">
        <v>-1.428711</v>
      </c>
      <c r="M144" s="5">
        <v>-0.126961</v>
      </c>
      <c r="N144" s="5">
        <v>-1.555671</v>
      </c>
      <c r="O144" s="5">
        <v>0.05578</v>
      </c>
    </row>
    <row r="145">
      <c r="A145" s="12" t="str">
        <f>IFERROR(__xludf.DUMMYFUNCTION("""COMPUTED_VALUE"""),"Scottie Reynolds")</f>
        <v>Scottie Reynolds</v>
      </c>
      <c r="B145" s="13" t="str">
        <f>IFERROR(__xludf.DUMMYFUNCTION("""COMPUTED_VALUE"""),"ZEN")</f>
        <v>ZEN</v>
      </c>
      <c r="C145" s="14">
        <f>IFERROR(__xludf.DUMMYFUNCTION("""COMPUTED_VALUE"""),492.7)</f>
        <v>492.7</v>
      </c>
      <c r="D145" s="15">
        <f>IFERROR(__xludf.DUMMYFUNCTION("""COMPUTED_VALUE"""),-1.9659574729611597)</f>
        <v>-1.965957473</v>
      </c>
      <c r="E145" s="15">
        <f>IFERROR(__xludf.DUMMYFUNCTION("""COMPUTED_VALUE"""),0.3235420667640527)</f>
        <v>0.3235420668</v>
      </c>
      <c r="F145" s="15">
        <f>IFERROR(__xludf.DUMMYFUNCTION("""COMPUTED_VALUE"""),-1.642415406197107)</f>
        <v>-1.642415406</v>
      </c>
      <c r="G145" s="17">
        <f>IFERROR(__xludf.DUMMYFUNCTION("""COMPUTED_VALUE"""),0.05371897683503334)</f>
        <v>0.05371897684</v>
      </c>
      <c r="H145" s="4"/>
      <c r="I145" s="5" t="s">
        <v>2932</v>
      </c>
      <c r="J145" s="5" t="s">
        <v>2831</v>
      </c>
      <c r="K145" s="5">
        <v>215.0</v>
      </c>
      <c r="L145" s="5">
        <v>1.253073</v>
      </c>
      <c r="M145" s="5">
        <v>-2.876767</v>
      </c>
      <c r="N145" s="5">
        <v>-1.623694</v>
      </c>
      <c r="O145" s="5">
        <v>0.025114</v>
      </c>
    </row>
    <row r="146">
      <c r="A146" s="18" t="str">
        <f>IFERROR(__xludf.DUMMYFUNCTION("""COMPUTED_VALUE"""),"Matic Rebec")</f>
        <v>Matic Rebec</v>
      </c>
      <c r="B146" s="19" t="str">
        <f>IFERROR(__xludf.DUMMYFUNCTION("""COMPUTED_VALUE"""),"ENI")</f>
        <v>ENI</v>
      </c>
      <c r="C146" s="20">
        <f>IFERROR(__xludf.DUMMYFUNCTION("""COMPUTED_VALUE"""),97.3)</f>
        <v>97.3</v>
      </c>
      <c r="D146" s="21">
        <f>IFERROR(__xludf.DUMMYFUNCTION("""COMPUTED_VALUE"""),-0.09115299028274837)</f>
        <v>-0.09115299028</v>
      </c>
      <c r="E146" s="21">
        <f>IFERROR(__xludf.DUMMYFUNCTION("""COMPUTED_VALUE"""),-1.5705650218833684)</f>
        <v>-1.570565022</v>
      </c>
      <c r="F146" s="21">
        <f>IFERROR(__xludf.DUMMYFUNCTION("""COMPUTED_VALUE"""),-1.6617180121661168)</f>
        <v>-1.661718012</v>
      </c>
      <c r="G146" s="23">
        <f>IFERROR(__xludf.DUMMYFUNCTION("""COMPUTED_VALUE"""),0.010834020412835928)</f>
        <v>0.01083402041</v>
      </c>
      <c r="H146" s="4"/>
      <c r="I146" s="5" t="s">
        <v>2933</v>
      </c>
      <c r="J146" s="5" t="s">
        <v>2854</v>
      </c>
      <c r="K146" s="5">
        <v>100.0</v>
      </c>
      <c r="L146" s="5">
        <v>-1.343041</v>
      </c>
      <c r="M146" s="5">
        <v>-0.297742</v>
      </c>
      <c r="N146" s="5">
        <v>-1.640783</v>
      </c>
      <c r="O146" s="5">
        <v>0.011847</v>
      </c>
    </row>
    <row r="147">
      <c r="A147" s="12" t="str">
        <f>IFERROR(__xludf.DUMMYFUNCTION("""COMPUTED_VALUE"""),"Anton Ponkrashov")</f>
        <v>Anton Ponkrashov</v>
      </c>
      <c r="B147" s="13" t="str">
        <f>IFERROR(__xludf.DUMMYFUNCTION("""COMPUTED_VALUE"""),"UNI")</f>
        <v>UNI</v>
      </c>
      <c r="C147" s="14">
        <f>IFERROR(__xludf.DUMMYFUNCTION("""COMPUTED_VALUE"""),573.8)</f>
        <v>573.8</v>
      </c>
      <c r="D147" s="15">
        <f>IFERROR(__xludf.DUMMYFUNCTION("""COMPUTED_VALUE"""),-2.0693920972474653)</f>
        <v>-2.069392097</v>
      </c>
      <c r="E147" s="15">
        <f>IFERROR(__xludf.DUMMYFUNCTION("""COMPUTED_VALUE"""),0.33869937683480655)</f>
        <v>0.3386993768</v>
      </c>
      <c r="F147" s="15">
        <f>IFERROR(__xludf.DUMMYFUNCTION("""COMPUTED_VALUE"""),-1.7306927204126588)</f>
        <v>-1.73069272</v>
      </c>
      <c r="G147" s="17">
        <f>IFERROR(__xludf.DUMMYFUNCTION("""COMPUTED_VALUE"""),0.04513372259213424)</f>
        <v>0.04513372259</v>
      </c>
      <c r="H147" s="4"/>
      <c r="I147" s="5" t="s">
        <v>2935</v>
      </c>
      <c r="J147" s="5" t="s">
        <v>2854</v>
      </c>
      <c r="K147" s="5">
        <v>97.0</v>
      </c>
      <c r="L147" s="5">
        <v>-0.674481</v>
      </c>
      <c r="M147" s="5">
        <v>-0.987711</v>
      </c>
      <c r="N147" s="5">
        <v>-1.662192</v>
      </c>
      <c r="O147" s="5">
        <v>0.010819</v>
      </c>
    </row>
    <row r="148">
      <c r="A148" s="18" t="str">
        <f>IFERROR(__xludf.DUMMYFUNCTION("""COMPUTED_VALUE"""),"Shaquielle McKissic")</f>
        <v>Shaquielle McKissic</v>
      </c>
      <c r="B148" s="19" t="str">
        <f>IFERROR(__xludf.DUMMYFUNCTION("""COMPUTED_VALUE"""),"AVT")</f>
        <v>AVT</v>
      </c>
      <c r="C148" s="20">
        <f>IFERROR(__xludf.DUMMYFUNCTION("""COMPUTED_VALUE"""),391.0)</f>
        <v>391</v>
      </c>
      <c r="D148" s="21">
        <f>IFERROR(__xludf.DUMMYFUNCTION("""COMPUTED_VALUE"""),-1.3676171464100015)</f>
        <v>-1.367617146</v>
      </c>
      <c r="E148" s="21">
        <f>IFERROR(__xludf.DUMMYFUNCTION("""COMPUTED_VALUE"""),-0.454213009553899)</f>
        <v>-0.4542130096</v>
      </c>
      <c r="F148" s="21">
        <f>IFERROR(__xludf.DUMMYFUNCTION("""COMPUTED_VALUE"""),-1.8218301559639005)</f>
        <v>-1.821830156</v>
      </c>
      <c r="G148" s="23">
        <f>IFERROR(__xludf.DUMMYFUNCTION("""COMPUTED_VALUE"""),0.02085336189581609)</f>
        <v>0.0208533619</v>
      </c>
      <c r="H148" s="4"/>
      <c r="I148" s="5" t="s">
        <v>2936</v>
      </c>
      <c r="J148" s="5" t="s">
        <v>2831</v>
      </c>
      <c r="K148" s="5">
        <v>447.0</v>
      </c>
      <c r="L148" s="5">
        <v>-2.486332</v>
      </c>
      <c r="M148" s="5">
        <v>0.7872</v>
      </c>
      <c r="N148" s="5">
        <v>-1.699132</v>
      </c>
      <c r="O148" s="5">
        <v>0.041843</v>
      </c>
    </row>
    <row r="149">
      <c r="A149" s="12" t="str">
        <f>IFERROR(__xludf.DUMMYFUNCTION("""COMPUTED_VALUE"""),"Suki Wiggs")</f>
        <v>Suki Wiggs</v>
      </c>
      <c r="B149" s="13" t="str">
        <f>IFERROR(__xludf.DUMMYFUNCTION("""COMPUTED_VALUE"""),"MIN")</f>
        <v>MIN</v>
      </c>
      <c r="C149" s="14">
        <f>IFERROR(__xludf.DUMMYFUNCTION("""COMPUTED_VALUE"""),31.4)</f>
        <v>31.4</v>
      </c>
      <c r="D149" s="15">
        <f>IFERROR(__xludf.DUMMYFUNCTION("""COMPUTED_VALUE"""),-1.382221849314725)</f>
        <v>-1.382221849</v>
      </c>
      <c r="E149" s="15">
        <f>IFERROR(__xludf.DUMMYFUNCTION("""COMPUTED_VALUE"""),-0.43982582293914985)</f>
        <v>-0.4398258229</v>
      </c>
      <c r="F149" s="15">
        <f>IFERROR(__xludf.DUMMYFUNCTION("""COMPUTED_VALUE"""),-1.8220476722538748)</f>
        <v>-1.822047672</v>
      </c>
      <c r="G149" s="17">
        <f>IFERROR(__xludf.DUMMYFUNCTION("""COMPUTED_VALUE"""),0.0016860749876218175)</f>
        <v>0.001686074988</v>
      </c>
      <c r="H149" s="4"/>
      <c r="I149" s="5" t="s">
        <v>2937</v>
      </c>
      <c r="J149" s="5" t="s">
        <v>2822</v>
      </c>
      <c r="K149" s="24">
        <v>621.0</v>
      </c>
      <c r="L149" s="5">
        <v>-2.429867</v>
      </c>
      <c r="M149" s="5">
        <v>0.674075</v>
      </c>
      <c r="N149" s="5">
        <v>-1.755793</v>
      </c>
      <c r="O149" s="5">
        <v>0.045316</v>
      </c>
    </row>
    <row r="150">
      <c r="A150" s="18" t="str">
        <f>IFERROR(__xludf.DUMMYFUNCTION("""COMPUTED_VALUE"""),"Artem Zabelin")</f>
        <v>Artem Zabelin</v>
      </c>
      <c r="B150" s="19" t="str">
        <f>IFERROR(__xludf.DUMMYFUNCTION("""COMPUTED_VALUE"""),"AVT")</f>
        <v>AVT</v>
      </c>
      <c r="C150" s="20">
        <f>IFERROR(__xludf.DUMMYFUNCTION("""COMPUTED_VALUE"""),204.7)</f>
        <v>204.7</v>
      </c>
      <c r="D150" s="21">
        <f>IFERROR(__xludf.DUMMYFUNCTION("""COMPUTED_VALUE"""),-1.7991595393429194)</f>
        <v>-1.799159539</v>
      </c>
      <c r="E150" s="21">
        <f>IFERROR(__xludf.DUMMYFUNCTION("""COMPUTED_VALUE"""),-0.07304191653232928)</f>
        <v>-0.07304191653</v>
      </c>
      <c r="F150" s="21">
        <f>IFERROR(__xludf.DUMMYFUNCTION("""COMPUTED_VALUE"""),-1.8722014558752487)</f>
        <v>-1.872201456</v>
      </c>
      <c r="G150" s="23">
        <f>IFERROR(__xludf.DUMMYFUNCTION("""COMPUTED_VALUE"""),0.00783084940261761)</f>
        <v>0.007830849403</v>
      </c>
      <c r="H150" s="4"/>
      <c r="I150" s="5" t="s">
        <v>645</v>
      </c>
      <c r="J150" s="5" t="s">
        <v>2816</v>
      </c>
      <c r="K150" s="24">
        <v>139.0</v>
      </c>
      <c r="L150" s="5">
        <v>-1.987099</v>
      </c>
      <c r="M150" s="5">
        <v>0.215623</v>
      </c>
      <c r="N150" s="5">
        <v>-1.771476</v>
      </c>
      <c r="O150" s="5">
        <v>0.0097</v>
      </c>
    </row>
    <row r="151">
      <c r="A151" s="12" t="str">
        <f>IFERROR(__xludf.DUMMYFUNCTION("""COMPUTED_VALUE"""),"Leonidas Kaselakis")</f>
        <v>Leonidas Kaselakis</v>
      </c>
      <c r="B151" s="13" t="str">
        <f>IFERROR(__xludf.DUMMYFUNCTION("""COMPUTED_VALUE"""),"AST")</f>
        <v>AST</v>
      </c>
      <c r="C151" s="14">
        <f>IFERROR(__xludf.DUMMYFUNCTION("""COMPUTED_VALUE"""),735.8)</f>
        <v>735.8</v>
      </c>
      <c r="D151" s="15">
        <f>IFERROR(__xludf.DUMMYFUNCTION("""COMPUTED_VALUE"""),0.2694550692219594)</f>
        <v>0.2694550692</v>
      </c>
      <c r="E151" s="15">
        <f>IFERROR(__xludf.DUMMYFUNCTION("""COMPUTED_VALUE"""),-2.146580690216125)</f>
        <v>-2.14658069</v>
      </c>
      <c r="F151" s="15">
        <f>IFERROR(__xludf.DUMMYFUNCTION("""COMPUTED_VALUE"""),-1.8771256209941654)</f>
        <v>-1.877125621</v>
      </c>
      <c r="G151" s="17">
        <f>IFERROR(__xludf.DUMMYFUNCTION("""COMPUTED_VALUE"""),0.02700784538664273)</f>
        <v>0.02700784539</v>
      </c>
      <c r="H151" s="4"/>
      <c r="I151" s="5" t="s">
        <v>518</v>
      </c>
      <c r="J151" s="5" t="s">
        <v>51</v>
      </c>
      <c r="K151" s="24">
        <v>131.0</v>
      </c>
      <c r="L151" s="5">
        <v>-1.967068</v>
      </c>
      <c r="M151" s="5">
        <v>0.16571</v>
      </c>
      <c r="N151" s="5">
        <v>-1.801358</v>
      </c>
      <c r="O151" s="5">
        <v>0.007907</v>
      </c>
    </row>
    <row r="152">
      <c r="A152" s="18" t="str">
        <f>IFERROR(__xludf.DUMMYFUNCTION("""COMPUTED_VALUE"""),"Thomas Robinson")</f>
        <v>Thomas Robinson</v>
      </c>
      <c r="B152" s="19" t="str">
        <f>IFERROR(__xludf.DUMMYFUNCTION("""COMPUTED_VALUE"""),"KHI")</f>
        <v>KHI</v>
      </c>
      <c r="C152" s="20">
        <f>IFERROR(__xludf.DUMMYFUNCTION("""COMPUTED_VALUE"""),131.1)</f>
        <v>131.1</v>
      </c>
      <c r="D152" s="21">
        <f>IFERROR(__xludf.DUMMYFUNCTION("""COMPUTED_VALUE"""),-2.43815557340257)</f>
        <v>-2.438155573</v>
      </c>
      <c r="E152" s="21">
        <f>IFERROR(__xludf.DUMMYFUNCTION("""COMPUTED_VALUE"""),0.5269274188211948)</f>
        <v>0.5269274188</v>
      </c>
      <c r="F152" s="21">
        <f>IFERROR(__xludf.DUMMYFUNCTION("""COMPUTED_VALUE"""),-1.9112281545813752)</f>
        <v>-1.911228155</v>
      </c>
      <c r="G152" s="23">
        <f>IFERROR(__xludf.DUMMYFUNCTION("""COMPUTED_VALUE"""),0.003517228771626124)</f>
        <v>0.003517228772</v>
      </c>
      <c r="H152" s="4"/>
      <c r="I152" s="5" t="s">
        <v>2940</v>
      </c>
      <c r="J152" s="5" t="s">
        <v>2811</v>
      </c>
      <c r="K152" s="5">
        <v>31.0</v>
      </c>
      <c r="L152" s="5">
        <v>-1.597691</v>
      </c>
      <c r="M152" s="5">
        <v>-0.224126</v>
      </c>
      <c r="N152" s="5">
        <v>-1.821818</v>
      </c>
      <c r="O152" s="5">
        <v>0.001688</v>
      </c>
    </row>
    <row r="153">
      <c r="A153" s="12" t="str">
        <f>IFERROR(__xludf.DUMMYFUNCTION("""COMPUTED_VALUE"""),"Alexandr Zhigulin")</f>
        <v>Alexandr Zhigulin</v>
      </c>
      <c r="B153" s="13" t="str">
        <f>IFERROR(__xludf.DUMMYFUNCTION("""COMPUTED_VALUE"""),"AST")</f>
        <v>AST</v>
      </c>
      <c r="C153" s="14">
        <f>IFERROR(__xludf.DUMMYFUNCTION("""COMPUTED_VALUE"""),105.6)</f>
        <v>105.6</v>
      </c>
      <c r="D153" s="15">
        <f>IFERROR(__xludf.DUMMYFUNCTION("""COMPUTED_VALUE"""),-0.7221422925848077)</f>
        <v>-0.7221422926</v>
      </c>
      <c r="E153" s="15">
        <f>IFERROR(__xludf.DUMMYFUNCTION("""COMPUTED_VALUE"""),-1.2034834201315543)</f>
        <v>-1.20348342</v>
      </c>
      <c r="F153" s="15">
        <f>IFERROR(__xludf.DUMMYFUNCTION("""COMPUTED_VALUE"""),-1.9256257127163618)</f>
        <v>-1.925625713</v>
      </c>
      <c r="G153" s="17">
        <f>IFERROR(__xludf.DUMMYFUNCTION("""COMPUTED_VALUE"""),0.0023461488080655795)</f>
        <v>0.002346148808</v>
      </c>
      <c r="H153" s="4"/>
      <c r="I153" s="5" t="s">
        <v>2941</v>
      </c>
      <c r="J153" s="5" t="s">
        <v>2838</v>
      </c>
      <c r="K153" s="24">
        <v>736.0</v>
      </c>
      <c r="L153" s="5">
        <v>-1.39003</v>
      </c>
      <c r="M153" s="5">
        <v>-0.48689</v>
      </c>
      <c r="N153" s="5">
        <v>-1.87692</v>
      </c>
      <c r="O153" s="5">
        <v>0.027053</v>
      </c>
    </row>
    <row r="154">
      <c r="A154" s="18" t="str">
        <f>IFERROR(__xludf.DUMMYFUNCTION("""COMPUTED_VALUE"""),"Arnas Labuckas")</f>
        <v>Arnas Labuckas</v>
      </c>
      <c r="B154" s="19" t="str">
        <f>IFERROR(__xludf.DUMMYFUNCTION("""COMPUTED_VALUE"""),"RIG")</f>
        <v>RIG</v>
      </c>
      <c r="C154" s="20">
        <f>IFERROR(__xludf.DUMMYFUNCTION("""COMPUTED_VALUE"""),318.9)</f>
        <v>318.9</v>
      </c>
      <c r="D154" s="21">
        <f>IFERROR(__xludf.DUMMYFUNCTION("""COMPUTED_VALUE"""),-0.8795678252092702)</f>
        <v>-0.8795678252</v>
      </c>
      <c r="E154" s="21">
        <f>IFERROR(__xludf.DUMMYFUNCTION("""COMPUTED_VALUE"""),-1.047493590808433)</f>
        <v>-1.047493591</v>
      </c>
      <c r="F154" s="21">
        <f>IFERROR(__xludf.DUMMYFUNCTION("""COMPUTED_VALUE"""),-1.9270614160177033)</f>
        <v>-1.927061416</v>
      </c>
      <c r="G154" s="23">
        <f>IFERROR(__xludf.DUMMYFUNCTION("""COMPUTED_VALUE"""),0.007058818586745748)</f>
        <v>0.007058818587</v>
      </c>
      <c r="H154" s="4"/>
      <c r="I154" s="5" t="s">
        <v>2942</v>
      </c>
      <c r="J154" s="5" t="s">
        <v>2816</v>
      </c>
      <c r="K154" s="5">
        <v>418.0</v>
      </c>
      <c r="L154" s="5">
        <v>-1.986857</v>
      </c>
      <c r="M154" s="5">
        <v>0.106397</v>
      </c>
      <c r="N154" s="5">
        <v>-1.88046</v>
      </c>
      <c r="O154" s="5">
        <v>0.015247</v>
      </c>
    </row>
    <row r="155">
      <c r="A155" s="12" t="str">
        <f>IFERROR(__xludf.DUMMYFUNCTION("""COMPUTED_VALUE"""),"Artis Ate")</f>
        <v>Artis Ate</v>
      </c>
      <c r="B155" s="13" t="str">
        <f>IFERROR(__xludf.DUMMYFUNCTION("""COMPUTED_VALUE"""),"RIG")</f>
        <v>RIG</v>
      </c>
      <c r="C155" s="14">
        <f>IFERROR(__xludf.DUMMYFUNCTION("""COMPUTED_VALUE"""),425.2)</f>
        <v>425.2</v>
      </c>
      <c r="D155" s="15">
        <f>IFERROR(__xludf.DUMMYFUNCTION("""COMPUTED_VALUE"""),1.2105794028678207)</f>
        <v>1.210579403</v>
      </c>
      <c r="E155" s="15">
        <f>IFERROR(__xludf.DUMMYFUNCTION("""COMPUTED_VALUE"""),-3.152052515727276)</f>
        <v>-3.152052516</v>
      </c>
      <c r="F155" s="15">
        <f>IFERROR(__xludf.DUMMYFUNCTION("""COMPUTED_VALUE"""),-1.9414731128594551)</f>
        <v>-1.941473113</v>
      </c>
      <c r="G155" s="17">
        <f>IFERROR(__xludf.DUMMYFUNCTION("""COMPUTED_VALUE"""),0.007552119536116798)</f>
        <v>0.007552119536</v>
      </c>
      <c r="H155" s="4"/>
      <c r="I155" s="5" t="s">
        <v>2943</v>
      </c>
      <c r="J155" s="5" t="s">
        <v>2838</v>
      </c>
      <c r="K155" s="5">
        <v>106.0</v>
      </c>
      <c r="L155" s="5">
        <v>-1.307113</v>
      </c>
      <c r="M155" s="5">
        <v>-0.619124</v>
      </c>
      <c r="N155" s="5">
        <v>-1.926237</v>
      </c>
      <c r="O155" s="5">
        <v>0.002327</v>
      </c>
    </row>
    <row r="156">
      <c r="A156" s="18" t="str">
        <f>IFERROR(__xludf.DUMMYFUNCTION("""COMPUTED_VALUE"""),"Sergey Toporov")</f>
        <v>Sergey Toporov</v>
      </c>
      <c r="B156" s="19" t="str">
        <f>IFERROR(__xludf.DUMMYFUNCTION("""COMPUTED_VALUE"""),"NIZ")</f>
        <v>NIZ</v>
      </c>
      <c r="C156" s="20">
        <f>IFERROR(__xludf.DUMMYFUNCTION("""COMPUTED_VALUE"""),134.3)</f>
        <v>134.3</v>
      </c>
      <c r="D156" s="21">
        <f>IFERROR(__xludf.DUMMYFUNCTION("""COMPUTED_VALUE"""),-1.0584853580540676)</f>
        <v>-1.058485358</v>
      </c>
      <c r="E156" s="21">
        <f>IFERROR(__xludf.DUMMYFUNCTION("""COMPUTED_VALUE"""),-0.9313231106813247)</f>
        <v>-0.9313231107</v>
      </c>
      <c r="F156" s="21">
        <f>IFERROR(__xludf.DUMMYFUNCTION("""COMPUTED_VALUE"""),-1.9898084687353923)</f>
        <v>-1.989808469</v>
      </c>
      <c r="G156" s="23">
        <f>IFERROR(__xludf.DUMMYFUNCTION("""COMPUTED_VALUE"""),4.227602174487976E-4)</f>
        <v>0.0004227602174</v>
      </c>
      <c r="H156" s="4"/>
      <c r="I156" s="5" t="s">
        <v>2944</v>
      </c>
      <c r="J156" s="5" t="s">
        <v>2851</v>
      </c>
      <c r="K156" s="5">
        <v>62.0</v>
      </c>
      <c r="L156" s="5">
        <v>-1.654406</v>
      </c>
      <c r="M156" s="5">
        <v>-0.281693</v>
      </c>
      <c r="N156" s="5">
        <v>-1.936098</v>
      </c>
      <c r="O156" s="5">
        <v>0.0012</v>
      </c>
    </row>
    <row r="157">
      <c r="A157" s="12" t="str">
        <f>IFERROR(__xludf.DUMMYFUNCTION("""COMPUTED_VALUE"""),"Igor Kanygin")</f>
        <v>Igor Kanygin</v>
      </c>
      <c r="B157" s="13" t="str">
        <f>IFERROR(__xludf.DUMMYFUNCTION("""COMPUTED_VALUE"""),"ENI")</f>
        <v>ENI</v>
      </c>
      <c r="C157" s="14">
        <f>IFERROR(__xludf.DUMMYFUNCTION("""COMPUTED_VALUE"""),165.2)</f>
        <v>165.2</v>
      </c>
      <c r="D157" s="15">
        <f>IFERROR(__xludf.DUMMYFUNCTION("""COMPUTED_VALUE"""),-1.7878393326340498)</f>
        <v>-1.787839333</v>
      </c>
      <c r="E157" s="15">
        <f>IFERROR(__xludf.DUMMYFUNCTION("""COMPUTED_VALUE"""),-0.2361800312132154)</f>
        <v>-0.2361800312</v>
      </c>
      <c r="F157" s="15">
        <f>IFERROR(__xludf.DUMMYFUNCTION("""COMPUTED_VALUE"""),-2.024019363847265)</f>
        <v>-2.024019364</v>
      </c>
      <c r="G157" s="17">
        <f>IFERROR(__xludf.DUMMYFUNCTION("""COMPUTED_VALUE"""),-0.0013060790979784122)</f>
        <v>-0.001306079098</v>
      </c>
      <c r="H157" s="4"/>
      <c r="I157" s="5" t="s">
        <v>434</v>
      </c>
      <c r="J157" s="5" t="s">
        <v>2822</v>
      </c>
      <c r="K157" s="5">
        <v>337.0</v>
      </c>
      <c r="L157" s="5">
        <v>-1.871159</v>
      </c>
      <c r="M157" s="5">
        <v>-0.108627</v>
      </c>
      <c r="N157" s="5">
        <v>-1.979786</v>
      </c>
      <c r="O157" s="5">
        <v>0.002033</v>
      </c>
    </row>
    <row r="158">
      <c r="A158" s="18" t="str">
        <f>IFERROR(__xludf.DUMMYFUNCTION("""COMPUTED_VALUE"""),"Anatoly Kolesnikov")</f>
        <v>Anatoly Kolesnikov</v>
      </c>
      <c r="B158" s="19" t="str">
        <f>IFERROR(__xludf.DUMMYFUNCTION("""COMPUTED_VALUE"""),"AST")</f>
        <v>AST</v>
      </c>
      <c r="C158" s="20">
        <f>IFERROR(__xludf.DUMMYFUNCTION("""COMPUTED_VALUE"""),273.0)</f>
        <v>273</v>
      </c>
      <c r="D158" s="21">
        <f>IFERROR(__xludf.DUMMYFUNCTION("""COMPUTED_VALUE"""),-1.5323970649732679)</f>
        <v>-1.532397065</v>
      </c>
      <c r="E158" s="21">
        <f>IFERROR(__xludf.DUMMYFUNCTION("""COMPUTED_VALUE"""),-0.49416114029799973)</f>
        <v>-0.4941611403</v>
      </c>
      <c r="F158" s="21">
        <f>IFERROR(__xludf.DUMMYFUNCTION("""COMPUTED_VALUE"""),-2.0265582052712676)</f>
        <v>-2.026558205</v>
      </c>
      <c r="G158" s="23">
        <f>IFERROR(__xludf.DUMMYFUNCTION("""COMPUTED_VALUE"""),-0.0021658590472194783)</f>
        <v>-0.002165859047</v>
      </c>
      <c r="H158" s="4"/>
      <c r="I158" s="5" t="s">
        <v>2945</v>
      </c>
      <c r="J158" s="5" t="s">
        <v>2822</v>
      </c>
      <c r="K158" s="5">
        <v>56.0</v>
      </c>
      <c r="L158" s="5">
        <v>-1.707836</v>
      </c>
      <c r="M158" s="5">
        <v>-0.308793</v>
      </c>
      <c r="N158" s="5">
        <v>-2.016629</v>
      </c>
      <c r="O158" s="5">
        <v>-2.78E-4</v>
      </c>
    </row>
    <row r="159">
      <c r="A159" s="12" t="str">
        <f>IFERROR(__xludf.DUMMYFUNCTION("""COMPUTED_VALUE"""),"Ivan Ukhov")</f>
        <v>Ivan Ukhov</v>
      </c>
      <c r="B159" s="13" t="str">
        <f>IFERROR(__xludf.DUMMYFUNCTION("""COMPUTED_VALUE"""),"PARM")</f>
        <v>PARM</v>
      </c>
      <c r="C159" s="14">
        <f>IFERROR(__xludf.DUMMYFUNCTION("""COMPUTED_VALUE"""),587.0)</f>
        <v>587</v>
      </c>
      <c r="D159" s="15">
        <f>IFERROR(__xludf.DUMMYFUNCTION("""COMPUTED_VALUE"""),0.6893727141601396)</f>
        <v>0.6893727142</v>
      </c>
      <c r="E159" s="15">
        <f>IFERROR(__xludf.DUMMYFUNCTION("""COMPUTED_VALUE"""),-2.7282032567008763)</f>
        <v>-2.728203257</v>
      </c>
      <c r="F159" s="15">
        <f>IFERROR(__xludf.DUMMYFUNCTION("""COMPUTED_VALUE"""),-2.0388305425407367)</f>
        <v>-2.038830543</v>
      </c>
      <c r="G159" s="17">
        <f>IFERROR(__xludf.DUMMYFUNCTION("""COMPUTED_VALUE"""),-0.006877604768844589)</f>
        <v>-0.006877604769</v>
      </c>
      <c r="H159" s="4"/>
      <c r="I159" s="5" t="s">
        <v>2946</v>
      </c>
      <c r="J159" s="5" t="s">
        <v>2854</v>
      </c>
      <c r="K159" s="5">
        <v>165.0</v>
      </c>
      <c r="L159" s="5">
        <v>-2.779581</v>
      </c>
      <c r="M159" s="5">
        <v>0.753654</v>
      </c>
      <c r="N159" s="5">
        <v>-2.025927</v>
      </c>
      <c r="O159" s="5">
        <v>-0.00141</v>
      </c>
    </row>
    <row r="160">
      <c r="A160" s="18" t="str">
        <f>IFERROR(__xludf.DUMMYFUNCTION("""COMPUTED_VALUE"""),"Antwan Scott")</f>
        <v>Antwan Scott</v>
      </c>
      <c r="B160" s="19" t="str">
        <f>IFERROR(__xludf.DUMMYFUNCTION("""COMPUTED_VALUE"""),"RIG")</f>
        <v>RIG</v>
      </c>
      <c r="C160" s="20">
        <f>IFERROR(__xludf.DUMMYFUNCTION("""COMPUTED_VALUE"""),61.9)</f>
        <v>61.9</v>
      </c>
      <c r="D160" s="21">
        <f>IFERROR(__xludf.DUMMYFUNCTION("""COMPUTED_VALUE"""),-1.3483867662645657)</f>
        <v>-1.348386766</v>
      </c>
      <c r="E160" s="21">
        <f>IFERROR(__xludf.DUMMYFUNCTION("""COMPUTED_VALUE"""),-0.7089632286165197)</f>
        <v>-0.7089632286</v>
      </c>
      <c r="F160" s="21">
        <f>IFERROR(__xludf.DUMMYFUNCTION("""COMPUTED_VALUE"""),-2.0573499948810854)</f>
        <v>-2.057349995</v>
      </c>
      <c r="G160" s="23">
        <f>IFERROR(__xludf.DUMMYFUNCTION("""COMPUTED_VALUE"""),-0.0010773187191722828)</f>
        <v>-0.001077318719</v>
      </c>
      <c r="H160" s="4"/>
      <c r="I160" s="5" t="s">
        <v>2948</v>
      </c>
      <c r="J160" s="5" t="s">
        <v>2838</v>
      </c>
      <c r="K160" s="24">
        <v>273.0</v>
      </c>
      <c r="L160" s="5">
        <v>-3.0454</v>
      </c>
      <c r="M160" s="5">
        <v>1.016669</v>
      </c>
      <c r="N160" s="5">
        <v>-2.028731</v>
      </c>
      <c r="O160" s="5">
        <v>-0.002343</v>
      </c>
    </row>
    <row r="161">
      <c r="A161" s="12" t="str">
        <f>IFERROR(__xludf.DUMMYFUNCTION("""COMPUTED_VALUE"""),"Frank Gaines")</f>
        <v>Frank Gaines</v>
      </c>
      <c r="B161" s="13" t="str">
        <f>IFERROR(__xludf.DUMMYFUNCTION("""COMPUTED_VALUE"""),"PARM")</f>
        <v>PARM</v>
      </c>
      <c r="C161" s="14">
        <f>IFERROR(__xludf.DUMMYFUNCTION("""COMPUTED_VALUE"""),584.1)</f>
        <v>584.1</v>
      </c>
      <c r="D161" s="15">
        <f>IFERROR(__xludf.DUMMYFUNCTION("""COMPUTED_VALUE"""),1.1814703950357601)</f>
        <v>1.181470395</v>
      </c>
      <c r="E161" s="15">
        <f>IFERROR(__xludf.DUMMYFUNCTION("""COMPUTED_VALUE"""),-3.3753074027446055)</f>
        <v>-3.375307403</v>
      </c>
      <c r="F161" s="15">
        <f>IFERROR(__xludf.DUMMYFUNCTION("""COMPUTED_VALUE"""),-2.1938370077088454)</f>
        <v>-2.193837008</v>
      </c>
      <c r="G161" s="17">
        <f>IFERROR(__xludf.DUMMYFUNCTION("""COMPUTED_VALUE"""),-0.03416249319670201)</f>
        <v>-0.0341624932</v>
      </c>
      <c r="H161" s="4"/>
      <c r="I161" s="5" t="s">
        <v>2949</v>
      </c>
      <c r="J161" s="5" t="s">
        <v>2841</v>
      </c>
      <c r="K161" s="5">
        <v>587.0</v>
      </c>
      <c r="L161" s="5">
        <v>-0.37815</v>
      </c>
      <c r="M161" s="5">
        <v>-1.660824</v>
      </c>
      <c r="N161" s="5">
        <v>-2.038974</v>
      </c>
      <c r="O161" s="5">
        <v>-0.006903</v>
      </c>
    </row>
    <row r="162">
      <c r="A162" s="18" t="str">
        <f>IFERROR(__xludf.DUMMYFUNCTION("""COMPUTED_VALUE"""),"Dramir Zibirov")</f>
        <v>Dramir Zibirov</v>
      </c>
      <c r="B162" s="19" t="str">
        <f>IFERROR(__xludf.DUMMYFUNCTION("""COMPUTED_VALUE"""),"AVT")</f>
        <v>AVT</v>
      </c>
      <c r="C162" s="20">
        <f>IFERROR(__xludf.DUMMYFUNCTION("""COMPUTED_VALUE"""),115.7)</f>
        <v>115.7</v>
      </c>
      <c r="D162" s="21">
        <f>IFERROR(__xludf.DUMMYFUNCTION("""COMPUTED_VALUE"""),-0.7434938340720446)</f>
        <v>-0.7434938341</v>
      </c>
      <c r="E162" s="21">
        <f>IFERROR(__xludf.DUMMYFUNCTION("""COMPUTED_VALUE"""),-1.4618717148055271)</f>
        <v>-1.461871715</v>
      </c>
      <c r="F162" s="21">
        <f>IFERROR(__xludf.DUMMYFUNCTION("""COMPUTED_VALUE"""),-2.205365548877572)</f>
        <v>-2.205365549</v>
      </c>
      <c r="G162" s="23">
        <f>IFERROR(__xludf.DUMMYFUNCTION("""COMPUTED_VALUE"""),-0.007112562114639853)</f>
        <v>-0.007112562115</v>
      </c>
      <c r="H162" s="4"/>
      <c r="I162" s="5" t="s">
        <v>2950</v>
      </c>
      <c r="J162" s="5" t="s">
        <v>2831</v>
      </c>
      <c r="K162" s="24">
        <v>550.0</v>
      </c>
      <c r="L162" s="5">
        <v>-0.336419</v>
      </c>
      <c r="M162" s="5">
        <v>-1.735954</v>
      </c>
      <c r="N162" s="5">
        <v>-2.072373</v>
      </c>
      <c r="O162" s="5">
        <v>-0.012373</v>
      </c>
    </row>
    <row r="163">
      <c r="A163" s="12" t="str">
        <f>IFERROR(__xludf.DUMMYFUNCTION("""COMPUTED_VALUE"""),"Sergej Vabischevich")</f>
        <v>Sergej Vabischevich</v>
      </c>
      <c r="B163" s="13" t="str">
        <f>IFERROR(__xludf.DUMMYFUNCTION("""COMPUTED_VALUE"""),"MIN")</f>
        <v>MIN</v>
      </c>
      <c r="C163" s="14">
        <f>IFERROR(__xludf.DUMMYFUNCTION("""COMPUTED_VALUE"""),38.5)</f>
        <v>38.5</v>
      </c>
      <c r="D163" s="15">
        <f>IFERROR(__xludf.DUMMYFUNCTION("""COMPUTED_VALUE"""),-1.7173887411423507)</f>
        <v>-1.717388741</v>
      </c>
      <c r="E163" s="15">
        <f>IFERROR(__xludf.DUMMYFUNCTION("""COMPUTED_VALUE"""),-0.5052551990811596)</f>
        <v>-0.5052551991</v>
      </c>
      <c r="F163" s="15">
        <f>IFERROR(__xludf.DUMMYFUNCTION("""COMPUTED_VALUE"""),-2.2226439402235103)</f>
        <v>-2.22264394</v>
      </c>
      <c r="G163" s="17">
        <f>IFERROR(__xludf.DUMMYFUNCTION("""COMPUTED_VALUE"""),-0.0025865160238758085)</f>
        <v>-0.002586516024</v>
      </c>
      <c r="H163" s="4"/>
      <c r="I163" s="5" t="s">
        <v>2951</v>
      </c>
      <c r="J163" s="5" t="s">
        <v>2822</v>
      </c>
      <c r="K163" s="5">
        <v>116.0</v>
      </c>
      <c r="L163" s="5">
        <v>-0.741527</v>
      </c>
      <c r="M163" s="5">
        <v>-1.356539</v>
      </c>
      <c r="N163" s="5">
        <v>-2.098066</v>
      </c>
      <c r="O163" s="5">
        <v>-0.003389</v>
      </c>
    </row>
    <row r="164">
      <c r="A164" s="18" t="str">
        <f>IFERROR(__xludf.DUMMYFUNCTION("""COMPUTED_VALUE"""),"Malcolm Grant")</f>
        <v>Malcolm Grant</v>
      </c>
      <c r="B164" s="19" t="str">
        <f>IFERROR(__xludf.DUMMYFUNCTION("""COMPUTED_VALUE"""),"AST")</f>
        <v>AST</v>
      </c>
      <c r="C164" s="20">
        <f>IFERROR(__xludf.DUMMYFUNCTION("""COMPUTED_VALUE"""),301.4)</f>
        <v>301.4</v>
      </c>
      <c r="D164" s="21">
        <f>IFERROR(__xludf.DUMMYFUNCTION("""COMPUTED_VALUE"""),3.4016321311586935)</f>
        <v>3.401632131</v>
      </c>
      <c r="E164" s="21">
        <f>IFERROR(__xludf.DUMMYFUNCTION("""COMPUTED_VALUE"""),-5.651948625609293)</f>
        <v>-5.651948626</v>
      </c>
      <c r="F164" s="21">
        <f>IFERROR(__xludf.DUMMYFUNCTION("""COMPUTED_VALUE"""),-2.2503164944505993)</f>
        <v>-2.250316494</v>
      </c>
      <c r="G164" s="23">
        <f>IFERROR(__xludf.DUMMYFUNCTION("""COMPUTED_VALUE"""),-0.022537281817096008)</f>
        <v>-0.02253728182</v>
      </c>
      <c r="H164" s="4"/>
      <c r="I164" s="5" t="s">
        <v>2954</v>
      </c>
      <c r="J164" s="5" t="s">
        <v>2841</v>
      </c>
      <c r="K164" s="24">
        <v>584.0</v>
      </c>
      <c r="L164" s="5">
        <v>0.116749</v>
      </c>
      <c r="M164" s="5">
        <v>-2.308427</v>
      </c>
      <c r="N164" s="5">
        <v>-2.191678</v>
      </c>
      <c r="O164" s="5">
        <v>-0.033782</v>
      </c>
    </row>
    <row r="165">
      <c r="A165" s="12" t="str">
        <f>IFERROR(__xludf.DUMMYFUNCTION("""COMPUTED_VALUE"""),"Ilja Gromovs")</f>
        <v>Ilja Gromovs</v>
      </c>
      <c r="B165" s="13" t="str">
        <f>IFERROR(__xludf.DUMMYFUNCTION("""COMPUTED_VALUE"""),"RIG")</f>
        <v>RIG</v>
      </c>
      <c r="C165" s="14">
        <f>IFERROR(__xludf.DUMMYFUNCTION("""COMPUTED_VALUE"""),473.4)</f>
        <v>473.4</v>
      </c>
      <c r="D165" s="15">
        <f>IFERROR(__xludf.DUMMYFUNCTION("""COMPUTED_VALUE"""),-3.330503099954991)</f>
        <v>-3.3305031</v>
      </c>
      <c r="E165" s="15">
        <f>IFERROR(__xludf.DUMMYFUNCTION("""COMPUTED_VALUE"""),1.0758861355947138)</f>
        <v>1.075886136</v>
      </c>
      <c r="F165" s="15">
        <f>IFERROR(__xludf.DUMMYFUNCTION("""COMPUTED_VALUE"""),-2.2546169643602774)</f>
        <v>-2.254616964</v>
      </c>
      <c r="G165" s="17">
        <f>IFERROR(__xludf.DUMMYFUNCTION("""COMPUTED_VALUE"""),-0.03657933140452055)</f>
        <v>-0.0365793314</v>
      </c>
      <c r="H165" s="4"/>
      <c r="I165" s="5" t="s">
        <v>2955</v>
      </c>
      <c r="J165" s="5" t="s">
        <v>2851</v>
      </c>
      <c r="K165" s="5">
        <v>136.0</v>
      </c>
      <c r="L165" s="5">
        <v>-0.918241</v>
      </c>
      <c r="M165" s="5">
        <v>-1.282518</v>
      </c>
      <c r="N165" s="5">
        <v>-2.200759</v>
      </c>
      <c r="O165" s="5">
        <v>-0.008293</v>
      </c>
    </row>
    <row r="166">
      <c r="A166" s="18" t="str">
        <f>IFERROR(__xludf.DUMMYFUNCTION("""COMPUTED_VALUE"""),"Dmitriy Gavrilov")</f>
        <v>Dmitriy Gavrilov</v>
      </c>
      <c r="B166" s="19" t="str">
        <f>IFERROR(__xludf.DUMMYFUNCTION("""COMPUTED_VALUE"""),"AST")</f>
        <v>AST</v>
      </c>
      <c r="C166" s="20">
        <f>IFERROR(__xludf.DUMMYFUNCTION("""COMPUTED_VALUE"""),96.5)</f>
        <v>96.5</v>
      </c>
      <c r="D166" s="21">
        <f>IFERROR(__xludf.DUMMYFUNCTION("""COMPUTED_VALUE"""),-2.061011845545415)</f>
        <v>-2.061011846</v>
      </c>
      <c r="E166" s="21">
        <f>IFERROR(__xludf.DUMMYFUNCTION("""COMPUTED_VALUE"""),-0.4409132396698685)</f>
        <v>-0.4409132397</v>
      </c>
      <c r="F166" s="21">
        <f>IFERROR(__xludf.DUMMYFUNCTION("""COMPUTED_VALUE"""),-2.5019250852152837)</f>
        <v>-2.501925085</v>
      </c>
      <c r="G166" s="23">
        <f>IFERROR(__xludf.DUMMYFUNCTION("""COMPUTED_VALUE"""),-0.014468883972442255)</f>
        <v>-0.01446888397</v>
      </c>
      <c r="H166" s="4"/>
      <c r="I166" s="5" t="s">
        <v>2958</v>
      </c>
      <c r="J166" s="5" t="s">
        <v>2811</v>
      </c>
      <c r="K166" s="5">
        <v>39.0</v>
      </c>
      <c r="L166" s="5">
        <v>-1.981797</v>
      </c>
      <c r="M166" s="5">
        <v>-0.240744</v>
      </c>
      <c r="N166" s="5">
        <v>-2.222541</v>
      </c>
      <c r="O166" s="5">
        <v>-0.002585</v>
      </c>
    </row>
    <row r="167">
      <c r="A167" s="12" t="str">
        <f>IFERROR(__xludf.DUMMYFUNCTION("""COMPUTED_VALUE"""),"Artem Komolov")</f>
        <v>Artem Komolov</v>
      </c>
      <c r="B167" s="13" t="str">
        <f>IFERROR(__xludf.DUMMYFUNCTION("""COMPUTED_VALUE"""),"NIZ")</f>
        <v>NIZ</v>
      </c>
      <c r="C167" s="14">
        <f>IFERROR(__xludf.DUMMYFUNCTION("""COMPUTED_VALUE"""),588.8)</f>
        <v>588.8</v>
      </c>
      <c r="D167" s="15">
        <f>IFERROR(__xludf.DUMMYFUNCTION("""COMPUTED_VALUE"""),-0.9850519565664284)</f>
        <v>-0.9850519566</v>
      </c>
      <c r="E167" s="15">
        <f>IFERROR(__xludf.DUMMYFUNCTION("""COMPUTED_VALUE"""),-1.5267428037025492)</f>
        <v>-1.526742804</v>
      </c>
      <c r="F167" s="15">
        <f>IFERROR(__xludf.DUMMYFUNCTION("""COMPUTED_VALUE"""),-2.5117947602689776)</f>
        <v>-2.51179476</v>
      </c>
      <c r="G167" s="17">
        <f>IFERROR(__xludf.DUMMYFUNCTION("""COMPUTED_VALUE"""),-0.09307698253855412)</f>
        <v>-0.09307698254</v>
      </c>
      <c r="H167" s="4"/>
      <c r="I167" s="5" t="s">
        <v>2636</v>
      </c>
      <c r="J167" s="5" t="s">
        <v>2838</v>
      </c>
      <c r="K167" s="5">
        <v>301.0</v>
      </c>
      <c r="L167" s="5">
        <v>1.744104</v>
      </c>
      <c r="M167" s="5">
        <v>-3.992607</v>
      </c>
      <c r="N167" s="5">
        <v>-2.248502</v>
      </c>
      <c r="O167" s="5">
        <v>-0.022374</v>
      </c>
    </row>
    <row r="168">
      <c r="A168" s="18" t="str">
        <f>IFERROR(__xludf.DUMMYFUNCTION("""COMPUTED_VALUE"""),"Bojan Subotic")</f>
        <v>Bojan Subotic</v>
      </c>
      <c r="B168" s="19" t="str">
        <f>IFERROR(__xludf.DUMMYFUNCTION("""COMPUTED_VALUE"""),"KCT")</f>
        <v>KCT</v>
      </c>
      <c r="C168" s="20">
        <f>IFERROR(__xludf.DUMMYFUNCTION("""COMPUTED_VALUE"""),557.7)</f>
        <v>557.7</v>
      </c>
      <c r="D168" s="21">
        <f>IFERROR(__xludf.DUMMYFUNCTION("""COMPUTED_VALUE"""),0.5391933149657822)</f>
        <v>0.539193315</v>
      </c>
      <c r="E168" s="21">
        <f>IFERROR(__xludf.DUMMYFUNCTION("""COMPUTED_VALUE"""),-3.0594928642737003)</f>
        <v>-3.059492864</v>
      </c>
      <c r="F168" s="21">
        <f>IFERROR(__xludf.DUMMYFUNCTION("""COMPUTED_VALUE"""),-2.5202995493079183)</f>
        <v>-2.520299549</v>
      </c>
      <c r="G168" s="23">
        <f>IFERROR(__xludf.DUMMYFUNCTION("""COMPUTED_VALUE"""),-0.08750063334694436)</f>
        <v>-0.08750063335</v>
      </c>
      <c r="H168" s="4"/>
      <c r="I168" s="5" t="s">
        <v>2962</v>
      </c>
      <c r="J168" s="5" t="s">
        <v>2831</v>
      </c>
      <c r="K168" s="5">
        <v>572.0</v>
      </c>
      <c r="L168" s="5">
        <v>-0.433445</v>
      </c>
      <c r="M168" s="5">
        <v>-1.83884</v>
      </c>
      <c r="N168" s="5">
        <v>-2.272285</v>
      </c>
      <c r="O168" s="5">
        <v>-0.048448</v>
      </c>
    </row>
    <row r="169">
      <c r="A169" s="12" t="str">
        <f>IFERROR(__xludf.DUMMYFUNCTION("""COMPUTED_VALUE"""),"Andris Misters")</f>
        <v>Andris Misters</v>
      </c>
      <c r="B169" s="13" t="str">
        <f>IFERROR(__xludf.DUMMYFUNCTION("""COMPUTED_VALUE"""),"RIG")</f>
        <v>RIG</v>
      </c>
      <c r="C169" s="14">
        <f>IFERROR(__xludf.DUMMYFUNCTION("""COMPUTED_VALUE"""),179.7)</f>
        <v>179.7</v>
      </c>
      <c r="D169" s="15">
        <f>IFERROR(__xludf.DUMMYFUNCTION("""COMPUTED_VALUE"""),-0.17973821960095152)</f>
        <v>-0.1797382196</v>
      </c>
      <c r="E169" s="15">
        <f>IFERROR(__xludf.DUMMYFUNCTION("""COMPUTED_VALUE"""),-2.416120379796343)</f>
        <v>-2.41612038</v>
      </c>
      <c r="F169" s="15">
        <f>IFERROR(__xludf.DUMMYFUNCTION("""COMPUTED_VALUE"""),-2.5958585993972947)</f>
        <v>-2.595858599</v>
      </c>
      <c r="G169" s="17">
        <f>IFERROR(__xludf.DUMMYFUNCTION("""COMPUTED_VALUE"""),-0.03249461996645762)</f>
        <v>-0.03249461997</v>
      </c>
      <c r="H169" s="4"/>
      <c r="I169" s="5" t="s">
        <v>2964</v>
      </c>
      <c r="J169" s="5" t="s">
        <v>2838</v>
      </c>
      <c r="K169" s="5">
        <v>97.0</v>
      </c>
      <c r="L169" s="5">
        <v>-2.595913</v>
      </c>
      <c r="M169" s="5">
        <v>0.09315</v>
      </c>
      <c r="N169" s="5">
        <v>-2.502763</v>
      </c>
      <c r="O169" s="5">
        <v>-0.014493</v>
      </c>
    </row>
    <row r="170">
      <c r="A170" s="18" t="str">
        <f>IFERROR(__xludf.DUMMYFUNCTION("""COMPUTED_VALUE"""),"Justin Gray")</f>
        <v>Justin Gray</v>
      </c>
      <c r="B170" s="19" t="str">
        <f>IFERROR(__xludf.DUMMYFUNCTION("""COMPUTED_VALUE"""),"MIN")</f>
        <v>MIN</v>
      </c>
      <c r="C170" s="20">
        <f>IFERROR(__xludf.DUMMYFUNCTION("""COMPUTED_VALUE"""),175.6)</f>
        <v>175.6</v>
      </c>
      <c r="D170" s="21">
        <f>IFERROR(__xludf.DUMMYFUNCTION("""COMPUTED_VALUE"""),-0.2771503825985946)</f>
        <v>-0.2771503826</v>
      </c>
      <c r="E170" s="21">
        <f>IFERROR(__xludf.DUMMYFUNCTION("""COMPUTED_VALUE"""),-2.357098613236384)</f>
        <v>-2.357098613</v>
      </c>
      <c r="F170" s="21">
        <f>IFERROR(__xludf.DUMMYFUNCTION("""COMPUTED_VALUE"""),-2.634248995834979)</f>
        <v>-2.634248996</v>
      </c>
      <c r="G170" s="23">
        <f>IFERROR(__xludf.DUMMYFUNCTION("""COMPUTED_VALUE"""),-0.033606854394384565)</f>
        <v>-0.03360685439</v>
      </c>
      <c r="H170" s="4"/>
      <c r="I170" s="5" t="s">
        <v>2966</v>
      </c>
      <c r="J170" s="5" t="s">
        <v>2875</v>
      </c>
      <c r="K170" s="5">
        <v>558.0</v>
      </c>
      <c r="L170" s="5">
        <v>0.540657</v>
      </c>
      <c r="M170" s="5">
        <v>-3.060252</v>
      </c>
      <c r="N170" s="5">
        <v>-2.519596</v>
      </c>
      <c r="O170" s="5">
        <v>-0.087382</v>
      </c>
    </row>
    <row r="171">
      <c r="A171" s="12" t="str">
        <f>IFERROR(__xludf.DUMMYFUNCTION("""COMPUTED_VALUE"""),"Viachaslau Korzh")</f>
        <v>Viachaslau Korzh</v>
      </c>
      <c r="B171" s="13" t="str">
        <f>IFERROR(__xludf.DUMMYFUNCTION("""COMPUTED_VALUE"""),"MIN")</f>
        <v>MIN</v>
      </c>
      <c r="C171" s="14">
        <f>IFERROR(__xludf.DUMMYFUNCTION("""COMPUTED_VALUE"""),46.5)</f>
        <v>46.5</v>
      </c>
      <c r="D171" s="15">
        <f>IFERROR(__xludf.DUMMYFUNCTION("""COMPUTED_VALUE"""),-1.6163489519443182)</f>
        <v>-1.616348952</v>
      </c>
      <c r="E171" s="15">
        <f>IFERROR(__xludf.DUMMYFUNCTION("""COMPUTED_VALUE"""),-1.0207781406345526)</f>
        <v>-1.020778141</v>
      </c>
      <c r="F171" s="15">
        <f>IFERROR(__xludf.DUMMYFUNCTION("""COMPUTED_VALUE"""),-2.637127092578871)</f>
        <v>-2.637127093</v>
      </c>
      <c r="G171" s="17">
        <f>IFERROR(__xludf.DUMMYFUNCTION("""COMPUTED_VALUE"""),-0.008939692701912019)</f>
        <v>-0.008939692702</v>
      </c>
      <c r="H171" s="4"/>
      <c r="I171" s="5" t="s">
        <v>2968</v>
      </c>
      <c r="J171" s="5" t="s">
        <v>2822</v>
      </c>
      <c r="K171" s="5">
        <v>177.0</v>
      </c>
      <c r="L171" s="5">
        <v>-2.226795</v>
      </c>
      <c r="M171" s="5">
        <v>-0.29649</v>
      </c>
      <c r="N171" s="5">
        <v>-2.523284</v>
      </c>
      <c r="O171" s="5">
        <v>-0.027632</v>
      </c>
    </row>
    <row r="172">
      <c r="A172" s="18" t="str">
        <f>IFERROR(__xludf.DUMMYFUNCTION("""COMPUTED_VALUE"""),"Klavs Cavars")</f>
        <v>Klavs Cavars</v>
      </c>
      <c r="B172" s="19" t="str">
        <f>IFERROR(__xludf.DUMMYFUNCTION("""COMPUTED_VALUE"""),"RIG")</f>
        <v>RIG</v>
      </c>
      <c r="C172" s="20">
        <f>IFERROR(__xludf.DUMMYFUNCTION("""COMPUTED_VALUE"""),193.9)</f>
        <v>193.9</v>
      </c>
      <c r="D172" s="21">
        <f>IFERROR(__xludf.DUMMYFUNCTION("""COMPUTED_VALUE"""),-2.915834943209414)</f>
        <v>-2.915834943</v>
      </c>
      <c r="E172" s="21">
        <f>IFERROR(__xludf.DUMMYFUNCTION("""COMPUTED_VALUE"""),0.24866180211412736)</f>
        <v>0.2486618021</v>
      </c>
      <c r="F172" s="21">
        <f>IFERROR(__xludf.DUMMYFUNCTION("""COMPUTED_VALUE"""),-2.6671731410952866)</f>
        <v>-2.667173141</v>
      </c>
      <c r="G172" s="23">
        <f>IFERROR(__xludf.DUMMYFUNCTION("""COMPUTED_VALUE"""),-0.03925875627263296)</f>
        <v>-0.03925875627</v>
      </c>
      <c r="H172" s="4"/>
      <c r="I172" s="5" t="s">
        <v>2970</v>
      </c>
      <c r="J172" s="5" t="s">
        <v>2851</v>
      </c>
      <c r="K172" s="5">
        <v>157.0</v>
      </c>
      <c r="L172" s="5">
        <v>-3.856357</v>
      </c>
      <c r="M172" s="5">
        <v>1.255487</v>
      </c>
      <c r="N172" s="5">
        <v>-2.60087</v>
      </c>
      <c r="O172" s="5">
        <v>-0.028575</v>
      </c>
    </row>
    <row r="173">
      <c r="A173" s="12" t="str">
        <f>IFERROR(__xludf.DUMMYFUNCTION("""COMPUTED_VALUE"""),"Kristjan Kangur")</f>
        <v>Kristjan Kangur</v>
      </c>
      <c r="B173" s="13" t="str">
        <f>IFERROR(__xludf.DUMMYFUNCTION("""COMPUTED_VALUE"""),"KCT")</f>
        <v>KCT</v>
      </c>
      <c r="C173" s="14">
        <f>IFERROR(__xludf.DUMMYFUNCTION("""COMPUTED_VALUE"""),463.1)</f>
        <v>463.1</v>
      </c>
      <c r="D173" s="15">
        <f>IFERROR(__xludf.DUMMYFUNCTION("""COMPUTED_VALUE"""),-1.1441752166247592)</f>
        <v>-1.144175217</v>
      </c>
      <c r="E173" s="15">
        <f>IFERROR(__xludf.DUMMYFUNCTION("""COMPUTED_VALUE"""),-1.5582645031843771)</f>
        <v>-1.558264503</v>
      </c>
      <c r="F173" s="15">
        <f>IFERROR(__xludf.DUMMYFUNCTION("""COMPUTED_VALUE"""),-2.7024397198091363)</f>
        <v>-2.70243972</v>
      </c>
      <c r="G173" s="17">
        <f>IFERROR(__xludf.DUMMYFUNCTION("""COMPUTED_VALUE"""),-0.09809366122346579)</f>
        <v>-0.09809366122</v>
      </c>
      <c r="H173" s="4"/>
      <c r="I173" s="5" t="s">
        <v>2973</v>
      </c>
      <c r="J173" s="5" t="s">
        <v>2811</v>
      </c>
      <c r="K173" s="5">
        <v>176.0</v>
      </c>
      <c r="L173" s="5">
        <v>-1.483687</v>
      </c>
      <c r="M173" s="5">
        <v>-1.150554</v>
      </c>
      <c r="N173" s="5">
        <v>-2.634241</v>
      </c>
      <c r="O173" s="5">
        <v>-0.033606</v>
      </c>
    </row>
    <row r="174">
      <c r="A174" s="18" t="str">
        <f>IFERROR(__xludf.DUMMYFUNCTION("""COMPUTED_VALUE"""),"Ivan Strebkov")</f>
        <v>Ivan Strebkov</v>
      </c>
      <c r="B174" s="19" t="str">
        <f>IFERROR(__xludf.DUMMYFUNCTION("""COMPUTED_VALUE"""),"NIZ")</f>
        <v>NIZ</v>
      </c>
      <c r="C174" s="20">
        <f>IFERROR(__xludf.DUMMYFUNCTION("""COMPUTED_VALUE"""),627.0)</f>
        <v>627</v>
      </c>
      <c r="D174" s="21">
        <f>IFERROR(__xludf.DUMMYFUNCTION("""COMPUTED_VALUE"""),-0.751112558475735)</f>
        <v>-0.7511125585</v>
      </c>
      <c r="E174" s="21">
        <f>IFERROR(__xludf.DUMMYFUNCTION("""COMPUTED_VALUE"""),-1.9578262483623146)</f>
        <v>-1.957826248</v>
      </c>
      <c r="F174" s="21">
        <f>IFERROR(__xludf.DUMMYFUNCTION("""COMPUTED_VALUE"""),-2.7089388068380496)</f>
        <v>-2.708938807</v>
      </c>
      <c r="G174" s="23">
        <f>IFERROR(__xludf.DUMMYFUNCTION("""COMPUTED_VALUE"""),-0.13729507215610026)</f>
        <v>-0.1372950722</v>
      </c>
      <c r="H174" s="4"/>
      <c r="I174" s="5" t="s">
        <v>2976</v>
      </c>
      <c r="J174" s="5" t="s">
        <v>2811</v>
      </c>
      <c r="K174" s="5">
        <v>47.0</v>
      </c>
      <c r="L174" s="5">
        <v>-1.935899</v>
      </c>
      <c r="M174" s="5">
        <v>-0.701268</v>
      </c>
      <c r="N174" s="5">
        <v>-2.637167</v>
      </c>
      <c r="O174" s="5">
        <v>-0.00894</v>
      </c>
    </row>
    <row r="175">
      <c r="A175" s="12" t="str">
        <f>IFERROR(__xludf.DUMMYFUNCTION("""COMPUTED_VALUE"""),"Nicolas Laprovittola")</f>
        <v>Nicolas Laprovittola</v>
      </c>
      <c r="B175" s="13" t="str">
        <f>IFERROR(__xludf.DUMMYFUNCTION("""COMPUTED_VALUE"""),"ZEN")</f>
        <v>ZEN</v>
      </c>
      <c r="C175" s="14">
        <f>IFERROR(__xludf.DUMMYFUNCTION("""COMPUTED_VALUE"""),137.9)</f>
        <v>137.9</v>
      </c>
      <c r="D175" s="15">
        <f>IFERROR(__xludf.DUMMYFUNCTION("""COMPUTED_VALUE"""),-2.005875822783952)</f>
        <v>-2.005875823</v>
      </c>
      <c r="E175" s="15">
        <f>IFERROR(__xludf.DUMMYFUNCTION("""COMPUTED_VALUE"""),-0.7185594979555181)</f>
        <v>-0.718559498</v>
      </c>
      <c r="F175" s="15">
        <f>IFERROR(__xludf.DUMMYFUNCTION("""COMPUTED_VALUE"""),-2.7244353207394703)</f>
        <v>-2.724435321</v>
      </c>
      <c r="G175" s="17">
        <f>IFERROR(__xludf.DUMMYFUNCTION("""COMPUTED_VALUE"""),-0.03046002486351796)</f>
        <v>-0.03046002486</v>
      </c>
      <c r="H175" s="4"/>
      <c r="I175" s="5" t="s">
        <v>2978</v>
      </c>
      <c r="J175" s="5" t="s">
        <v>2831</v>
      </c>
      <c r="K175" s="24">
        <v>137.0</v>
      </c>
      <c r="L175" s="5">
        <v>-1.31459</v>
      </c>
      <c r="M175" s="5">
        <v>-1.333042</v>
      </c>
      <c r="N175" s="5">
        <v>-2.647632</v>
      </c>
      <c r="O175" s="5">
        <v>-0.027661</v>
      </c>
    </row>
    <row r="176">
      <c r="A176" s="18" t="str">
        <f>IFERROR(__xludf.DUMMYFUNCTION("""COMPUTED_VALUE"""),"Sergey Chernov")</f>
        <v>Sergey Chernov</v>
      </c>
      <c r="B176" s="19" t="str">
        <f>IFERROR(__xludf.DUMMYFUNCTION("""COMPUTED_VALUE"""),"PARM")</f>
        <v>PARM</v>
      </c>
      <c r="C176" s="20">
        <f>IFERROR(__xludf.DUMMYFUNCTION("""COMPUTED_VALUE"""),98.3)</f>
        <v>98.3</v>
      </c>
      <c r="D176" s="21">
        <f>IFERROR(__xludf.DUMMYFUNCTION("""COMPUTED_VALUE"""),-1.4277503858668417)</f>
        <v>-1.427750386</v>
      </c>
      <c r="E176" s="21">
        <f>IFERROR(__xludf.DUMMYFUNCTION("""COMPUTED_VALUE"""),-1.3175047975136844)</f>
        <v>-1.317504798</v>
      </c>
      <c r="F176" s="21">
        <f>IFERROR(__xludf.DUMMYFUNCTION("""COMPUTED_VALUE"""),-2.745255183380526)</f>
        <v>-2.745255183</v>
      </c>
      <c r="G176" s="23">
        <f>IFERROR(__xludf.DUMMYFUNCTION("""COMPUTED_VALUE"""),-0.022104677252091236)</f>
        <v>-0.02210467725</v>
      </c>
      <c r="H176" s="4"/>
      <c r="I176" s="5" t="s">
        <v>2980</v>
      </c>
      <c r="J176" s="5" t="s">
        <v>2875</v>
      </c>
      <c r="K176" s="5">
        <v>463.0</v>
      </c>
      <c r="L176" s="5">
        <v>-1.144351</v>
      </c>
      <c r="M176" s="5">
        <v>-1.558732</v>
      </c>
      <c r="N176" s="5">
        <v>-2.703083</v>
      </c>
      <c r="O176" s="5">
        <v>-0.098184</v>
      </c>
    </row>
    <row r="177">
      <c r="A177" s="12" t="str">
        <f>IFERROR(__xludf.DUMMYFUNCTION("""COMPUTED_VALUE"""),"Gregor Arbet")</f>
        <v>Gregor Arbet</v>
      </c>
      <c r="B177" s="13" t="str">
        <f>IFERROR(__xludf.DUMMYFUNCTION("""COMPUTED_VALUE"""),"KCT")</f>
        <v>KCT</v>
      </c>
      <c r="C177" s="14">
        <f>IFERROR(__xludf.DUMMYFUNCTION("""COMPUTED_VALUE"""),209.6)</f>
        <v>209.6</v>
      </c>
      <c r="D177" s="15">
        <f>IFERROR(__xludf.DUMMYFUNCTION("""COMPUTED_VALUE"""),0.05441262749771301)</f>
        <v>0.0544126275</v>
      </c>
      <c r="E177" s="15">
        <f>IFERROR(__xludf.DUMMYFUNCTION("""COMPUTED_VALUE"""),-2.810255999819466)</f>
        <v>-2.810256</v>
      </c>
      <c r="F177" s="15">
        <f>IFERROR(__xludf.DUMMYFUNCTION("""COMPUTED_VALUE"""),-2.755843372321753)</f>
        <v>-2.755843372</v>
      </c>
      <c r="G177" s="17">
        <f>IFERROR(__xludf.DUMMYFUNCTION("""COMPUTED_VALUE"""),-0.04777274429353914)</f>
        <v>-0.04777274429</v>
      </c>
      <c r="H177" s="4"/>
      <c r="I177" s="5" t="s">
        <v>2982</v>
      </c>
      <c r="J177" s="5" t="s">
        <v>2841</v>
      </c>
      <c r="K177" s="24">
        <v>98.0</v>
      </c>
      <c r="L177" s="5">
        <v>-1.778318</v>
      </c>
      <c r="M177" s="5">
        <v>-0.967622</v>
      </c>
      <c r="N177" s="5">
        <v>-2.74594</v>
      </c>
      <c r="O177" s="5">
        <v>-0.022125</v>
      </c>
    </row>
    <row r="178">
      <c r="A178" s="18" t="str">
        <f>IFERROR(__xludf.DUMMYFUNCTION("""COMPUTED_VALUE"""),"Nikita Mikhailovskii")</f>
        <v>Nikita Mikhailovskii</v>
      </c>
      <c r="B178" s="19" t="str">
        <f>IFERROR(__xludf.DUMMYFUNCTION("""COMPUTED_VALUE"""),"AVT")</f>
        <v>AVT</v>
      </c>
      <c r="C178" s="20">
        <f>IFERROR(__xludf.DUMMYFUNCTION("""COMPUTED_VALUE"""),88.2)</f>
        <v>88.2</v>
      </c>
      <c r="D178" s="21">
        <f>IFERROR(__xludf.DUMMYFUNCTION("""COMPUTED_VALUE"""),-2.2575073577625497)</f>
        <v>-2.257507358</v>
      </c>
      <c r="E178" s="21">
        <f>IFERROR(__xludf.DUMMYFUNCTION("""COMPUTED_VALUE"""),-0.5125204932511291)</f>
        <v>-0.5125204933</v>
      </c>
      <c r="F178" s="21">
        <f>IFERROR(__xludf.DUMMYFUNCTION("""COMPUTED_VALUE"""),-2.770027851013679)</f>
        <v>-2.770027851</v>
      </c>
      <c r="G178" s="23">
        <f>IFERROR(__xludf.DUMMYFUNCTION("""COMPUTED_VALUE"""),-0.02033012933277251)</f>
        <v>-0.02033012933</v>
      </c>
      <c r="H178" s="4"/>
      <c r="I178" s="5" t="s">
        <v>2548</v>
      </c>
      <c r="J178" s="5" t="s">
        <v>2831</v>
      </c>
      <c r="K178" s="5">
        <v>129.0</v>
      </c>
      <c r="L178" s="5">
        <v>-1.663128</v>
      </c>
      <c r="M178" s="5">
        <v>-1.088792</v>
      </c>
      <c r="N178" s="5">
        <v>-2.751919</v>
      </c>
      <c r="O178" s="5">
        <v>-0.030128</v>
      </c>
    </row>
    <row r="179">
      <c r="A179" s="12" t="str">
        <f>IFERROR(__xludf.DUMMYFUNCTION("""COMPUTED_VALUE"""),"Alexander Zakharov")</f>
        <v>Alexander Zakharov</v>
      </c>
      <c r="B179" s="13" t="str">
        <f>IFERROR(__xludf.DUMMYFUNCTION("""COMPUTED_VALUE"""),"NIZ")</f>
        <v>NIZ</v>
      </c>
      <c r="C179" s="14">
        <f>IFERROR(__xludf.DUMMYFUNCTION("""COMPUTED_VALUE"""),128.9)</f>
        <v>128.9</v>
      </c>
      <c r="D179" s="15">
        <f>IFERROR(__xludf.DUMMYFUNCTION("""COMPUTED_VALUE"""),-1.856793802977384)</f>
        <v>-1.856793803</v>
      </c>
      <c r="E179" s="15">
        <f>IFERROR(__xludf.DUMMYFUNCTION("""COMPUTED_VALUE"""),-1.0095968638535655)</f>
        <v>-1.009596864</v>
      </c>
      <c r="F179" s="15">
        <f>IFERROR(__xludf.DUMMYFUNCTION("""COMPUTED_VALUE"""),-2.8663906668309496)</f>
        <v>-2.866390667</v>
      </c>
      <c r="G179" s="17">
        <f>IFERROR(__xludf.DUMMYFUNCTION("""COMPUTED_VALUE"""),-0.03449414156652223)</f>
        <v>-0.03449414157</v>
      </c>
      <c r="H179" s="4"/>
      <c r="I179" s="5" t="s">
        <v>2988</v>
      </c>
      <c r="J179" s="5" t="s">
        <v>2875</v>
      </c>
      <c r="K179" s="5">
        <v>210.0</v>
      </c>
      <c r="L179" s="5">
        <v>0.053782</v>
      </c>
      <c r="M179" s="5">
        <v>-2.810492</v>
      </c>
      <c r="N179" s="5">
        <v>-2.75671</v>
      </c>
      <c r="O179" s="5">
        <v>-0.047828</v>
      </c>
    </row>
    <row r="180">
      <c r="A180" s="18" t="str">
        <f>IFERROR(__xludf.DUMMYFUNCTION("""COMPUTED_VALUE"""),"Vasiliy Martynov")</f>
        <v>Vasiliy Martynov</v>
      </c>
      <c r="B180" s="19" t="str">
        <f>IFERROR(__xludf.DUMMYFUNCTION("""COMPUTED_VALUE"""),"NIZ")</f>
        <v>NIZ</v>
      </c>
      <c r="C180" s="20">
        <f>IFERROR(__xludf.DUMMYFUNCTION("""COMPUTED_VALUE"""),147.1)</f>
        <v>147.1</v>
      </c>
      <c r="D180" s="21">
        <f>IFERROR(__xludf.DUMMYFUNCTION("""COMPUTED_VALUE"""),-1.6821272008068937)</f>
        <v>-1.682127201</v>
      </c>
      <c r="E180" s="21">
        <f>IFERROR(__xludf.DUMMYFUNCTION("""COMPUTED_VALUE"""),-1.231063892478819)</f>
        <v>-1.231063892</v>
      </c>
      <c r="F180" s="21">
        <f>IFERROR(__xludf.DUMMYFUNCTION("""COMPUTED_VALUE"""),-2.913191093285713)</f>
        <v>-2.913191093</v>
      </c>
      <c r="G180" s="23">
        <f>IFERROR(__xludf.DUMMYFUNCTION("""COMPUTED_VALUE"""),-0.0414909136739538)</f>
        <v>-0.04149091367</v>
      </c>
      <c r="H180" s="4"/>
      <c r="I180" s="5" t="s">
        <v>232</v>
      </c>
      <c r="J180" s="5" t="s">
        <v>2816</v>
      </c>
      <c r="K180" s="5">
        <v>138.0</v>
      </c>
      <c r="L180" s="5">
        <v>-1.918912</v>
      </c>
      <c r="M180" s="5">
        <v>-0.866699</v>
      </c>
      <c r="N180" s="5">
        <v>-2.785611</v>
      </c>
      <c r="O180" s="5">
        <v>-0.033034</v>
      </c>
    </row>
    <row r="181">
      <c r="A181" s="12" t="str">
        <f>IFERROR(__xludf.DUMMYFUNCTION("""COMPUTED_VALUE"""),"Isaiah Briscoe")</f>
        <v>Isaiah Briscoe</v>
      </c>
      <c r="B181" s="13" t="str">
        <f>IFERROR(__xludf.DUMMYFUNCTION("""COMPUTED_VALUE"""),"KCT")</f>
        <v>KCT</v>
      </c>
      <c r="C181" s="14">
        <f>IFERROR(__xludf.DUMMYFUNCTION("""COMPUTED_VALUE"""),480.7)</f>
        <v>480.7</v>
      </c>
      <c r="D181" s="15">
        <f>IFERROR(__xludf.DUMMYFUNCTION("""COMPUTED_VALUE"""),-0.05594833588594432)</f>
        <v>-0.05594833589</v>
      </c>
      <c r="E181" s="15">
        <f>IFERROR(__xludf.DUMMYFUNCTION("""COMPUTED_VALUE"""),-2.89607377942042)</f>
        <v>-2.896073779</v>
      </c>
      <c r="F181" s="15">
        <f>IFERROR(__xludf.DUMMYFUNCTION("""COMPUTED_VALUE"""),-2.9520221153063644)</f>
        <v>-2.952022115</v>
      </c>
      <c r="G181" s="17">
        <f>IFERROR(__xludf.DUMMYFUNCTION("""COMPUTED_VALUE"""),-0.1379997379024599)</f>
        <v>-0.1379997379</v>
      </c>
      <c r="H181" s="4"/>
      <c r="I181" s="5" t="s">
        <v>2992</v>
      </c>
      <c r="J181" s="5" t="s">
        <v>2875</v>
      </c>
      <c r="K181" s="5">
        <v>481.0</v>
      </c>
      <c r="L181" s="5">
        <v>-0.050462</v>
      </c>
      <c r="M181" s="5">
        <v>-2.89755</v>
      </c>
      <c r="N181" s="5">
        <v>-2.948012</v>
      </c>
      <c r="O181" s="5">
        <v>-0.137418</v>
      </c>
    </row>
    <row r="182">
      <c r="A182" s="18" t="str">
        <f>IFERROR(__xludf.DUMMYFUNCTION("""COMPUTED_VALUE"""),"Vladimir Pichkurov")</f>
        <v>Vladimir Pichkurov</v>
      </c>
      <c r="B182" s="19" t="str">
        <f>IFERROR(__xludf.DUMMYFUNCTION("""COMPUTED_VALUE"""),"ENI")</f>
        <v>ENI</v>
      </c>
      <c r="C182" s="20">
        <f>IFERROR(__xludf.DUMMYFUNCTION("""COMPUTED_VALUE"""),181.0)</f>
        <v>181</v>
      </c>
      <c r="D182" s="21">
        <f>IFERROR(__xludf.DUMMYFUNCTION("""COMPUTED_VALUE"""),-0.5864127327739738)</f>
        <v>-0.5864127328</v>
      </c>
      <c r="E182" s="21">
        <f>IFERROR(__xludf.DUMMYFUNCTION("""COMPUTED_VALUE"""),-2.4780595400946797)</f>
        <v>-2.47805954</v>
      </c>
      <c r="F182" s="21">
        <f>IFERROR(__xludf.DUMMYFUNCTION("""COMPUTED_VALUE"""),-3.0644722728686533)</f>
        <v>-3.064472273</v>
      </c>
      <c r="G182" s="23">
        <f>IFERROR(__xludf.DUMMYFUNCTION("""COMPUTED_VALUE"""),-0.06341775497489426)</f>
        <v>-0.06341775497</v>
      </c>
      <c r="H182" s="4"/>
      <c r="I182" s="5" t="s">
        <v>2101</v>
      </c>
      <c r="J182" s="5" t="s">
        <v>2851</v>
      </c>
      <c r="K182" s="5">
        <v>81.0</v>
      </c>
      <c r="L182" s="5">
        <v>-1.786627</v>
      </c>
      <c r="M182" s="5">
        <v>-1.258437</v>
      </c>
      <c r="N182" s="5">
        <v>-3.045065</v>
      </c>
      <c r="O182" s="5">
        <v>-0.025547</v>
      </c>
    </row>
    <row r="183">
      <c r="A183" s="12" t="str">
        <f>IFERROR(__xludf.DUMMYFUNCTION("""COMPUTED_VALUE"""),"Vasily Zavoruev")</f>
        <v>Vasily Zavoruev</v>
      </c>
      <c r="B183" s="13" t="str">
        <f>IFERROR(__xludf.DUMMYFUNCTION("""COMPUTED_VALUE"""),"ENI")</f>
        <v>ENI</v>
      </c>
      <c r="C183" s="14">
        <f>IFERROR(__xludf.DUMMYFUNCTION("""COMPUTED_VALUE"""),159.7)</f>
        <v>159.7</v>
      </c>
      <c r="D183" s="15">
        <f>IFERROR(__xludf.DUMMYFUNCTION("""COMPUTED_VALUE"""),-1.205686075135607)</f>
        <v>-1.205686075</v>
      </c>
      <c r="E183" s="15">
        <f>IFERROR(__xludf.DUMMYFUNCTION("""COMPUTED_VALUE"""),-1.8605597076144913)</f>
        <v>-1.860559708</v>
      </c>
      <c r="F183" s="15">
        <f>IFERROR(__xludf.DUMMYFUNCTION("""COMPUTED_VALUE"""),-3.0662457827500984)</f>
        <v>-3.066245783</v>
      </c>
      <c r="G183" s="17">
        <f>IFERROR(__xludf.DUMMYFUNCTION("""COMPUTED_VALUE"""),-0.05604800747348366)</f>
        <v>-0.05604800747</v>
      </c>
      <c r="H183" s="4"/>
      <c r="I183" s="5" t="s">
        <v>2997</v>
      </c>
      <c r="J183" s="5" t="s">
        <v>2854</v>
      </c>
      <c r="K183" s="5">
        <v>181.0</v>
      </c>
      <c r="L183" s="5">
        <v>-1.672783</v>
      </c>
      <c r="M183" s="5">
        <v>-1.393596</v>
      </c>
      <c r="N183" s="5">
        <v>-3.066379</v>
      </c>
      <c r="O183" s="5">
        <v>-0.063531</v>
      </c>
    </row>
    <row r="184">
      <c r="A184" s="18" t="str">
        <f>IFERROR(__xludf.DUMMYFUNCTION("""COMPUTED_VALUE"""),"Rolands Freimanis")</f>
        <v>Rolands Freimanis</v>
      </c>
      <c r="B184" s="19" t="str">
        <f>IFERROR(__xludf.DUMMYFUNCTION("""COMPUTED_VALUE"""),"RIG")</f>
        <v>RIG</v>
      </c>
      <c r="C184" s="20">
        <f>IFERROR(__xludf.DUMMYFUNCTION("""COMPUTED_VALUE"""),80.6)</f>
        <v>80.6</v>
      </c>
      <c r="D184" s="21">
        <f>IFERROR(__xludf.DUMMYFUNCTION("""COMPUTED_VALUE"""),-1.3921889368546927)</f>
        <v>-1.392188937</v>
      </c>
      <c r="E184" s="21">
        <f>IFERROR(__xludf.DUMMYFUNCTION("""COMPUTED_VALUE"""),-1.814786614884501)</f>
        <v>-1.814786615</v>
      </c>
      <c r="F184" s="21">
        <f>IFERROR(__xludf.DUMMYFUNCTION("""COMPUTED_VALUE"""),-3.206975551739194)</f>
        <v>-3.206975552</v>
      </c>
      <c r="G184" s="23">
        <f>IFERROR(__xludf.DUMMYFUNCTION("""COMPUTED_VALUE"""),-0.029522537885746134)</f>
        <v>-0.02952253789</v>
      </c>
      <c r="H184" s="4"/>
      <c r="I184" s="5" t="s">
        <v>3000</v>
      </c>
      <c r="J184" s="5" t="s">
        <v>2854</v>
      </c>
      <c r="K184" s="5">
        <v>160.0</v>
      </c>
      <c r="L184" s="5">
        <v>-2.164816</v>
      </c>
      <c r="M184" s="5">
        <v>-0.903608</v>
      </c>
      <c r="N184" s="5">
        <v>-3.068424</v>
      </c>
      <c r="O184" s="5">
        <v>-0.056163</v>
      </c>
    </row>
    <row r="185">
      <c r="A185" s="12" t="str">
        <f>IFERROR(__xludf.DUMMYFUNCTION("""COMPUTED_VALUE"""),"Egor Vyaltsev")</f>
        <v>Egor Vyaltsev</v>
      </c>
      <c r="B185" s="13" t="str">
        <f>IFERROR(__xludf.DUMMYFUNCTION("""COMPUTED_VALUE"""),"KHI")</f>
        <v>KHI</v>
      </c>
      <c r="C185" s="14">
        <f>IFERROR(__xludf.DUMMYFUNCTION("""COMPUTED_VALUE"""),398.0)</f>
        <v>398</v>
      </c>
      <c r="D185" s="15">
        <f>IFERROR(__xludf.DUMMYFUNCTION("""COMPUTED_VALUE"""),-2.5083702865738817)</f>
        <v>-2.508370287</v>
      </c>
      <c r="E185" s="15">
        <f>IFERROR(__xludf.DUMMYFUNCTION("""COMPUTED_VALUE"""),-0.8322001745886776)</f>
        <v>-0.8322001746</v>
      </c>
      <c r="F185" s="15">
        <f>IFERROR(__xludf.DUMMYFUNCTION("""COMPUTED_VALUE"""),-3.3405704611625593)</f>
        <v>-3.340570461</v>
      </c>
      <c r="G185" s="17">
        <f>IFERROR(__xludf.DUMMYFUNCTION("""COMPUTED_VALUE"""),-0.16124839292641358)</f>
        <v>-0.1612483929</v>
      </c>
      <c r="H185" s="4"/>
      <c r="I185" s="5" t="s">
        <v>3003</v>
      </c>
      <c r="J185" s="5" t="s">
        <v>2851</v>
      </c>
      <c r="K185" s="24">
        <v>495.0</v>
      </c>
      <c r="L185" s="5">
        <v>-1.188859</v>
      </c>
      <c r="M185" s="5">
        <v>-1.95568</v>
      </c>
      <c r="N185" s="5">
        <v>-3.144539</v>
      </c>
      <c r="O185" s="5">
        <v>-0.171794</v>
      </c>
    </row>
    <row r="186">
      <c r="A186" s="18" t="str">
        <f>IFERROR(__xludf.DUMMYFUNCTION("""COMPUTED_VALUE"""),"Cedric Simmons")</f>
        <v>Cedric Simmons</v>
      </c>
      <c r="B186" s="19" t="str">
        <f>IFERROR(__xludf.DUMMYFUNCTION("""COMPUTED_VALUE"""),"KCT")</f>
        <v>KCT</v>
      </c>
      <c r="C186" s="20">
        <f>IFERROR(__xludf.DUMMYFUNCTION("""COMPUTED_VALUE"""),417.6)</f>
        <v>417.6</v>
      </c>
      <c r="D186" s="21">
        <f>IFERROR(__xludf.DUMMYFUNCTION("""COMPUTED_VALUE"""),-3.5409136831246077)</f>
        <v>-3.540913683</v>
      </c>
      <c r="E186" s="21">
        <f>IFERROR(__xludf.DUMMYFUNCTION("""COMPUTED_VALUE"""),0.11063936700204113)</f>
        <v>0.110639367</v>
      </c>
      <c r="F186" s="21">
        <f>IFERROR(__xludf.DUMMYFUNCTION("""COMPUTED_VALUE"""),-3.4302743161225666)</f>
        <v>-3.430274316</v>
      </c>
      <c r="G186" s="23">
        <f>IFERROR(__xludf.DUMMYFUNCTION("""COMPUTED_VALUE"""),-0.18010962927013724)</f>
        <v>-0.1801096293</v>
      </c>
      <c r="H186" s="4"/>
      <c r="I186" s="5" t="s">
        <v>482</v>
      </c>
      <c r="J186" s="5" t="s">
        <v>51</v>
      </c>
      <c r="K186" s="5">
        <v>364.0</v>
      </c>
      <c r="L186" s="5">
        <v>-1.557824</v>
      </c>
      <c r="M186" s="5">
        <v>-1.856051</v>
      </c>
      <c r="N186" s="5">
        <v>-3.413875</v>
      </c>
      <c r="O186" s="5">
        <v>-0.156427</v>
      </c>
    </row>
    <row r="187">
      <c r="A187" s="12" t="str">
        <f>IFERROR(__xludf.DUMMYFUNCTION("""COMPUTED_VALUE"""),"Andrey Zubkov")</f>
        <v>Andrey Zubkov</v>
      </c>
      <c r="B187" s="13" t="str">
        <f>IFERROR(__xludf.DUMMYFUNCTION("""COMPUTED_VALUE"""),"KHI")</f>
        <v>KHI</v>
      </c>
      <c r="C187" s="14">
        <f>IFERROR(__xludf.DUMMYFUNCTION("""COMPUTED_VALUE"""),277.2)</f>
        <v>277.2</v>
      </c>
      <c r="D187" s="15">
        <f>IFERROR(__xludf.DUMMYFUNCTION("""COMPUTED_VALUE"""),-3.294421512785866)</f>
        <v>-3.294421513</v>
      </c>
      <c r="E187" s="15">
        <f>IFERROR(__xludf.DUMMYFUNCTION("""COMPUTED_VALUE"""),-0.13797481634194275)</f>
        <v>-0.1379748163</v>
      </c>
      <c r="F187" s="15">
        <f>IFERROR(__xludf.DUMMYFUNCTION("""COMPUTED_VALUE"""),-3.432396329127809)</f>
        <v>-3.432396329</v>
      </c>
      <c r="G187" s="17">
        <f>IFERROR(__xludf.DUMMYFUNCTION("""COMPUTED_VALUE"""),-0.11999940771358726)</f>
        <v>-0.1199994077</v>
      </c>
      <c r="H187" s="4"/>
      <c r="I187" s="5" t="s">
        <v>3009</v>
      </c>
      <c r="J187" s="5" t="s">
        <v>2875</v>
      </c>
      <c r="K187" s="5">
        <v>418.0</v>
      </c>
      <c r="L187" s="5">
        <v>-3.54033</v>
      </c>
      <c r="M187" s="5">
        <v>0.110036</v>
      </c>
      <c r="N187" s="5">
        <v>-3.430293</v>
      </c>
      <c r="O187" s="5">
        <v>-0.180112</v>
      </c>
    </row>
    <row r="188">
      <c r="A188" s="18" t="str">
        <f>IFERROR(__xludf.DUMMYFUNCTION("""COMPUTED_VALUE"""),"Thomas Van Der Mars")</f>
        <v>Thomas Van Der Mars</v>
      </c>
      <c r="B188" s="19" t="str">
        <f>IFERROR(__xludf.DUMMYFUNCTION("""COMPUTED_VALUE"""),"KCT")</f>
        <v>KCT</v>
      </c>
      <c r="C188" s="20">
        <f>IFERROR(__xludf.DUMMYFUNCTION("""COMPUTED_VALUE"""),445.0)</f>
        <v>445</v>
      </c>
      <c r="D188" s="21">
        <f>IFERROR(__xludf.DUMMYFUNCTION("""COMPUTED_VALUE"""),-0.9688952097237982)</f>
        <v>-0.9688952097</v>
      </c>
      <c r="E188" s="21">
        <f>IFERROR(__xludf.DUMMYFUNCTION("""COMPUTED_VALUE"""),-2.611380926158582)</f>
        <v>-2.611380926</v>
      </c>
      <c r="F188" s="21">
        <f>IFERROR(__xludf.DUMMYFUNCTION("""COMPUTED_VALUE"""),-3.58027613588238)</f>
        <v>-3.580276136</v>
      </c>
      <c r="G188" s="23">
        <f>IFERROR(__xludf.DUMMYFUNCTION("""COMPUTED_VALUE"""),-0.21205577052192776)</f>
        <v>-0.2120557705</v>
      </c>
      <c r="H188" s="4"/>
      <c r="I188" s="5" t="s">
        <v>511</v>
      </c>
      <c r="J188" s="5" t="s">
        <v>51</v>
      </c>
      <c r="K188" s="5">
        <v>267.0</v>
      </c>
      <c r="L188" s="5">
        <v>-2.446217</v>
      </c>
      <c r="M188" s="5">
        <v>-0.985325</v>
      </c>
      <c r="N188" s="5">
        <v>-3.431542</v>
      </c>
      <c r="O188" s="5">
        <v>-0.116092</v>
      </c>
    </row>
    <row r="189">
      <c r="A189" s="12" t="str">
        <f>IFERROR(__xludf.DUMMYFUNCTION("""COMPUTED_VALUE"""),"Maksim Salash")</f>
        <v>Maksim Salash</v>
      </c>
      <c r="B189" s="13" t="str">
        <f>IFERROR(__xludf.DUMMYFUNCTION("""COMPUTED_VALUE"""),"MIN")</f>
        <v>MIN</v>
      </c>
      <c r="C189" s="14">
        <f>IFERROR(__xludf.DUMMYFUNCTION("""COMPUTED_VALUE"""),333.2)</f>
        <v>333.2</v>
      </c>
      <c r="D189" s="15">
        <f>IFERROR(__xludf.DUMMYFUNCTION("""COMPUTED_VALUE"""),-1.7146567173488436)</f>
        <v>-1.714656717</v>
      </c>
      <c r="E189" s="15">
        <f>IFERROR(__xludf.DUMMYFUNCTION("""COMPUTED_VALUE"""),-1.8819251795160645)</f>
        <v>-1.88192518</v>
      </c>
      <c r="F189" s="15">
        <f>IFERROR(__xludf.DUMMYFUNCTION("""COMPUTED_VALUE"""),-3.596581896864908)</f>
        <v>-3.596581897</v>
      </c>
      <c r="G189" s="17">
        <f>IFERROR(__xludf.DUMMYFUNCTION("""COMPUTED_VALUE"""),-0.1605239204338486)</f>
        <v>-0.1605239204</v>
      </c>
      <c r="H189" s="4"/>
      <c r="I189" s="5" t="s">
        <v>3012</v>
      </c>
      <c r="J189" s="5" t="s">
        <v>2875</v>
      </c>
      <c r="K189" s="5">
        <v>445.0</v>
      </c>
      <c r="L189" s="5">
        <v>-0.968628</v>
      </c>
      <c r="M189" s="5">
        <v>-2.611927</v>
      </c>
      <c r="N189" s="5">
        <v>-3.580555</v>
      </c>
      <c r="O189" s="5">
        <v>-0.212093</v>
      </c>
    </row>
    <row r="190">
      <c r="A190" s="18" t="str">
        <f>IFERROR(__xludf.DUMMYFUNCTION("""COMPUTED_VALUE"""),"Mark Lyons")</f>
        <v>Mark Lyons</v>
      </c>
      <c r="B190" s="19" t="str">
        <f>IFERROR(__xludf.DUMMYFUNCTION("""COMPUTED_VALUE"""),"ENI")</f>
        <v>ENI</v>
      </c>
      <c r="C190" s="20">
        <f>IFERROR(__xludf.DUMMYFUNCTION("""COMPUTED_VALUE"""),115.3)</f>
        <v>115.3</v>
      </c>
      <c r="D190" s="21">
        <f>IFERROR(__xludf.DUMMYFUNCTION("""COMPUTED_VALUE"""),-1.110200862739085)</f>
        <v>-1.110200863</v>
      </c>
      <c r="E190" s="21">
        <f>IFERROR(__xludf.DUMMYFUNCTION("""COMPUTED_VALUE"""),-2.513409667911091)</f>
        <v>-2.513409668</v>
      </c>
      <c r="F190" s="21">
        <f>IFERROR(__xludf.DUMMYFUNCTION("""COMPUTED_VALUE"""),-3.623610530650176)</f>
        <v>-3.623610531</v>
      </c>
      <c r="G190" s="23">
        <f>IFERROR(__xludf.DUMMYFUNCTION("""COMPUTED_VALUE"""),-0.061618213417585097)</f>
        <v>-0.06161821342</v>
      </c>
      <c r="H190" s="4"/>
      <c r="I190" s="5" t="s">
        <v>3014</v>
      </c>
      <c r="J190" s="5" t="s">
        <v>2816</v>
      </c>
      <c r="K190" s="5">
        <v>235.0</v>
      </c>
      <c r="L190" s="5">
        <v>-3.354769</v>
      </c>
      <c r="M190" s="5">
        <v>-0.236222</v>
      </c>
      <c r="N190" s="5">
        <v>-3.59099</v>
      </c>
      <c r="O190" s="5">
        <v>-0.114054</v>
      </c>
    </row>
    <row r="191">
      <c r="A191" s="12" t="str">
        <f>IFERROR(__xludf.DUMMYFUNCTION("""COMPUTED_VALUE"""),"Artem Vikhrov")</f>
        <v>Artem Vikhrov</v>
      </c>
      <c r="B191" s="13" t="str">
        <f>IFERROR(__xludf.DUMMYFUNCTION("""COMPUTED_VALUE"""),"ZEN")</f>
        <v>ZEN</v>
      </c>
      <c r="C191" s="14">
        <f>IFERROR(__xludf.DUMMYFUNCTION("""COMPUTED_VALUE"""),240.2)</f>
        <v>240.2</v>
      </c>
      <c r="D191" s="15">
        <f>IFERROR(__xludf.DUMMYFUNCTION("""COMPUTED_VALUE"""),-3.8129456757471454)</f>
        <v>-3.812945676</v>
      </c>
      <c r="E191" s="15">
        <f>IFERROR(__xludf.DUMMYFUNCTION("""COMPUTED_VALUE"""),-0.07432835791718784)</f>
        <v>-0.07432835792</v>
      </c>
      <c r="F191" s="15">
        <f>IFERROR(__xludf.DUMMYFUNCTION("""COMPUTED_VALUE"""),-3.887274033664333)</f>
        <v>-3.887274034</v>
      </c>
      <c r="G191" s="17">
        <f>IFERROR(__xludf.DUMMYFUNCTION("""COMPUTED_VALUE"""),-0.13822109791022505)</f>
        <v>-0.1382210979</v>
      </c>
      <c r="H191" s="4"/>
      <c r="I191" s="5" t="s">
        <v>3016</v>
      </c>
      <c r="J191" s="5" t="s">
        <v>2811</v>
      </c>
      <c r="K191" s="5">
        <v>333.0</v>
      </c>
      <c r="L191" s="5">
        <v>-3.776084</v>
      </c>
      <c r="M191" s="5">
        <v>0.179396</v>
      </c>
      <c r="N191" s="5">
        <v>-3.596688</v>
      </c>
      <c r="O191" s="5">
        <v>-0.160535</v>
      </c>
    </row>
    <row r="192">
      <c r="A192" s="18" t="str">
        <f>IFERROR(__xludf.DUMMYFUNCTION("""COMPUTED_VALUE"""),"Sergey Mitusov")</f>
        <v>Sergey Mitusov</v>
      </c>
      <c r="B192" s="19" t="str">
        <f>IFERROR(__xludf.DUMMYFUNCTION("""COMPUTED_VALUE"""),"ENI")</f>
        <v>ENI</v>
      </c>
      <c r="C192" s="20">
        <f>IFERROR(__xludf.DUMMYFUNCTION("""COMPUTED_VALUE"""),145.6)</f>
        <v>145.6</v>
      </c>
      <c r="D192" s="21">
        <f>IFERROR(__xludf.DUMMYFUNCTION("""COMPUTED_VALUE"""),-0.9644366650273776)</f>
        <v>-0.964436665</v>
      </c>
      <c r="E192" s="21">
        <f>IFERROR(__xludf.DUMMYFUNCTION("""COMPUTED_VALUE"""),-2.9307310017766035)</f>
        <v>-2.930731002</v>
      </c>
      <c r="F192" s="21">
        <f>IFERROR(__xludf.DUMMYFUNCTION("""COMPUTED_VALUE"""),-3.895167666803981)</f>
        <v>-3.895167667</v>
      </c>
      <c r="G192" s="23">
        <f>IFERROR(__xludf.DUMMYFUNCTION("""COMPUTED_VALUE"""),-0.09082532249980568)</f>
        <v>-0.0908253225</v>
      </c>
      <c r="H192" s="4"/>
      <c r="I192" s="5" t="s">
        <v>1940</v>
      </c>
      <c r="J192" s="5" t="s">
        <v>2854</v>
      </c>
      <c r="K192" s="5">
        <v>115.0</v>
      </c>
      <c r="L192" s="5">
        <v>-1.801469</v>
      </c>
      <c r="M192" s="5">
        <v>-1.822725</v>
      </c>
      <c r="N192" s="5">
        <v>-3.624194</v>
      </c>
      <c r="O192" s="5">
        <v>-0.06164</v>
      </c>
    </row>
    <row r="193">
      <c r="A193" s="12" t="str">
        <f>IFERROR(__xludf.DUMMYFUNCTION("""COMPUTED_VALUE"""),"Kristaps Janicenoks")</f>
        <v>Kristaps Janicenoks</v>
      </c>
      <c r="B193" s="13" t="str">
        <f>IFERROR(__xludf.DUMMYFUNCTION("""COMPUTED_VALUE"""),"RIG")</f>
        <v>RIG</v>
      </c>
      <c r="C193" s="14">
        <f>IFERROR(__xludf.DUMMYFUNCTION("""COMPUTED_VALUE"""),530.0)</f>
        <v>530</v>
      </c>
      <c r="D193" s="15">
        <f>IFERROR(__xludf.DUMMYFUNCTION("""COMPUTED_VALUE"""),0.09920651670157943)</f>
        <v>0.0992065167</v>
      </c>
      <c r="E193" s="15">
        <f>IFERROR(__xludf.DUMMYFUNCTION("""COMPUTED_VALUE"""),-4.0865372687702575)</f>
        <v>-4.086537269</v>
      </c>
      <c r="F193" s="15">
        <f>IFERROR(__xludf.DUMMYFUNCTION("""COMPUTED_VALUE"""),-3.9873307520686776)</f>
        <v>-3.987330752</v>
      </c>
      <c r="G193" s="17">
        <f>IFERROR(__xludf.DUMMYFUNCTION("""COMPUTED_VALUE"""),-0.3196437345408877)</f>
        <v>-0.3196437345</v>
      </c>
      <c r="H193" s="4"/>
      <c r="I193" s="5" t="s">
        <v>3019</v>
      </c>
      <c r="J193" s="5" t="s">
        <v>2854</v>
      </c>
      <c r="K193" s="5">
        <v>146.0</v>
      </c>
      <c r="L193" s="5">
        <v>-1.838374</v>
      </c>
      <c r="M193" s="5">
        <v>-2.05836</v>
      </c>
      <c r="N193" s="5">
        <v>-3.896734</v>
      </c>
      <c r="O193" s="5">
        <v>-0.0909</v>
      </c>
    </row>
    <row r="194">
      <c r="A194" s="18" t="str">
        <f>IFERROR(__xludf.DUMMYFUNCTION("""COMPUTED_VALUE"""),"Yanick Moreira")</f>
        <v>Yanick Moreira</v>
      </c>
      <c r="B194" s="19" t="str">
        <f>IFERROR(__xludf.DUMMYFUNCTION("""COMPUTED_VALUE"""),"PARM")</f>
        <v>PARM</v>
      </c>
      <c r="C194" s="20">
        <f>IFERROR(__xludf.DUMMYFUNCTION("""COMPUTED_VALUE"""),469.0)</f>
        <v>469</v>
      </c>
      <c r="D194" s="21">
        <f>IFERROR(__xludf.DUMMYFUNCTION("""COMPUTED_VALUE"""),-3.0833163290263794)</f>
        <v>-3.083316329</v>
      </c>
      <c r="E194" s="21">
        <f>IFERROR(__xludf.DUMMYFUNCTION("""COMPUTED_VALUE"""),-1.018724631686215)</f>
        <v>-1.018724632</v>
      </c>
      <c r="F194" s="21">
        <f>IFERROR(__xludf.DUMMYFUNCTION("""COMPUTED_VALUE"""),-4.1020409607125945)</f>
        <v>-4.102040961</v>
      </c>
      <c r="G194" s="23">
        <f>IFERROR(__xludf.DUMMYFUNCTION("""COMPUTED_VALUE"""),-0.2974676018830898)</f>
        <v>-0.2974676019</v>
      </c>
      <c r="H194" s="4"/>
      <c r="I194" s="5" t="s">
        <v>3021</v>
      </c>
      <c r="J194" s="5" t="s">
        <v>2841</v>
      </c>
      <c r="K194" s="5">
        <v>469.0</v>
      </c>
      <c r="L194" s="5">
        <v>-4.150498</v>
      </c>
      <c r="M194" s="5">
        <v>0.048594</v>
      </c>
      <c r="N194" s="5">
        <v>-4.101904</v>
      </c>
      <c r="O194" s="5">
        <v>-0.297448</v>
      </c>
    </row>
    <row r="195">
      <c r="A195" s="12" t="str">
        <f>IFERROR(__xludf.DUMMYFUNCTION("""COMPUTED_VALUE"""),"Maksim Dybovskii")</f>
        <v>Maksim Dybovskii</v>
      </c>
      <c r="B195" s="13" t="str">
        <f>IFERROR(__xludf.DUMMYFUNCTION("""COMPUTED_VALUE"""),"PARM")</f>
        <v>PARM</v>
      </c>
      <c r="C195" s="14">
        <f>IFERROR(__xludf.DUMMYFUNCTION("""COMPUTED_VALUE"""),192.9)</f>
        <v>192.9</v>
      </c>
      <c r="D195" s="15">
        <f>IFERROR(__xludf.DUMMYFUNCTION("""COMPUTED_VALUE"""),-2.483359409872581)</f>
        <v>-2.48335941</v>
      </c>
      <c r="E195" s="15">
        <f>IFERROR(__xludf.DUMMYFUNCTION("""COMPUTED_VALUE"""),-1.8056847205782627)</f>
        <v>-1.805684721</v>
      </c>
      <c r="F195" s="15">
        <f>IFERROR(__xludf.DUMMYFUNCTION("""COMPUTED_VALUE"""),-4.2890441304508435)</f>
        <v>-4.28904413</v>
      </c>
      <c r="G195" s="17">
        <f>IFERROR(__xludf.DUMMYFUNCTION("""COMPUTED_VALUE"""),-0.13323307400471743)</f>
        <v>-0.133233074</v>
      </c>
      <c r="H195" s="4"/>
      <c r="I195" s="5" t="s">
        <v>3024</v>
      </c>
      <c r="J195" s="5" t="s">
        <v>2851</v>
      </c>
      <c r="K195" s="5">
        <v>157.0</v>
      </c>
      <c r="L195" s="5">
        <v>-2.5611</v>
      </c>
      <c r="M195" s="5">
        <v>-1.553873</v>
      </c>
      <c r="N195" s="5">
        <v>-4.114973</v>
      </c>
      <c r="O195" s="5">
        <v>-0.100965</v>
      </c>
    </row>
    <row r="196">
      <c r="A196" s="18" t="str">
        <f>IFERROR(__xludf.DUMMYFUNCTION("""COMPUTED_VALUE"""),"Aleksandr Vinnik")</f>
        <v>Aleksandr Vinnik</v>
      </c>
      <c r="B196" s="19" t="str">
        <f>IFERROR(__xludf.DUMMYFUNCTION("""COMPUTED_VALUE"""),"PARM")</f>
        <v>PARM</v>
      </c>
      <c r="C196" s="20">
        <f>IFERROR(__xludf.DUMMYFUNCTION("""COMPUTED_VALUE"""),238.1)</f>
        <v>238.1</v>
      </c>
      <c r="D196" s="21">
        <f>IFERROR(__xludf.DUMMYFUNCTION("""COMPUTED_VALUE"""),-2.475172232011201)</f>
        <v>-2.475172232</v>
      </c>
      <c r="E196" s="21">
        <f>IFERROR(__xludf.DUMMYFUNCTION("""COMPUTED_VALUE"""),-1.840808494552837)</f>
        <v>-1.840808495</v>
      </c>
      <c r="F196" s="21">
        <f>IFERROR(__xludf.DUMMYFUNCTION("""COMPUTED_VALUE"""),-4.315980726564038)</f>
        <v>-4.315980727</v>
      </c>
      <c r="G196" s="23">
        <f>IFERROR(__xludf.DUMMYFUNCTION("""COMPUTED_VALUE"""),-0.16638722987022303)</f>
        <v>-0.1663872299</v>
      </c>
      <c r="H196" s="4"/>
      <c r="I196" s="5" t="s">
        <v>3025</v>
      </c>
      <c r="J196" s="5" t="s">
        <v>2841</v>
      </c>
      <c r="K196" s="5">
        <v>193.0</v>
      </c>
      <c r="L196" s="5">
        <v>-3.170395</v>
      </c>
      <c r="M196" s="5">
        <v>-1.11925</v>
      </c>
      <c r="N196" s="5">
        <v>-4.289645</v>
      </c>
      <c r="O196" s="5">
        <v>-0.133268</v>
      </c>
    </row>
    <row r="197">
      <c r="A197" s="12" t="str">
        <f>IFERROR(__xludf.DUMMYFUNCTION("""COMPUTED_VALUE"""),"Anton Ponomarev")</f>
        <v>Anton Ponomarev</v>
      </c>
      <c r="B197" s="13" t="str">
        <f>IFERROR(__xludf.DUMMYFUNCTION("""COMPUTED_VALUE"""),"AST")</f>
        <v>AST</v>
      </c>
      <c r="C197" s="14">
        <f>IFERROR(__xludf.DUMMYFUNCTION("""COMPUTED_VALUE"""),366.6)</f>
        <v>366.6</v>
      </c>
      <c r="D197" s="15">
        <f>IFERROR(__xludf.DUMMYFUNCTION("""COMPUTED_VALUE"""),-1.6613069304648946)</f>
        <v>-1.66130693</v>
      </c>
      <c r="E197" s="15">
        <f>IFERROR(__xludf.DUMMYFUNCTION("""COMPUTED_VALUE"""),-2.68635823391542)</f>
        <v>-2.686358234</v>
      </c>
      <c r="F197" s="15">
        <f>IFERROR(__xludf.DUMMYFUNCTION("""COMPUTED_VALUE"""),-4.347665164380315)</f>
        <v>-4.347665164</v>
      </c>
      <c r="G197" s="17">
        <f>IFERROR(__xludf.DUMMYFUNCTION("""COMPUTED_VALUE"""),-0.25709725257242616)</f>
        <v>-0.2570972526</v>
      </c>
      <c r="H197" s="4"/>
      <c r="I197" s="5" t="s">
        <v>3027</v>
      </c>
      <c r="J197" s="5" t="s">
        <v>2841</v>
      </c>
      <c r="K197" s="24">
        <v>238.0</v>
      </c>
      <c r="L197" s="5">
        <v>-3.323813</v>
      </c>
      <c r="M197" s="5">
        <v>-0.993419</v>
      </c>
      <c r="N197" s="5">
        <v>-4.317232</v>
      </c>
      <c r="O197" s="5">
        <v>-0.166477</v>
      </c>
    </row>
    <row r="198">
      <c r="A198" s="18" t="str">
        <f>IFERROR(__xludf.DUMMYFUNCTION("""COMPUTED_VALUE"""),"Nikolay Zhmako")</f>
        <v>Nikolay Zhmako</v>
      </c>
      <c r="B198" s="19" t="str">
        <f>IFERROR(__xludf.DUMMYFUNCTION("""COMPUTED_VALUE"""),"PARM")</f>
        <v>PARM</v>
      </c>
      <c r="C198" s="20">
        <f>IFERROR(__xludf.DUMMYFUNCTION("""COMPUTED_VALUE"""),439.4)</f>
        <v>439.4</v>
      </c>
      <c r="D198" s="21">
        <f>IFERROR(__xludf.DUMMYFUNCTION("""COMPUTED_VALUE"""),-3.1408772333569517)</f>
        <v>-3.140877233</v>
      </c>
      <c r="E198" s="21">
        <f>IFERROR(__xludf.DUMMYFUNCTION("""COMPUTED_VALUE"""),-1.2093258410017635)</f>
        <v>-1.209325841</v>
      </c>
      <c r="F198" s="21">
        <f>IFERROR(__xludf.DUMMYFUNCTION("""COMPUTED_VALUE"""),-4.350203074358715)</f>
        <v>-4.350203074</v>
      </c>
      <c r="G198" s="23">
        <f>IFERROR(__xludf.DUMMYFUNCTION("""COMPUTED_VALUE"""),-0.3115954430595583)</f>
        <v>-0.3115954431</v>
      </c>
      <c r="H198" s="4"/>
      <c r="I198" s="5" t="s">
        <v>3029</v>
      </c>
      <c r="J198" s="5" t="s">
        <v>2838</v>
      </c>
      <c r="K198" s="24">
        <v>367.0</v>
      </c>
      <c r="L198" s="5">
        <v>-3.322122</v>
      </c>
      <c r="M198" s="5">
        <v>-1.026431</v>
      </c>
      <c r="N198" s="5">
        <v>-4.348553</v>
      </c>
      <c r="O198" s="5">
        <v>-0.257194</v>
      </c>
    </row>
    <row r="199">
      <c r="A199" s="12" t="str">
        <f>IFERROR(__xludf.DUMMYFUNCTION("""COMPUTED_VALUE"""),"Martins Meiers")</f>
        <v>Martins Meiers</v>
      </c>
      <c r="B199" s="13" t="str">
        <f>IFERROR(__xludf.DUMMYFUNCTION("""COMPUTED_VALUE"""),"UNI")</f>
        <v>UNI</v>
      </c>
      <c r="C199" s="14">
        <f>IFERROR(__xludf.DUMMYFUNCTION("""COMPUTED_VALUE"""),181.60000000000002)</f>
        <v>181.6</v>
      </c>
      <c r="D199" s="15">
        <f>IFERROR(__xludf.DUMMYFUNCTION("""COMPUTED_VALUE"""),-1.870564653234424)</f>
        <v>-1.870564653</v>
      </c>
      <c r="E199" s="15">
        <f>IFERROR(__xludf.DUMMYFUNCTION("""COMPUTED_VALUE"""),-2.6392302935044416)</f>
        <v>-2.639230294</v>
      </c>
      <c r="F199" s="15">
        <f>IFERROR(__xludf.DUMMYFUNCTION("""COMPUTED_VALUE"""),-4.509794946738865)</f>
        <v>-4.509794947</v>
      </c>
      <c r="G199" s="17">
        <f>IFERROR(__xludf.DUMMYFUNCTION("""COMPUTED_VALUE"""),-0.13312100975294508)</f>
        <v>-0.1331210098</v>
      </c>
      <c r="H199" s="4"/>
      <c r="I199" s="5" t="s">
        <v>3031</v>
      </c>
      <c r="J199" s="5" t="s">
        <v>2841</v>
      </c>
      <c r="K199" s="5">
        <v>439.0</v>
      </c>
      <c r="L199" s="5">
        <v>-4.210861</v>
      </c>
      <c r="M199" s="5">
        <v>-0.141509</v>
      </c>
      <c r="N199" s="5">
        <v>-4.352369</v>
      </c>
      <c r="O199" s="5">
        <v>-0.311883</v>
      </c>
    </row>
    <row r="200">
      <c r="A200" s="18" t="str">
        <f>IFERROR(__xludf.DUMMYFUNCTION("""COMPUTED_VALUE"""),"Gleb Goldyrev")</f>
        <v>Gleb Goldyrev</v>
      </c>
      <c r="B200" s="19" t="str">
        <f>IFERROR(__xludf.DUMMYFUNCTION("""COMPUTED_VALUE"""),"ENI")</f>
        <v>ENI</v>
      </c>
      <c r="C200" s="20">
        <f>IFERROR(__xludf.DUMMYFUNCTION("""COMPUTED_VALUE"""),252.5)</f>
        <v>252.5</v>
      </c>
      <c r="D200" s="21">
        <f>IFERROR(__xludf.DUMMYFUNCTION("""COMPUTED_VALUE"""),-0.9011274274836825)</f>
        <v>-0.9011274275</v>
      </c>
      <c r="E200" s="21">
        <f>IFERROR(__xludf.DUMMYFUNCTION("""COMPUTED_VALUE"""),-3.8537919110298433)</f>
        <v>-3.853791911</v>
      </c>
      <c r="F200" s="21">
        <f>IFERROR(__xludf.DUMMYFUNCTION("""COMPUTED_VALUE"""),-4.754919338513526)</f>
        <v>-4.754919339</v>
      </c>
      <c r="G200" s="23">
        <f>IFERROR(__xludf.DUMMYFUNCTION("""COMPUTED_VALUE"""),-0.22896452815070775)</f>
        <v>-0.2289645282</v>
      </c>
      <c r="H200" s="4"/>
      <c r="I200" s="5" t="s">
        <v>2939</v>
      </c>
      <c r="J200" s="5" t="s">
        <v>22</v>
      </c>
      <c r="K200" s="5">
        <v>182.0</v>
      </c>
      <c r="L200" s="5">
        <v>-3.890414</v>
      </c>
      <c r="M200" s="5">
        <v>-0.579379</v>
      </c>
      <c r="N200" s="5">
        <v>-4.469793</v>
      </c>
      <c r="O200" s="5">
        <v>-0.130972</v>
      </c>
    </row>
    <row r="201">
      <c r="A201" s="12" t="str">
        <f>IFERROR(__xludf.DUMMYFUNCTION("""COMPUTED_VALUE"""),"Vitali Liutych")</f>
        <v>Vitali Liutych</v>
      </c>
      <c r="B201" s="13" t="str">
        <f>IFERROR(__xludf.DUMMYFUNCTION("""COMPUTED_VALUE"""),"ENI")</f>
        <v>ENI</v>
      </c>
      <c r="C201" s="14">
        <f>IFERROR(__xludf.DUMMYFUNCTION("""COMPUTED_VALUE"""),411.2)</f>
        <v>411.2</v>
      </c>
      <c r="D201" s="15">
        <f>IFERROR(__xludf.DUMMYFUNCTION("""COMPUTED_VALUE"""),0.031627664672617906)</f>
        <v>0.03162766467</v>
      </c>
      <c r="E201" s="15">
        <f>IFERROR(__xludf.DUMMYFUNCTION("""COMPUTED_VALUE"""),-4.806787064183629)</f>
        <v>-4.806787064</v>
      </c>
      <c r="F201" s="15">
        <f>IFERROR(__xludf.DUMMYFUNCTION("""COMPUTED_VALUE"""),-4.775159399511011)</f>
        <v>-4.7751594</v>
      </c>
      <c r="G201" s="17">
        <f>IFERROR(__xludf.DUMMYFUNCTION("""COMPUTED_VALUE"""),-0.3756115812774194)</f>
        <v>-0.3756115813</v>
      </c>
      <c r="H201" s="4"/>
      <c r="I201" s="5" t="s">
        <v>3034</v>
      </c>
      <c r="J201" s="5" t="s">
        <v>2851</v>
      </c>
      <c r="K201" s="5">
        <v>336.0</v>
      </c>
      <c r="L201" s="5">
        <v>-5.125682</v>
      </c>
      <c r="M201" s="5">
        <v>0.504835</v>
      </c>
      <c r="N201" s="5">
        <v>-4.620847</v>
      </c>
      <c r="O201" s="5">
        <v>-0.266762</v>
      </c>
    </row>
    <row r="202">
      <c r="A202" s="18" t="str">
        <f>IFERROR(__xludf.DUMMYFUNCTION("""COMPUTED_VALUE"""),"Sten Sokk")</f>
        <v>Sten Sokk</v>
      </c>
      <c r="B202" s="19" t="str">
        <f>IFERROR(__xludf.DUMMYFUNCTION("""COMPUTED_VALUE"""),"KCT")</f>
        <v>KCT</v>
      </c>
      <c r="C202" s="20">
        <f>IFERROR(__xludf.DUMMYFUNCTION("""COMPUTED_VALUE"""),373.3)</f>
        <v>373.3</v>
      </c>
      <c r="D202" s="21">
        <f>IFERROR(__xludf.DUMMYFUNCTION("""COMPUTED_VALUE"""),-0.7711435389290786)</f>
        <v>-0.7711435389</v>
      </c>
      <c r="E202" s="21">
        <f>IFERROR(__xludf.DUMMYFUNCTION("""COMPUTED_VALUE"""),-4.06045243665947)</f>
        <v>-4.060452437</v>
      </c>
      <c r="F202" s="21">
        <f>IFERROR(__xludf.DUMMYFUNCTION("""COMPUTED_VALUE"""),-4.831595975588549)</f>
        <v>-4.831595976</v>
      </c>
      <c r="G202" s="23">
        <f>IFERROR(__xludf.DUMMYFUNCTION("""COMPUTED_VALUE"""),-0.3187472001790811)</f>
        <v>-0.3187472002</v>
      </c>
      <c r="H202" s="4"/>
      <c r="I202" s="5" t="s">
        <v>3037</v>
      </c>
      <c r="J202" s="5" t="s">
        <v>2854</v>
      </c>
      <c r="K202" s="5">
        <v>253.0</v>
      </c>
      <c r="L202" s="5">
        <v>-2.416094</v>
      </c>
      <c r="M202" s="5">
        <v>-2.341034</v>
      </c>
      <c r="N202" s="5">
        <v>-4.757127</v>
      </c>
      <c r="O202" s="5">
        <v>-0.229148</v>
      </c>
    </row>
    <row r="203">
      <c r="A203" s="12" t="str">
        <f>IFERROR(__xludf.DUMMYFUNCTION("""COMPUTED_VALUE"""),"Hordur Vilhjalmsson")</f>
        <v>Hordur Vilhjalmsson</v>
      </c>
      <c r="B203" s="13" t="str">
        <f>IFERROR(__xludf.DUMMYFUNCTION("""COMPUTED_VALUE"""),"AST")</f>
        <v>AST</v>
      </c>
      <c r="C203" s="14">
        <f>IFERROR(__xludf.DUMMYFUNCTION("""COMPUTED_VALUE"""),149.1)</f>
        <v>149.1</v>
      </c>
      <c r="D203" s="15">
        <f>IFERROR(__xludf.DUMMYFUNCTION("""COMPUTED_VALUE"""),-2.527875102924342)</f>
        <v>-2.527875103</v>
      </c>
      <c r="E203" s="15">
        <f>IFERROR(__xludf.DUMMYFUNCTION("""COMPUTED_VALUE"""),-2.3288322933619803)</f>
        <v>-2.328832293</v>
      </c>
      <c r="F203" s="15">
        <f>IFERROR(__xludf.DUMMYFUNCTION("""COMPUTED_VALUE"""),-4.856707396286322)</f>
        <v>-4.856707396</v>
      </c>
      <c r="G203" s="17">
        <f>IFERROR(__xludf.DUMMYFUNCTION("""COMPUTED_VALUE"""),-0.12723664878067417)</f>
        <v>-0.1272366488</v>
      </c>
      <c r="H203" s="4"/>
      <c r="I203" s="5" t="s">
        <v>3039</v>
      </c>
      <c r="J203" s="5" t="s">
        <v>2854</v>
      </c>
      <c r="K203" s="5">
        <v>411.0</v>
      </c>
      <c r="L203" s="5">
        <v>-1.767279</v>
      </c>
      <c r="M203" s="5">
        <v>-3.009638</v>
      </c>
      <c r="N203" s="5">
        <v>-4.776917</v>
      </c>
      <c r="O203" s="5">
        <v>-0.375849</v>
      </c>
    </row>
    <row r="204">
      <c r="A204" s="18" t="str">
        <f>IFERROR(__xludf.DUMMYFUNCTION("""COMPUTED_VALUE"""),"Denis Zakharov")</f>
        <v>Denis Zakharov</v>
      </c>
      <c r="B204" s="19" t="str">
        <f>IFERROR(__xludf.DUMMYFUNCTION("""COMPUTED_VALUE"""),"ENI")</f>
        <v>ENI</v>
      </c>
      <c r="C204" s="20">
        <f>IFERROR(__xludf.DUMMYFUNCTION("""COMPUTED_VALUE"""),488.5)</f>
        <v>488.5</v>
      </c>
      <c r="D204" s="21">
        <f>IFERROR(__xludf.DUMMYFUNCTION("""COMPUTED_VALUE"""),-0.8155718114892796)</f>
        <v>-0.8155718115</v>
      </c>
      <c r="E204" s="21">
        <f>IFERROR(__xludf.DUMMYFUNCTION("""COMPUTED_VALUE"""),-4.169802878918269)</f>
        <v>-4.169802879</v>
      </c>
      <c r="F204" s="21">
        <f>IFERROR(__xludf.DUMMYFUNCTION("""COMPUTED_VALUE"""),-4.985374690407548)</f>
        <v>-4.98537469</v>
      </c>
      <c r="G204" s="23">
        <f>IFERROR(__xludf.DUMMYFUNCTION("""COMPUTED_VALUE"""),-0.4800222297699507)</f>
        <v>-0.4800222298</v>
      </c>
      <c r="H204" s="4"/>
      <c r="I204" s="5" t="s">
        <v>3040</v>
      </c>
      <c r="J204" s="5" t="s">
        <v>2875</v>
      </c>
      <c r="K204" s="5">
        <v>373.0</v>
      </c>
      <c r="L204" s="5">
        <v>-0.771898</v>
      </c>
      <c r="M204" s="5">
        <v>-4.060817</v>
      </c>
      <c r="N204" s="5">
        <v>-4.832715</v>
      </c>
      <c r="O204" s="5">
        <v>-0.318873</v>
      </c>
    </row>
    <row r="205">
      <c r="A205" s="12" t="str">
        <f>IFERROR(__xludf.DUMMYFUNCTION("""COMPUTED_VALUE"""),"Rustam Yargaliev")</f>
        <v>Rustam Yargaliev</v>
      </c>
      <c r="B205" s="13" t="str">
        <f>IFERROR(__xludf.DUMMYFUNCTION("""COMPUTED_VALUE"""),"AST")</f>
        <v>AST</v>
      </c>
      <c r="C205" s="14">
        <f>IFERROR(__xludf.DUMMYFUNCTION("""COMPUTED_VALUE"""),219.5)</f>
        <v>219.5</v>
      </c>
      <c r="D205" s="15">
        <f>IFERROR(__xludf.DUMMYFUNCTION("""COMPUTED_VALUE"""),-3.0127516517871786)</f>
        <v>-3.012751652</v>
      </c>
      <c r="E205" s="15">
        <f>IFERROR(__xludf.DUMMYFUNCTION("""COMPUTED_VALUE"""),-2.085398670981668)</f>
        <v>-2.085398671</v>
      </c>
      <c r="F205" s="15">
        <f>IFERROR(__xludf.DUMMYFUNCTION("""COMPUTED_VALUE"""),-5.098150322768847)</f>
        <v>-5.098150323</v>
      </c>
      <c r="G205" s="17">
        <f>IFERROR(__xludf.DUMMYFUNCTION("""COMPUTED_VALUE"""),-0.20314485606706983)</f>
        <v>-0.2031448561</v>
      </c>
      <c r="H205" s="4"/>
      <c r="I205" s="5" t="s">
        <v>864</v>
      </c>
      <c r="J205" s="5" t="s">
        <v>2838</v>
      </c>
      <c r="K205" s="5">
        <v>149.0</v>
      </c>
      <c r="L205" s="5">
        <v>-3.353326</v>
      </c>
      <c r="M205" s="5">
        <v>-1.503844</v>
      </c>
      <c r="N205" s="5">
        <v>-4.857169</v>
      </c>
      <c r="O205" s="5">
        <v>-0.127257</v>
      </c>
    </row>
    <row r="206">
      <c r="A206" s="18" t="str">
        <f>IFERROR(__xludf.DUMMYFUNCTION("""COMPUTED_VALUE"""),"Filip Adamovic")</f>
        <v>Filip Adamovic</v>
      </c>
      <c r="B206" s="19" t="str">
        <f>IFERROR(__xludf.DUMMYFUNCTION("""COMPUTED_VALUE"""),"MIN")</f>
        <v>MIN</v>
      </c>
      <c r="C206" s="20">
        <f>IFERROR(__xludf.DUMMYFUNCTION("""COMPUTED_VALUE"""),358.6)</f>
        <v>358.6</v>
      </c>
      <c r="D206" s="21">
        <f>IFERROR(__xludf.DUMMYFUNCTION("""COMPUTED_VALUE"""),0.48248727879144293)</f>
        <v>0.4824872788</v>
      </c>
      <c r="E206" s="21">
        <f>IFERROR(__xludf.DUMMYFUNCTION("""COMPUTED_VALUE"""),-5.624374126938392)</f>
        <v>-5.624374127</v>
      </c>
      <c r="F206" s="21">
        <f>IFERROR(__xludf.DUMMYFUNCTION("""COMPUTED_VALUE"""),-5.141886848146949)</f>
        <v>-5.141886848</v>
      </c>
      <c r="G206" s="23">
        <f>IFERROR(__xludf.DUMMYFUNCTION("""COMPUTED_VALUE"""),-0.33997297059637227)</f>
        <v>-0.3399729706</v>
      </c>
      <c r="H206" s="4"/>
      <c r="I206" s="5" t="s">
        <v>3043</v>
      </c>
      <c r="J206" s="5" t="s">
        <v>2854</v>
      </c>
      <c r="K206" s="24">
        <v>489.0</v>
      </c>
      <c r="L206" s="5">
        <v>-2.613268</v>
      </c>
      <c r="M206" s="5">
        <v>-2.372869</v>
      </c>
      <c r="N206" s="5">
        <v>-4.986137</v>
      </c>
      <c r="O206" s="5">
        <v>-0.480145</v>
      </c>
    </row>
    <row r="207">
      <c r="A207" s="12" t="str">
        <f>IFERROR(__xludf.DUMMYFUNCTION("""COMPUTED_VALUE"""),"Kaspars Vecvagars")</f>
        <v>Kaspars Vecvagars</v>
      </c>
      <c r="B207" s="13" t="str">
        <f>IFERROR(__xludf.DUMMYFUNCTION("""COMPUTED_VALUE"""),"RIG")</f>
        <v>RIG</v>
      </c>
      <c r="C207" s="14">
        <f>IFERROR(__xludf.DUMMYFUNCTION("""COMPUTED_VALUE"""),196.7)</f>
        <v>196.7</v>
      </c>
      <c r="D207" s="15">
        <f>IFERROR(__xludf.DUMMYFUNCTION("""COMPUTED_VALUE"""),-2.021995324160891)</f>
        <v>-2.021995324</v>
      </c>
      <c r="E207" s="15">
        <f>IFERROR(__xludf.DUMMYFUNCTION("""COMPUTED_VALUE"""),-3.234179952287833)</f>
        <v>-3.234179952</v>
      </c>
      <c r="F207" s="15">
        <f>IFERROR(__xludf.DUMMYFUNCTION("""COMPUTED_VALUE"""),-5.256175276448724)</f>
        <v>-5.256175276</v>
      </c>
      <c r="G207" s="17">
        <f>IFERROR(__xludf.DUMMYFUNCTION("""COMPUTED_VALUE"""),-0.19437137547141206)</f>
        <v>-0.1943713755</v>
      </c>
      <c r="H207" s="4"/>
      <c r="I207" s="5" t="s">
        <v>3045</v>
      </c>
      <c r="J207" s="5" t="s">
        <v>2838</v>
      </c>
      <c r="K207" s="24">
        <v>220.0</v>
      </c>
      <c r="L207" s="5">
        <v>-4.228444</v>
      </c>
      <c r="M207" s="5">
        <v>-0.870791</v>
      </c>
      <c r="N207" s="5">
        <v>-5.099235</v>
      </c>
      <c r="O207" s="5">
        <v>-0.203216</v>
      </c>
    </row>
    <row r="208">
      <c r="A208" s="18" t="str">
        <f>IFERROR(__xludf.DUMMYFUNCTION("""COMPUTED_VALUE"""),"Arnolds Helmanis")</f>
        <v>Arnolds Helmanis</v>
      </c>
      <c r="B208" s="19" t="str">
        <f>IFERROR(__xludf.DUMMYFUNCTION("""COMPUTED_VALUE"""),"RIG")</f>
        <v>RIG</v>
      </c>
      <c r="C208" s="20">
        <f>IFERROR(__xludf.DUMMYFUNCTION("""COMPUTED_VALUE"""),389.0)</f>
        <v>389</v>
      </c>
      <c r="D208" s="21">
        <f>IFERROR(__xludf.DUMMYFUNCTION("""COMPUTED_VALUE"""),-3.9517004034433354)</f>
        <v>-3.951700403</v>
      </c>
      <c r="E208" s="21">
        <f>IFERROR(__xludf.DUMMYFUNCTION("""COMPUTED_VALUE"""),-1.3081454466559324)</f>
        <v>-1.308145447</v>
      </c>
      <c r="F208" s="21">
        <f>IFERROR(__xludf.DUMMYFUNCTION("""COMPUTED_VALUE"""),-5.259845850099268)</f>
        <v>-5.25984585</v>
      </c>
      <c r="G208" s="23">
        <f>IFERROR(__xludf.DUMMYFUNCTION("""COMPUTED_VALUE"""),-0.38482815514884355)</f>
        <v>-0.3848281551</v>
      </c>
      <c r="H208" s="4"/>
      <c r="I208" s="5" t="s">
        <v>3048</v>
      </c>
      <c r="J208" s="5" t="s">
        <v>2811</v>
      </c>
      <c r="K208" s="5">
        <v>359.0</v>
      </c>
      <c r="L208" s="5">
        <v>-1.578069</v>
      </c>
      <c r="M208" s="5">
        <v>-3.563208</v>
      </c>
      <c r="N208" s="5">
        <v>-5.141277</v>
      </c>
      <c r="O208" s="5">
        <v>-0.339907</v>
      </c>
    </row>
    <row r="209">
      <c r="A209" s="12" t="str">
        <f>IFERROR(__xludf.DUMMYFUNCTION("""COMPUTED_VALUE"""),"Mikita Meshcharakou")</f>
        <v>Mikita Meshcharakou</v>
      </c>
      <c r="B209" s="13" t="str">
        <f>IFERROR(__xludf.DUMMYFUNCTION("""COMPUTED_VALUE"""),"MIN")</f>
        <v>MIN</v>
      </c>
      <c r="C209" s="14">
        <f>IFERROR(__xludf.DUMMYFUNCTION("""COMPUTED_VALUE"""),463.9)</f>
        <v>463.9</v>
      </c>
      <c r="D209" s="15">
        <f>IFERROR(__xludf.DUMMYFUNCTION("""COMPUTED_VALUE"""),-3.000055118387867)</f>
        <v>-3.000055118</v>
      </c>
      <c r="E209" s="15">
        <f>IFERROR(__xludf.DUMMYFUNCTION("""COMPUTED_VALUE"""),-2.3592800558697693)</f>
        <v>-2.359280056</v>
      </c>
      <c r="F209" s="15">
        <f>IFERROR(__xludf.DUMMYFUNCTION("""COMPUTED_VALUE"""),-5.3593351742576365)</f>
        <v>-5.359335174</v>
      </c>
      <c r="G209" s="17">
        <f>IFERROR(__xludf.DUMMYFUNCTION("""COMPUTED_VALUE"""),-0.4702418467358827)</f>
        <v>-0.4702418467</v>
      </c>
      <c r="H209" s="4"/>
      <c r="I209" s="5" t="s">
        <v>3049</v>
      </c>
      <c r="J209" s="5" t="s">
        <v>2811</v>
      </c>
      <c r="K209" s="5">
        <v>464.0</v>
      </c>
      <c r="L209" s="5">
        <v>-5.062618</v>
      </c>
      <c r="M209" s="5">
        <v>-0.297757</v>
      </c>
      <c r="N209" s="5">
        <v>-5.360375</v>
      </c>
      <c r="O209" s="5">
        <v>-0.470387</v>
      </c>
    </row>
    <row r="210">
      <c r="A210" s="18" t="str">
        <f>IFERROR(__xludf.DUMMYFUNCTION("""COMPUTED_VALUE"""),"Aliaksandr Kudrautsau")</f>
        <v>Aliaksandr Kudrautsau</v>
      </c>
      <c r="B210" s="19" t="str">
        <f>IFERROR(__xludf.DUMMYFUNCTION("""COMPUTED_VALUE"""),"MIN")</f>
        <v>MIN</v>
      </c>
      <c r="C210" s="20">
        <f>IFERROR(__xludf.DUMMYFUNCTION("""COMPUTED_VALUE"""),561.9)</f>
        <v>561.9</v>
      </c>
      <c r="D210" s="21">
        <f>IFERROR(__xludf.DUMMYFUNCTION("""COMPUTED_VALUE"""),-1.5606575417160877)</f>
        <v>-1.560657542</v>
      </c>
      <c r="E210" s="21">
        <f>IFERROR(__xludf.DUMMYFUNCTION("""COMPUTED_VALUE"""),-4.57437141504398)</f>
        <v>-4.574371415</v>
      </c>
      <c r="F210" s="21">
        <f>IFERROR(__xludf.DUMMYFUNCTION("""COMPUTED_VALUE"""),-6.135028956760068)</f>
        <v>-6.135028957</v>
      </c>
      <c r="G210" s="23">
        <f>IFERROR(__xludf.DUMMYFUNCTION("""COMPUTED_VALUE"""),-0.7011019124158447)</f>
        <v>-0.7011019124</v>
      </c>
      <c r="H210" s="4"/>
      <c r="I210" s="5" t="s">
        <v>3050</v>
      </c>
      <c r="J210" s="5" t="s">
        <v>2811</v>
      </c>
      <c r="K210" s="5">
        <v>562.0</v>
      </c>
      <c r="L210" s="5">
        <v>-3.622298</v>
      </c>
      <c r="M210" s="5">
        <v>-2.513013</v>
      </c>
      <c r="N210" s="5">
        <v>-6.13531</v>
      </c>
      <c r="O210" s="5">
        <v>-0.70115</v>
      </c>
    </row>
    <row r="211">
      <c r="A211" s="12" t="str">
        <f>IFERROR(__xludf.DUMMYFUNCTION("""COMPUTED_VALUE"""),"Aliaksandr Semianiuk")</f>
        <v>Aliaksandr Semianiuk</v>
      </c>
      <c r="B211" s="13" t="str">
        <f>IFERROR(__xludf.DUMMYFUNCTION("""COMPUTED_VALUE"""),"MIN")</f>
        <v>MIN</v>
      </c>
      <c r="C211" s="14">
        <f>IFERROR(__xludf.DUMMYFUNCTION("""COMPUTED_VALUE"""),290.1)</f>
        <v>290.1</v>
      </c>
      <c r="D211" s="15">
        <f>IFERROR(__xludf.DUMMYFUNCTION("""COMPUTED_VALUE"""),-4.466986857018307)</f>
        <v>-4.466986857</v>
      </c>
      <c r="E211" s="15">
        <f>IFERROR(__xludf.DUMMYFUNCTION("""COMPUTED_VALUE"""),-2.587965916012637)</f>
        <v>-2.587965916</v>
      </c>
      <c r="F211" s="15">
        <f>IFERROR(__xludf.DUMMYFUNCTION("""COMPUTED_VALUE"""),-7.054952773030944)</f>
        <v>-7.054952773</v>
      </c>
      <c r="G211" s="17">
        <f>IFERROR(__xludf.DUMMYFUNCTION("""COMPUTED_VALUE"""),-0.4424950285471999)</f>
        <v>-0.4424950285</v>
      </c>
      <c r="H211" s="4"/>
      <c r="I211" s="5" t="s">
        <v>3052</v>
      </c>
      <c r="J211" s="5" t="s">
        <v>2811</v>
      </c>
      <c r="K211" s="5">
        <v>290.0</v>
      </c>
      <c r="L211" s="5">
        <v>-6.462268</v>
      </c>
      <c r="M211" s="5">
        <v>-0.594334</v>
      </c>
      <c r="N211" s="5">
        <v>-7.056602</v>
      </c>
      <c r="O211" s="5">
        <v>-0.442639</v>
      </c>
    </row>
    <row r="212">
      <c r="A212" s="18" t="str">
        <f>IFERROR(__xludf.DUMMYFUNCTION("""COMPUTED_VALUE"""),"Artem Komissarov")</f>
        <v>Artem Komissarov</v>
      </c>
      <c r="B212" s="19" t="str">
        <f>IFERROR(__xludf.DUMMYFUNCTION("""COMPUTED_VALUE"""),"ENI")</f>
        <v>ENI</v>
      </c>
      <c r="C212" s="20">
        <f>IFERROR(__xludf.DUMMYFUNCTION("""COMPUTED_VALUE"""),275.7)</f>
        <v>275.7</v>
      </c>
      <c r="D212" s="21">
        <f>IFERROR(__xludf.DUMMYFUNCTION("""COMPUTED_VALUE"""),-2.362468149842087)</f>
        <v>-2.36246815</v>
      </c>
      <c r="E212" s="21">
        <f>IFERROR(__xludf.DUMMYFUNCTION("""COMPUTED_VALUE"""),-4.7064124565992005)</f>
        <v>-4.706412457</v>
      </c>
      <c r="F212" s="21">
        <f>IFERROR(__xludf.DUMMYFUNCTION("""COMPUTED_VALUE"""),-7.0688806064412875)</f>
        <v>-7.068880606</v>
      </c>
      <c r="G212" s="23">
        <f>IFERROR(__xludf.DUMMYFUNCTION("""COMPUTED_VALUE"""),-0.45998827661889435)</f>
        <v>-0.4599882766</v>
      </c>
      <c r="H212" s="4"/>
      <c r="I212" s="5" t="s">
        <v>3054</v>
      </c>
      <c r="J212" s="5" t="s">
        <v>2854</v>
      </c>
      <c r="K212" s="5">
        <v>276.0</v>
      </c>
      <c r="L212" s="5">
        <v>-4.017718</v>
      </c>
      <c r="M212" s="5">
        <v>-3.054467</v>
      </c>
      <c r="N212" s="5">
        <v>-7.072185</v>
      </c>
      <c r="O212" s="5">
        <v>-0.460288</v>
      </c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/>
      <c r="J213" s="5"/>
      <c r="K213" s="5"/>
      <c r="L213" s="5"/>
      <c r="M213" s="5"/>
      <c r="N213" s="5"/>
      <c r="O213" s="5"/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/>
      <c r="J214" s="5"/>
      <c r="K214" s="5"/>
      <c r="L214" s="5"/>
      <c r="M214" s="5"/>
      <c r="N214" s="5"/>
      <c r="O214" s="5"/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/>
      <c r="J215" s="5"/>
      <c r="K215" s="5"/>
      <c r="L215" s="5"/>
      <c r="M215" s="5"/>
      <c r="N215" s="5"/>
      <c r="O215" s="5"/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/>
      <c r="J216" s="5"/>
      <c r="K216" s="5"/>
      <c r="L216" s="5"/>
      <c r="M216" s="5"/>
      <c r="N216" s="5"/>
      <c r="O216" s="5"/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/>
      <c r="J217" s="5"/>
      <c r="K217" s="5"/>
      <c r="L217" s="5"/>
      <c r="M217" s="5"/>
      <c r="N217" s="5"/>
      <c r="O217" s="5"/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/>
      <c r="J218" s="5"/>
      <c r="K218" s="5"/>
      <c r="L218" s="5"/>
      <c r="M218" s="5"/>
      <c r="N218" s="5"/>
      <c r="O218" s="5"/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/>
      <c r="J219" s="5"/>
      <c r="K219" s="5"/>
      <c r="L219" s="5"/>
      <c r="M219" s="5"/>
      <c r="N219" s="5"/>
      <c r="O219" s="5"/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/>
      <c r="J220" s="5"/>
      <c r="K220" s="5"/>
      <c r="L220" s="5"/>
      <c r="M220" s="5"/>
      <c r="N220" s="5"/>
      <c r="O220" s="5"/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/>
      <c r="J221" s="5"/>
      <c r="K221" s="5"/>
      <c r="L221" s="5"/>
      <c r="M221" s="5"/>
      <c r="N221" s="5"/>
      <c r="O221" s="5"/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/>
      <c r="J222" s="5"/>
      <c r="K222" s="5"/>
      <c r="L222" s="5"/>
      <c r="M222" s="5"/>
      <c r="N222" s="5"/>
      <c r="O222" s="5"/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/>
      <c r="J223" s="5"/>
      <c r="K223" s="5"/>
      <c r="L223" s="5"/>
      <c r="M223" s="5"/>
      <c r="N223" s="5"/>
      <c r="O223" s="5"/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/>
      <c r="J224" s="5"/>
      <c r="K224" s="5"/>
      <c r="L224" s="5"/>
      <c r="M224" s="5"/>
      <c r="N224" s="5"/>
      <c r="O224" s="5"/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/>
      <c r="J225" s="5"/>
      <c r="K225" s="5"/>
      <c r="L225" s="5"/>
      <c r="M225" s="5"/>
      <c r="N225" s="5"/>
      <c r="O225" s="5"/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/>
      <c r="J226" s="5"/>
      <c r="K226" s="5"/>
      <c r="L226" s="5"/>
      <c r="M226" s="5"/>
      <c r="N226" s="5"/>
      <c r="O226" s="5"/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/>
      <c r="J227" s="5"/>
      <c r="K227" s="24"/>
      <c r="L227" s="5"/>
      <c r="M227" s="5"/>
      <c r="N227" s="5"/>
      <c r="O227" s="5"/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/>
      <c r="J228" s="5"/>
      <c r="K228" s="5"/>
      <c r="L228" s="5"/>
      <c r="M228" s="5"/>
      <c r="N228" s="5"/>
      <c r="O228" s="5"/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/>
      <c r="J229" s="5"/>
      <c r="K229" s="24"/>
      <c r="L229" s="5"/>
      <c r="M229" s="5"/>
      <c r="N229" s="5"/>
      <c r="O229" s="5"/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/>
      <c r="J230" s="5"/>
      <c r="K230" s="24"/>
      <c r="L230" s="5"/>
      <c r="M230" s="5"/>
      <c r="N230" s="5"/>
      <c r="O230" s="5"/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/>
      <c r="J231" s="5"/>
      <c r="K231" s="5"/>
      <c r="L231" s="5"/>
      <c r="M231" s="5"/>
      <c r="N231" s="5"/>
      <c r="O231" s="5"/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/>
      <c r="J232" s="5"/>
      <c r="K232" s="5"/>
      <c r="L232" s="5"/>
      <c r="M232" s="5"/>
      <c r="N232" s="5"/>
      <c r="O232" s="5"/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/>
      <c r="J233" s="5"/>
      <c r="K233" s="24"/>
      <c r="L233" s="5"/>
      <c r="M233" s="5"/>
      <c r="N233" s="5"/>
      <c r="O233" s="5"/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24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24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5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24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24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24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  <c r="I293" s="5"/>
      <c r="J293" s="5"/>
      <c r="K293" s="5"/>
      <c r="L293" s="5"/>
      <c r="M293" s="5"/>
      <c r="N293" s="5"/>
      <c r="O293" s="5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  <c r="I294" s="5"/>
      <c r="J294" s="5"/>
      <c r="K294" s="5"/>
      <c r="L294" s="5"/>
      <c r="M294" s="5"/>
      <c r="N294" s="5"/>
      <c r="O294" s="5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  <c r="I295" s="5"/>
      <c r="J295" s="5"/>
      <c r="K295" s="5"/>
      <c r="L295" s="5"/>
      <c r="M295" s="5"/>
      <c r="N295" s="5"/>
      <c r="O295" s="5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  <c r="I296" s="5"/>
      <c r="J296" s="5"/>
      <c r="K296" s="5"/>
      <c r="L296" s="5"/>
      <c r="M296" s="5"/>
      <c r="N296" s="5"/>
      <c r="O296" s="5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  <c r="I297" s="5"/>
      <c r="J297" s="5"/>
      <c r="K297" s="5"/>
      <c r="L297" s="5"/>
      <c r="M297" s="5"/>
      <c r="N297" s="5"/>
      <c r="O297" s="5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  <c r="I298" s="5"/>
      <c r="J298" s="5"/>
      <c r="K298" s="5"/>
      <c r="L298" s="5"/>
      <c r="M298" s="5"/>
      <c r="N298" s="5"/>
      <c r="O298" s="5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  <c r="I299" s="5"/>
      <c r="J299" s="5"/>
      <c r="K299" s="5"/>
      <c r="L299" s="5"/>
      <c r="M299" s="5"/>
      <c r="N299" s="5"/>
      <c r="O299" s="5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  <c r="I300" s="5"/>
      <c r="J300" s="5"/>
      <c r="K300" s="5"/>
      <c r="L300" s="5"/>
      <c r="M300" s="5"/>
      <c r="N300" s="5"/>
      <c r="O300" s="5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  <c r="I301" s="5"/>
      <c r="J301" s="5"/>
      <c r="K301" s="5"/>
      <c r="L301" s="5"/>
      <c r="M301" s="5"/>
      <c r="N301" s="5"/>
      <c r="O301" s="5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  <c r="I302" s="5"/>
      <c r="J302" s="5"/>
      <c r="K302" s="5"/>
      <c r="L302" s="5"/>
      <c r="M302" s="5"/>
      <c r="N302" s="5"/>
      <c r="O302" s="5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  <c r="I303" s="5"/>
      <c r="J303" s="5"/>
      <c r="K303" s="5"/>
      <c r="L303" s="5"/>
      <c r="M303" s="5"/>
      <c r="N303" s="5"/>
      <c r="O303" s="5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  <c r="I304" s="5"/>
      <c r="J304" s="5"/>
      <c r="K304" s="5"/>
      <c r="L304" s="5"/>
      <c r="M304" s="5"/>
      <c r="N304" s="5"/>
      <c r="O304" s="5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  <c r="I305" s="5"/>
      <c r="J305" s="5"/>
      <c r="K305" s="5"/>
      <c r="L305" s="5"/>
      <c r="M305" s="5"/>
      <c r="N305" s="5"/>
      <c r="O305" s="5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  <c r="I306" s="5"/>
      <c r="J306" s="5"/>
      <c r="K306" s="5"/>
      <c r="L306" s="5"/>
      <c r="M306" s="5"/>
      <c r="N306" s="5"/>
      <c r="O306" s="5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76A5AF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2845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IFERROR(__xludf.DUMMYFUNCTION("IMPORTRANGE(""https://docs.google.com/spreadsheets/d/1cgBHta6rRL8hLWFOfz9HYslS5y4EyYfjisbW8FX3Hlw/edit#gid=1120027332"",""Leaders!A3:G502"")"),"Ryan Broekhoff")</f>
        <v>Ryan Broekhoff</v>
      </c>
      <c r="B3" s="13" t="str">
        <f>IFERROR(__xludf.DUMMYFUNCTION("""COMPUTED_VALUE"""),"LOK")</f>
        <v>LOK</v>
      </c>
      <c r="C3" s="14">
        <f>IFERROR(__xludf.DUMMYFUNCTION("""COMPUTED_VALUE"""),425.5)</f>
        <v>425.5</v>
      </c>
      <c r="D3" s="15">
        <f>IFERROR(__xludf.DUMMYFUNCTION("""COMPUTED_VALUE"""),8.269006602454033)</f>
        <v>8.269006602</v>
      </c>
      <c r="E3" s="15">
        <f>IFERROR(__xludf.DUMMYFUNCTION("""COMPUTED_VALUE"""),3.4263452095833298)</f>
        <v>3.42634521</v>
      </c>
      <c r="F3" s="15">
        <f>IFERROR(__xludf.DUMMYFUNCTION("""COMPUTED_VALUE"""),11.695351812037362)</f>
        <v>11.69535181</v>
      </c>
      <c r="G3" s="17">
        <f>IFERROR(__xludf.DUMMYFUNCTION("""COMPUTED_VALUE"""),1.756636166472578)</f>
        <v>1.756636166</v>
      </c>
      <c r="H3" s="4"/>
      <c r="I3" s="5" t="s">
        <v>2784</v>
      </c>
      <c r="J3" s="5" t="s">
        <v>2785</v>
      </c>
      <c r="K3" s="24">
        <v>426.0</v>
      </c>
      <c r="L3" s="5">
        <v>8.269007</v>
      </c>
      <c r="M3" s="5">
        <v>3.426345</v>
      </c>
      <c r="N3" s="5">
        <v>11.695352</v>
      </c>
      <c r="O3" s="5">
        <v>1.756636</v>
      </c>
    </row>
    <row r="4">
      <c r="A4" s="18" t="str">
        <f>IFERROR(__xludf.DUMMYFUNCTION("""COMPUTED_VALUE"""),"Scottie Wilbekin")</f>
        <v>Scottie Wilbekin</v>
      </c>
      <c r="B4" s="19" t="str">
        <f>IFERROR(__xludf.DUMMYFUNCTION("""COMPUTED_VALUE"""),"DBI")</f>
        <v>DBI</v>
      </c>
      <c r="C4" s="20">
        <f>IFERROR(__xludf.DUMMYFUNCTION("""COMPUTED_VALUE"""),573.8)</f>
        <v>573.8</v>
      </c>
      <c r="D4" s="21">
        <f>IFERROR(__xludf.DUMMYFUNCTION("""COMPUTED_VALUE"""),8.704334281417545)</f>
        <v>8.704334281</v>
      </c>
      <c r="E4" s="21">
        <f>IFERROR(__xludf.DUMMYFUNCTION("""COMPUTED_VALUE"""),0.6969721579422856)</f>
        <v>0.6969721579</v>
      </c>
      <c r="F4" s="21">
        <f>IFERROR(__xludf.DUMMYFUNCTION("""COMPUTED_VALUE"""),9.40130643935983)</f>
        <v>9.401306439</v>
      </c>
      <c r="G4" s="23">
        <f>IFERROR(__xludf.DUMMYFUNCTION("""COMPUTED_VALUE"""),1.9720786209778622)</f>
        <v>1.972078621</v>
      </c>
      <c r="H4" s="4"/>
      <c r="I4" s="5" t="s">
        <v>1895</v>
      </c>
      <c r="J4" s="5" t="s">
        <v>1884</v>
      </c>
      <c r="K4" s="24">
        <v>574.0</v>
      </c>
      <c r="L4" s="5">
        <v>8.704334</v>
      </c>
      <c r="M4" s="5">
        <v>0.696972</v>
      </c>
      <c r="N4" s="5">
        <v>9.401306</v>
      </c>
      <c r="O4" s="5">
        <v>1.972079</v>
      </c>
    </row>
    <row r="5">
      <c r="A5" s="12" t="str">
        <f>IFERROR(__xludf.DUMMYFUNCTION("""COMPUTED_VALUE"""),"Trevor Lacey")</f>
        <v>Trevor Lacey</v>
      </c>
      <c r="B5" s="13" t="str">
        <f>IFERROR(__xludf.DUMMYFUNCTION("""COMPUTED_VALUE"""),"LOK")</f>
        <v>LOK</v>
      </c>
      <c r="C5" s="14">
        <f>IFERROR(__xludf.DUMMYFUNCTION("""COMPUTED_VALUE"""),455.8)</f>
        <v>455.8</v>
      </c>
      <c r="D5" s="15">
        <f>IFERROR(__xludf.DUMMYFUNCTION("""COMPUTED_VALUE"""),3.547715181913074)</f>
        <v>3.547715182</v>
      </c>
      <c r="E5" s="15">
        <f>IFERROR(__xludf.DUMMYFUNCTION("""COMPUTED_VALUE"""),4.2939218741917395)</f>
        <v>4.293921874</v>
      </c>
      <c r="F5" s="15">
        <f>IFERROR(__xludf.DUMMYFUNCTION("""COMPUTED_VALUE"""),7.841637056104814)</f>
        <v>7.841637056</v>
      </c>
      <c r="G5" s="17">
        <f>IFERROR(__xludf.DUMMYFUNCTION("""COMPUTED_VALUE"""),1.3522305026825467)</f>
        <v>1.352230503</v>
      </c>
      <c r="H5" s="4"/>
      <c r="I5" s="5" t="s">
        <v>2847</v>
      </c>
      <c r="J5" s="5" t="s">
        <v>2785</v>
      </c>
      <c r="K5" s="24">
        <v>456.0</v>
      </c>
      <c r="L5" s="5">
        <v>3.547715</v>
      </c>
      <c r="M5" s="5">
        <v>4.293922</v>
      </c>
      <c r="N5" s="5">
        <v>7.841637</v>
      </c>
      <c r="O5" s="5">
        <v>1.352231</v>
      </c>
    </row>
    <row r="6">
      <c r="A6" s="18" t="str">
        <f>IFERROR(__xludf.DUMMYFUNCTION("""COMPUTED_VALUE"""),"Howard Sant-Roos")</f>
        <v>Howard Sant-Roos</v>
      </c>
      <c r="B6" s="19" t="str">
        <f>IFERROR(__xludf.DUMMYFUNCTION("""COMPUTED_VALUE"""),"DBI")</f>
        <v>DBI</v>
      </c>
      <c r="C6" s="20">
        <f>IFERROR(__xludf.DUMMYFUNCTION("""COMPUTED_VALUE"""),612.1)</f>
        <v>612.1</v>
      </c>
      <c r="D6" s="21">
        <f>IFERROR(__xludf.DUMMYFUNCTION("""COMPUTED_VALUE"""),1.791713838156537)</f>
        <v>1.791713838</v>
      </c>
      <c r="E6" s="21">
        <f>IFERROR(__xludf.DUMMYFUNCTION("""COMPUTED_VALUE"""),5.16907739806332)</f>
        <v>5.169077398</v>
      </c>
      <c r="F6" s="21">
        <f>IFERROR(__xludf.DUMMYFUNCTION("""COMPUTED_VALUE"""),6.9607912362198565)</f>
        <v>6.960791236</v>
      </c>
      <c r="G6" s="23">
        <f>IFERROR(__xludf.DUMMYFUNCTION("""COMPUTED_VALUE"""),1.6533994980817623)</f>
        <v>1.653399498</v>
      </c>
      <c r="H6" s="4"/>
      <c r="I6" s="5" t="s">
        <v>1918</v>
      </c>
      <c r="J6" s="5" t="s">
        <v>1884</v>
      </c>
      <c r="K6" s="24">
        <v>612.0</v>
      </c>
      <c r="L6" s="5">
        <v>1.791714</v>
      </c>
      <c r="M6" s="5">
        <v>5.169077</v>
      </c>
      <c r="N6" s="5">
        <v>6.960791</v>
      </c>
      <c r="O6" s="5">
        <v>1.653399</v>
      </c>
    </row>
    <row r="7">
      <c r="A7" s="12" t="str">
        <f>IFERROR(__xludf.DUMMYFUNCTION("""COMPUTED_VALUE"""),"John Roberson")</f>
        <v>John Roberson</v>
      </c>
      <c r="B7" s="13" t="str">
        <f>IFERROR(__xludf.DUMMYFUNCTION("""COMPUTED_VALUE"""),"LYV")</f>
        <v>LYV</v>
      </c>
      <c r="C7" s="14">
        <f>IFERROR(__xludf.DUMMYFUNCTION("""COMPUTED_VALUE"""),432.9)</f>
        <v>432.9</v>
      </c>
      <c r="D7" s="15">
        <f>IFERROR(__xludf.DUMMYFUNCTION("""COMPUTED_VALUE"""),8.846290609460526)</f>
        <v>8.846290609</v>
      </c>
      <c r="E7" s="15">
        <f>IFERROR(__xludf.DUMMYFUNCTION("""COMPUTED_VALUE"""),-1.9403540896101852)</f>
        <v>-1.94035409</v>
      </c>
      <c r="F7" s="15">
        <f>IFERROR(__xludf.DUMMYFUNCTION("""COMPUTED_VALUE"""),6.905936519850341)</f>
        <v>6.90593652</v>
      </c>
      <c r="G7" s="17">
        <f>IFERROR(__xludf.DUMMYFUNCTION("""COMPUTED_VALUE"""),1.2018616637498167)</f>
        <v>1.201861664</v>
      </c>
      <c r="H7" s="4"/>
      <c r="I7" s="5" t="s">
        <v>1397</v>
      </c>
      <c r="J7" s="5" t="s">
        <v>1342</v>
      </c>
      <c r="K7" s="24">
        <v>433.0</v>
      </c>
      <c r="L7" s="5">
        <v>8.846291</v>
      </c>
      <c r="M7" s="5">
        <v>-1.940354</v>
      </c>
      <c r="N7" s="5">
        <v>6.905937</v>
      </c>
      <c r="O7" s="5">
        <v>1.201862</v>
      </c>
    </row>
    <row r="8">
      <c r="A8" s="18" t="str">
        <f>IFERROR(__xludf.DUMMYFUNCTION("""COMPUTED_VALUE"""),"Ondrej Balvin")</f>
        <v>Ondrej Balvin</v>
      </c>
      <c r="B8" s="19" t="str">
        <f>IFERROR(__xludf.DUMMYFUNCTION("""COMPUTED_VALUE"""),"GCN")</f>
        <v>GCN</v>
      </c>
      <c r="C8" s="20">
        <f>IFERROR(__xludf.DUMMYFUNCTION("""COMPUTED_VALUE"""),415.4)</f>
        <v>415.4</v>
      </c>
      <c r="D8" s="21">
        <f>IFERROR(__xludf.DUMMYFUNCTION("""COMPUTED_VALUE"""),4.823815615884849)</f>
        <v>4.823815616</v>
      </c>
      <c r="E8" s="21">
        <f>IFERROR(__xludf.DUMMYFUNCTION("""COMPUTED_VALUE"""),1.629702710207634)</f>
        <v>1.62970271</v>
      </c>
      <c r="F8" s="21">
        <f>IFERROR(__xludf.DUMMYFUNCTION("""COMPUTED_VALUE"""),6.453518326092483)</f>
        <v>6.453518326</v>
      </c>
      <c r="G8" s="23">
        <f>IFERROR(__xludf.DUMMYFUNCTION("""COMPUTED_VALUE"""),1.0487009704442618)</f>
        <v>1.04870097</v>
      </c>
      <c r="H8" s="4"/>
      <c r="I8" s="5" t="s">
        <v>128</v>
      </c>
      <c r="J8" s="5" t="s">
        <v>97</v>
      </c>
      <c r="K8" s="24">
        <v>415.0</v>
      </c>
      <c r="L8" s="5">
        <v>4.823816</v>
      </c>
      <c r="M8" s="5">
        <v>1.629703</v>
      </c>
      <c r="N8" s="5">
        <v>6.453518</v>
      </c>
      <c r="O8" s="5">
        <v>1.048701</v>
      </c>
    </row>
    <row r="9">
      <c r="A9" s="12" t="str">
        <f>IFERROR(__xludf.DUMMYFUNCTION("""COMPUTED_VALUE"""),"Nikola Ivanovic")</f>
        <v>Nikola Ivanovic</v>
      </c>
      <c r="B9" s="13" t="str">
        <f>IFERROR(__xludf.DUMMYFUNCTION("""COMPUTED_VALUE"""),"BUD")</f>
        <v>BUD</v>
      </c>
      <c r="C9" s="14">
        <f>IFERROR(__xludf.DUMMYFUNCTION("""COMPUTED_VALUE"""),447.5)</f>
        <v>447.5</v>
      </c>
      <c r="D9" s="15">
        <f>IFERROR(__xludf.DUMMYFUNCTION("""COMPUTED_VALUE"""),6.069220936785159)</f>
        <v>6.069220937</v>
      </c>
      <c r="E9" s="15">
        <f>IFERROR(__xludf.DUMMYFUNCTION("""COMPUTED_VALUE"""),0.3675599375454599)</f>
        <v>0.3675599375</v>
      </c>
      <c r="F9" s="15">
        <f>IFERROR(__xludf.DUMMYFUNCTION("""COMPUTED_VALUE"""),6.436780874330619)</f>
        <v>6.436780874</v>
      </c>
      <c r="G9" s="17">
        <f>IFERROR(__xludf.DUMMYFUNCTION("""COMPUTED_VALUE"""),1.135349045900496)</f>
        <v>1.135349046</v>
      </c>
      <c r="H9" s="4"/>
      <c r="I9" s="5" t="s">
        <v>913</v>
      </c>
      <c r="J9" s="5" t="s">
        <v>914</v>
      </c>
      <c r="K9" s="24">
        <v>448.0</v>
      </c>
      <c r="L9" s="5">
        <v>6.069221</v>
      </c>
      <c r="M9" s="5">
        <v>0.36756</v>
      </c>
      <c r="N9" s="5">
        <v>6.436781</v>
      </c>
      <c r="O9" s="5">
        <v>1.135349</v>
      </c>
    </row>
    <row r="10">
      <c r="A10" s="18" t="str">
        <f>IFERROR(__xludf.DUMMYFUNCTION("""COMPUTED_VALUE"""),"Devin Booker")</f>
        <v>Devin Booker</v>
      </c>
      <c r="B10" s="19" t="str">
        <f>IFERROR(__xludf.DUMMYFUNCTION("""COMPUTED_VALUE"""),"BAY")</f>
        <v>BAY</v>
      </c>
      <c r="C10" s="20">
        <f>IFERROR(__xludf.DUMMYFUNCTION("""COMPUTED_VALUE"""),453.1)</f>
        <v>453.1</v>
      </c>
      <c r="D10" s="21">
        <f>IFERROR(__xludf.DUMMYFUNCTION("""COMPUTED_VALUE"""),4.409221687036688)</f>
        <v>4.409221687</v>
      </c>
      <c r="E10" s="21">
        <f>IFERROR(__xludf.DUMMYFUNCTION("""COMPUTED_VALUE"""),1.8952019434484297)</f>
        <v>1.895201943</v>
      </c>
      <c r="F10" s="21">
        <f>IFERROR(__xludf.DUMMYFUNCTION("""COMPUTED_VALUE"""),6.304423630485117)</f>
        <v>6.30442363</v>
      </c>
      <c r="G10" s="23">
        <f>IFERROR(__xludf.DUMMYFUNCTION("""COMPUTED_VALUE"""),1.1471751057843924)</f>
        <v>1.147175106</v>
      </c>
      <c r="H10" s="4"/>
      <c r="I10" s="5" t="s">
        <v>652</v>
      </c>
      <c r="J10" s="5" t="s">
        <v>644</v>
      </c>
      <c r="K10" s="24">
        <v>453.0</v>
      </c>
      <c r="L10" s="5">
        <v>4.409222</v>
      </c>
      <c r="M10" s="5">
        <v>1.895202</v>
      </c>
      <c r="N10" s="5">
        <v>6.304424</v>
      </c>
      <c r="O10" s="5">
        <v>1.147175</v>
      </c>
    </row>
    <row r="11">
      <c r="A11" s="12" t="str">
        <f>IFERROR(__xludf.DUMMYFUNCTION("""COMPUTED_VALUE"""),"Luke Sikma")</f>
        <v>Luke Sikma</v>
      </c>
      <c r="B11" s="13" t="str">
        <f>IFERROR(__xludf.DUMMYFUNCTION("""COMPUTED_VALUE"""),"BER")</f>
        <v>BER</v>
      </c>
      <c r="C11" s="14">
        <f>IFERROR(__xludf.DUMMYFUNCTION("""COMPUTED_VALUE"""),427.9)</f>
        <v>427.9</v>
      </c>
      <c r="D11" s="15">
        <f>IFERROR(__xludf.DUMMYFUNCTION("""COMPUTED_VALUE"""),3.730026031285502)</f>
        <v>3.730026031</v>
      </c>
      <c r="E11" s="15">
        <f>IFERROR(__xludf.DUMMYFUNCTION("""COMPUTED_VALUE"""),2.4363240417191525)</f>
        <v>2.436324042</v>
      </c>
      <c r="F11" s="15">
        <f>IFERROR(__xludf.DUMMYFUNCTION("""COMPUTED_VALUE"""),6.166350073004654)</f>
        <v>6.166350073</v>
      </c>
      <c r="G11" s="17">
        <f>IFERROR(__xludf.DUMMYFUNCTION("""COMPUTED_VALUE"""),1.061148686953134)</f>
        <v>1.061148687</v>
      </c>
      <c r="H11" s="4"/>
      <c r="I11" s="5" t="s">
        <v>633</v>
      </c>
      <c r="J11" s="5" t="s">
        <v>634</v>
      </c>
      <c r="K11" s="24">
        <v>428.0</v>
      </c>
      <c r="L11" s="5">
        <v>3.730026</v>
      </c>
      <c r="M11" s="5">
        <v>2.436324</v>
      </c>
      <c r="N11" s="5">
        <v>6.16635</v>
      </c>
      <c r="O11" s="5">
        <v>1.061149</v>
      </c>
    </row>
    <row r="12">
      <c r="A12" s="18" t="str">
        <f>IFERROR(__xludf.DUMMYFUNCTION("""COMPUTED_VALUE"""),"Richard Hendrix")</f>
        <v>Richard Hendrix</v>
      </c>
      <c r="B12" s="19" t="str">
        <f>IFERROR(__xludf.DUMMYFUNCTION("""COMPUTED_VALUE"""),"GAL")</f>
        <v>GAL</v>
      </c>
      <c r="C12" s="20">
        <f>IFERROR(__xludf.DUMMYFUNCTION("""COMPUTED_VALUE"""),317.4)</f>
        <v>317.4</v>
      </c>
      <c r="D12" s="21">
        <f>IFERROR(__xludf.DUMMYFUNCTION("""COMPUTED_VALUE"""),2.578699557429153)</f>
        <v>2.578699557</v>
      </c>
      <c r="E12" s="21">
        <f>IFERROR(__xludf.DUMMYFUNCTION("""COMPUTED_VALUE"""),3.5745389635335743)</f>
        <v>3.574538964</v>
      </c>
      <c r="F12" s="21">
        <f>IFERROR(__xludf.DUMMYFUNCTION("""COMPUTED_VALUE"""),6.153238520962727)</f>
        <v>6.153238521</v>
      </c>
      <c r="G12" s="23">
        <f>IFERROR(__xludf.DUMMYFUNCTION("""COMPUTED_VALUE"""),0.7596569606838425)</f>
        <v>0.7596569607</v>
      </c>
      <c r="H12" s="4"/>
      <c r="I12" s="5" t="s">
        <v>1905</v>
      </c>
      <c r="J12" s="5" t="s">
        <v>1592</v>
      </c>
      <c r="K12" s="24">
        <v>317.0</v>
      </c>
      <c r="L12" s="5">
        <v>2.5787</v>
      </c>
      <c r="M12" s="5">
        <v>3.574539</v>
      </c>
      <c r="N12" s="5">
        <v>6.153239</v>
      </c>
      <c r="O12" s="5">
        <v>0.759657</v>
      </c>
    </row>
    <row r="13">
      <c r="A13" s="12" t="str">
        <f>IFERROR(__xludf.DUMMYFUNCTION("""COMPUTED_VALUE"""),"Reggie Redding")</f>
        <v>Reggie Redding</v>
      </c>
      <c r="B13" s="13" t="str">
        <f>IFERROR(__xludf.DUMMYFUNCTION("""COMPUTED_VALUE"""),"BAY")</f>
        <v>BAY</v>
      </c>
      <c r="C13" s="14">
        <f>IFERROR(__xludf.DUMMYFUNCTION("""COMPUTED_VALUE"""),538.9)</f>
        <v>538.9</v>
      </c>
      <c r="D13" s="15">
        <f>IFERROR(__xludf.DUMMYFUNCTION("""COMPUTED_VALUE"""),2.6923770454269342)</f>
        <v>2.692377045</v>
      </c>
      <c r="E13" s="15">
        <f>IFERROR(__xludf.DUMMYFUNCTION("""COMPUTED_VALUE"""),2.9225886908525545)</f>
        <v>2.922588691</v>
      </c>
      <c r="F13" s="15">
        <f>IFERROR(__xludf.DUMMYFUNCTION("""COMPUTED_VALUE"""),5.614965736279489)</f>
        <v>5.614965736</v>
      </c>
      <c r="G13" s="17">
        <f>IFERROR(__xludf.DUMMYFUNCTION("""COMPUTED_VALUE"""),1.2511295839271392)</f>
        <v>1.251129584</v>
      </c>
      <c r="H13" s="4"/>
      <c r="I13" s="5" t="s">
        <v>657</v>
      </c>
      <c r="J13" s="5" t="s">
        <v>644</v>
      </c>
      <c r="K13" s="24">
        <v>539.0</v>
      </c>
      <c r="L13" s="5">
        <v>2.692377</v>
      </c>
      <c r="M13" s="5">
        <v>2.922589</v>
      </c>
      <c r="N13" s="5">
        <v>5.614966</v>
      </c>
      <c r="O13" s="5">
        <v>1.25113</v>
      </c>
    </row>
    <row r="14">
      <c r="A14" s="18" t="str">
        <f>IFERROR(__xludf.DUMMYFUNCTION("""COMPUTED_VALUE"""),"Frank Elegar")</f>
        <v>Frank Elegar</v>
      </c>
      <c r="B14" s="19" t="str">
        <f>IFERROR(__xludf.DUMMYFUNCTION("""COMPUTED_VALUE"""),"LOK")</f>
        <v>LOK</v>
      </c>
      <c r="C14" s="20">
        <f>IFERROR(__xludf.DUMMYFUNCTION("""COMPUTED_VALUE"""),438.3)</f>
        <v>438.3</v>
      </c>
      <c r="D14" s="21">
        <f>IFERROR(__xludf.DUMMYFUNCTION("""COMPUTED_VALUE"""),0.5654177144536806)</f>
        <v>0.5654177145</v>
      </c>
      <c r="E14" s="21">
        <f>IFERROR(__xludf.DUMMYFUNCTION("""COMPUTED_VALUE"""),4.997459382132856)</f>
        <v>4.997459382</v>
      </c>
      <c r="F14" s="21">
        <f>IFERROR(__xludf.DUMMYFUNCTION("""COMPUTED_VALUE"""),5.562877096586536)</f>
        <v>5.562877097</v>
      </c>
      <c r="G14" s="23">
        <f>IFERROR(__xludf.DUMMYFUNCTION("""COMPUTED_VALUE"""),0.9992348581306935)</f>
        <v>0.9992348581</v>
      </c>
      <c r="H14" s="4"/>
      <c r="I14" s="5" t="s">
        <v>2825</v>
      </c>
      <c r="J14" s="5" t="s">
        <v>2785</v>
      </c>
      <c r="K14" s="24">
        <v>438.0</v>
      </c>
      <c r="L14" s="5">
        <v>0.565418</v>
      </c>
      <c r="M14" s="5">
        <v>4.997459</v>
      </c>
      <c r="N14" s="5">
        <v>5.562877</v>
      </c>
      <c r="O14" s="5">
        <v>0.999235</v>
      </c>
    </row>
    <row r="15">
      <c r="A15" s="12" t="str">
        <f>IFERROR(__xludf.DUMMYFUNCTION("""COMPUTED_VALUE"""),"Dmitry Kulagin")</f>
        <v>Dmitry Kulagin</v>
      </c>
      <c r="B15" s="13" t="str">
        <f>IFERROR(__xludf.DUMMYFUNCTION("""COMPUTED_VALUE"""),"LOK")</f>
        <v>LOK</v>
      </c>
      <c r="C15" s="14">
        <f>IFERROR(__xludf.DUMMYFUNCTION("""COMPUTED_VALUE"""),441.8)</f>
        <v>441.8</v>
      </c>
      <c r="D15" s="15">
        <f>IFERROR(__xludf.DUMMYFUNCTION("""COMPUTED_VALUE"""),1.438499667975521)</f>
        <v>1.438499668</v>
      </c>
      <c r="E15" s="15">
        <f>IFERROR(__xludf.DUMMYFUNCTION("""COMPUTED_VALUE"""),3.4132402009908374)</f>
        <v>3.413240201</v>
      </c>
      <c r="F15" s="15">
        <f>IFERROR(__xludf.DUMMYFUNCTION("""COMPUTED_VALUE"""),4.851739868966359)</f>
        <v>4.851739869</v>
      </c>
      <c r="G15" s="17">
        <f>IFERROR(__xludf.DUMMYFUNCTION("""COMPUTED_VALUE"""),0.9125058142075929)</f>
        <v>0.9125058142</v>
      </c>
      <c r="H15" s="4"/>
      <c r="I15" s="5" t="s">
        <v>2835</v>
      </c>
      <c r="J15" s="5" t="s">
        <v>2785</v>
      </c>
      <c r="K15" s="24">
        <v>442.0</v>
      </c>
      <c r="L15" s="5">
        <v>1.4385</v>
      </c>
      <c r="M15" s="5">
        <v>3.41324</v>
      </c>
      <c r="N15" s="5">
        <v>4.85174</v>
      </c>
      <c r="O15" s="5">
        <v>0.912506</v>
      </c>
    </row>
    <row r="16">
      <c r="A16" s="18" t="str">
        <f>IFERROR(__xludf.DUMMYFUNCTION("""COMPUTED_VALUE"""),"Peyton Siva")</f>
        <v>Peyton Siva</v>
      </c>
      <c r="B16" s="19" t="str">
        <f>IFERROR(__xludf.DUMMYFUNCTION("""COMPUTED_VALUE"""),"BER")</f>
        <v>BER</v>
      </c>
      <c r="C16" s="20">
        <f>IFERROR(__xludf.DUMMYFUNCTION("""COMPUTED_VALUE"""),271.3)</f>
        <v>271.3</v>
      </c>
      <c r="D16" s="21">
        <f>IFERROR(__xludf.DUMMYFUNCTION("""COMPUTED_VALUE"""),5.013708559927256)</f>
        <v>5.01370856</v>
      </c>
      <c r="E16" s="21">
        <f>IFERROR(__xludf.DUMMYFUNCTION("""COMPUTED_VALUE"""),-0.34746210815370127)</f>
        <v>-0.3474621082</v>
      </c>
      <c r="F16" s="21">
        <f>IFERROR(__xludf.DUMMYFUNCTION("""COMPUTED_VALUE"""),4.666246451773555)</f>
        <v>4.666246452</v>
      </c>
      <c r="G16" s="23">
        <f>IFERROR(__xludf.DUMMYFUNCTION("""COMPUTED_VALUE"""),0.5492083362345221)</f>
        <v>0.5492083362</v>
      </c>
      <c r="H16" s="4"/>
      <c r="I16" s="5" t="s">
        <v>690</v>
      </c>
      <c r="J16" s="5" t="s">
        <v>634</v>
      </c>
      <c r="K16" s="24">
        <v>271.0</v>
      </c>
      <c r="L16" s="5">
        <v>5.013709</v>
      </c>
      <c r="M16" s="5">
        <v>-0.347462</v>
      </c>
      <c r="N16" s="5">
        <v>4.666246</v>
      </c>
      <c r="O16" s="5">
        <v>0.549208</v>
      </c>
    </row>
    <row r="17">
      <c r="A17" s="12" t="str">
        <f>IFERROR(__xludf.DUMMYFUNCTION("""COMPUTED_VALUE"""),"Danilo Barthel")</f>
        <v>Danilo Barthel</v>
      </c>
      <c r="B17" s="13" t="str">
        <f>IFERROR(__xludf.DUMMYFUNCTION("""COMPUTED_VALUE"""),"BAY")</f>
        <v>BAY</v>
      </c>
      <c r="C17" s="14">
        <f>IFERROR(__xludf.DUMMYFUNCTION("""COMPUTED_VALUE"""),422.6)</f>
        <v>422.6</v>
      </c>
      <c r="D17" s="15">
        <f>IFERROR(__xludf.DUMMYFUNCTION("""COMPUTED_VALUE"""),1.9918086985460124)</f>
        <v>1.991808699</v>
      </c>
      <c r="E17" s="15">
        <f>IFERROR(__xludf.DUMMYFUNCTION("""COMPUTED_VALUE"""),2.666055458166055)</f>
        <v>2.666055458</v>
      </c>
      <c r="F17" s="15">
        <f>IFERROR(__xludf.DUMMYFUNCTION("""COMPUTED_VALUE"""),4.657864156712067)</f>
        <v>4.657864157</v>
      </c>
      <c r="G17" s="17">
        <f>IFERROR(__xludf.DUMMYFUNCTION("""COMPUTED_VALUE"""),0.8578089611666218)</f>
        <v>0.8578089612</v>
      </c>
      <c r="H17" s="4"/>
      <c r="I17" s="5" t="s">
        <v>666</v>
      </c>
      <c r="J17" s="5" t="s">
        <v>644</v>
      </c>
      <c r="K17" s="24">
        <v>423.0</v>
      </c>
      <c r="L17" s="5">
        <v>1.991809</v>
      </c>
      <c r="M17" s="5">
        <v>2.666055</v>
      </c>
      <c r="N17" s="5">
        <v>4.657864</v>
      </c>
      <c r="O17" s="5">
        <v>0.857809</v>
      </c>
    </row>
    <row r="18">
      <c r="A18" s="18" t="str">
        <f>IFERROR(__xludf.DUMMYFUNCTION("""COMPUTED_VALUE"""),"Travis Peterson")</f>
        <v>Travis Peterson</v>
      </c>
      <c r="B18" s="19" t="str">
        <f>IFERROR(__xludf.DUMMYFUNCTION("""COMPUTED_VALUE"""),"LIE")</f>
        <v>LIE</v>
      </c>
      <c r="C18" s="20">
        <f>IFERROR(__xludf.DUMMYFUNCTION("""COMPUTED_VALUE"""),384.4)</f>
        <v>384.4</v>
      </c>
      <c r="D18" s="21">
        <f>IFERROR(__xludf.DUMMYFUNCTION("""COMPUTED_VALUE"""),4.182997894743841)</f>
        <v>4.182997895</v>
      </c>
      <c r="E18" s="21">
        <f>IFERROR(__xludf.DUMMYFUNCTION("""COMPUTED_VALUE"""),0.3558706139858012)</f>
        <v>0.355870614</v>
      </c>
      <c r="F18" s="21">
        <f>IFERROR(__xludf.DUMMYFUNCTION("""COMPUTED_VALUE"""),4.538868508729642)</f>
        <v>4.538868509</v>
      </c>
      <c r="G18" s="23">
        <f>IFERROR(__xludf.DUMMYFUNCTION("""COMPUTED_VALUE"""),0.7603594230787851)</f>
        <v>0.7603594231</v>
      </c>
      <c r="H18" s="4"/>
      <c r="I18" s="5" t="s">
        <v>2377</v>
      </c>
      <c r="J18" s="5" t="s">
        <v>2352</v>
      </c>
      <c r="K18" s="24">
        <v>384.0</v>
      </c>
      <c r="L18" s="5">
        <v>4.182998</v>
      </c>
      <c r="M18" s="5">
        <v>0.355871</v>
      </c>
      <c r="N18" s="5">
        <v>4.538869</v>
      </c>
      <c r="O18" s="5">
        <v>0.760359</v>
      </c>
    </row>
    <row r="19">
      <c r="A19" s="12" t="str">
        <f>IFERROR(__xludf.DUMMYFUNCTION("""COMPUTED_VALUE"""),"Braydon Hobbs")</f>
        <v>Braydon Hobbs</v>
      </c>
      <c r="B19" s="13" t="str">
        <f>IFERROR(__xludf.DUMMYFUNCTION("""COMPUTED_VALUE"""),"BAY")</f>
        <v>BAY</v>
      </c>
      <c r="C19" s="14">
        <f>IFERROR(__xludf.DUMMYFUNCTION("""COMPUTED_VALUE"""),396.1)</f>
        <v>396.1</v>
      </c>
      <c r="D19" s="15">
        <f>IFERROR(__xludf.DUMMYFUNCTION("""COMPUTED_VALUE"""),2.8218849844603553)</f>
        <v>2.821884984</v>
      </c>
      <c r="E19" s="15">
        <f>IFERROR(__xludf.DUMMYFUNCTION("""COMPUTED_VALUE"""),1.4905730614955588)</f>
        <v>1.490573061</v>
      </c>
      <c r="F19" s="15">
        <f>IFERROR(__xludf.DUMMYFUNCTION("""COMPUTED_VALUE"""),4.312458045955914)</f>
        <v>4.312458046</v>
      </c>
      <c r="G19" s="17">
        <f>IFERROR(__xludf.DUMMYFUNCTION("""COMPUTED_VALUE"""),0.7623062902448591)</f>
        <v>0.7623062902</v>
      </c>
      <c r="H19" s="4"/>
      <c r="I19" s="5" t="s">
        <v>643</v>
      </c>
      <c r="J19" s="5" t="s">
        <v>644</v>
      </c>
      <c r="K19" s="24">
        <v>396.0</v>
      </c>
      <c r="L19" s="5">
        <v>2.821885</v>
      </c>
      <c r="M19" s="5">
        <v>1.490573</v>
      </c>
      <c r="N19" s="5">
        <v>4.312458</v>
      </c>
      <c r="O19" s="5">
        <v>0.762306</v>
      </c>
    </row>
    <row r="20">
      <c r="A20" s="18" t="str">
        <f>IFERROR(__xludf.DUMMYFUNCTION("""COMPUTED_VALUE"""),"Evgeny Valiev")</f>
        <v>Evgeny Valiev</v>
      </c>
      <c r="B20" s="19" t="str">
        <f>IFERROR(__xludf.DUMMYFUNCTION("""COMPUTED_VALUE"""),"ZEN")</f>
        <v>ZEN</v>
      </c>
      <c r="C20" s="20">
        <f>IFERROR(__xludf.DUMMYFUNCTION("""COMPUTED_VALUE"""),272.1)</f>
        <v>272.1</v>
      </c>
      <c r="D20" s="21">
        <f>IFERROR(__xludf.DUMMYFUNCTION("""COMPUTED_VALUE"""),0.7981917985259013)</f>
        <v>0.7981917985</v>
      </c>
      <c r="E20" s="21">
        <f>IFERROR(__xludf.DUMMYFUNCTION("""COMPUTED_VALUE"""),3.49735608465698)</f>
        <v>3.497356085</v>
      </c>
      <c r="F20" s="21">
        <f>IFERROR(__xludf.DUMMYFUNCTION("""COMPUTED_VALUE"""),4.2955478831828815)</f>
        <v>4.295547883</v>
      </c>
      <c r="G20" s="23">
        <f>IFERROR(__xludf.DUMMYFUNCTION("""COMPUTED_VALUE"""),0.5222617618945311)</f>
        <v>0.5222617619</v>
      </c>
      <c r="H20" s="4"/>
      <c r="I20" s="5" t="s">
        <v>2815</v>
      </c>
      <c r="J20" s="5" t="s">
        <v>2816</v>
      </c>
      <c r="K20" s="5">
        <v>272.0</v>
      </c>
      <c r="L20" s="5">
        <v>0.798192</v>
      </c>
      <c r="M20" s="5">
        <v>3.497356</v>
      </c>
      <c r="N20" s="5">
        <v>4.295548</v>
      </c>
      <c r="O20" s="5">
        <v>0.522262</v>
      </c>
    </row>
    <row r="21">
      <c r="A21" s="12" t="str">
        <f>IFERROR(__xludf.DUMMYFUNCTION("""COMPUTED_VALUE"""),"Chris Babb")</f>
        <v>Chris Babb</v>
      </c>
      <c r="B21" s="13" t="str">
        <f>IFERROR(__xludf.DUMMYFUNCTION("""COMPUTED_VALUE"""),"LOK")</f>
        <v>LOK</v>
      </c>
      <c r="C21" s="14">
        <f>IFERROR(__xludf.DUMMYFUNCTION("""COMPUTED_VALUE"""),453.1)</f>
        <v>453.1</v>
      </c>
      <c r="D21" s="15">
        <f>IFERROR(__xludf.DUMMYFUNCTION("""COMPUTED_VALUE"""),2.2757451131860362)</f>
        <v>2.275745113</v>
      </c>
      <c r="E21" s="15">
        <f>IFERROR(__xludf.DUMMYFUNCTION("""COMPUTED_VALUE"""),1.9925856937777793)</f>
        <v>1.992585694</v>
      </c>
      <c r="F21" s="15">
        <f>IFERROR(__xludf.DUMMYFUNCTION("""COMPUTED_VALUE"""),4.2683308069638155)</f>
        <v>4.268330807</v>
      </c>
      <c r="G21" s="17">
        <f>IFERROR(__xludf.DUMMYFUNCTION("""COMPUTED_VALUE"""),0.8561601952213833)</f>
        <v>0.8561601952</v>
      </c>
      <c r="H21" s="4"/>
      <c r="I21" s="5" t="s">
        <v>2836</v>
      </c>
      <c r="J21" s="5" t="s">
        <v>2785</v>
      </c>
      <c r="K21" s="24">
        <v>453.0</v>
      </c>
      <c r="L21" s="5">
        <v>2.275745</v>
      </c>
      <c r="M21" s="5">
        <v>1.992586</v>
      </c>
      <c r="N21" s="5">
        <v>4.268331</v>
      </c>
      <c r="O21" s="5">
        <v>0.85616</v>
      </c>
    </row>
    <row r="22">
      <c r="A22" s="18" t="str">
        <f>IFERROR(__xludf.DUMMYFUNCTION("""COMPUTED_VALUE"""),"Quim Colom")</f>
        <v>Quim Colom</v>
      </c>
      <c r="B22" s="19" t="str">
        <f>IFERROR(__xludf.DUMMYFUNCTION("""COMPUTED_VALUE"""),"UNI")</f>
        <v>UNI</v>
      </c>
      <c r="C22" s="20">
        <f>IFERROR(__xludf.DUMMYFUNCTION("""COMPUTED_VALUE"""),504.8)</f>
        <v>504.8</v>
      </c>
      <c r="D22" s="21">
        <f>IFERROR(__xludf.DUMMYFUNCTION("""COMPUTED_VALUE"""),4.325246719439846)</f>
        <v>4.325246719</v>
      </c>
      <c r="E22" s="21">
        <f>IFERROR(__xludf.DUMMYFUNCTION("""COMPUTED_VALUE"""),-0.0667673706399654)</f>
        <v>-0.06676737064</v>
      </c>
      <c r="F22" s="21">
        <f>IFERROR(__xludf.DUMMYFUNCTION("""COMPUTED_VALUE"""),4.258479348799881)</f>
        <v>4.258479349</v>
      </c>
      <c r="G22" s="23">
        <f>IFERROR(__xludf.DUMMYFUNCTION("""COMPUTED_VALUE"""),0.9506862073203899)</f>
        <v>0.9506862073</v>
      </c>
      <c r="H22" s="4"/>
      <c r="I22" s="5" t="s">
        <v>2846</v>
      </c>
      <c r="J22" s="5" t="s">
        <v>22</v>
      </c>
      <c r="K22" s="5">
        <v>505.0</v>
      </c>
      <c r="L22" s="5">
        <v>4.325247</v>
      </c>
      <c r="M22" s="5">
        <v>-0.066767</v>
      </c>
      <c r="N22" s="5">
        <v>4.258479</v>
      </c>
      <c r="O22" s="5">
        <v>0.950686</v>
      </c>
    </row>
    <row r="23">
      <c r="A23" s="12" t="str">
        <f>IFERROR(__xludf.DUMMYFUNCTION("""COMPUTED_VALUE"""),"Justin Harper")</f>
        <v>Justin Harper</v>
      </c>
      <c r="B23" s="13" t="str">
        <f>IFERROR(__xludf.DUMMYFUNCTION("""COMPUTED_VALUE"""),"LYV")</f>
        <v>LYV</v>
      </c>
      <c r="C23" s="14">
        <f>IFERROR(__xludf.DUMMYFUNCTION("""COMPUTED_VALUE"""),299.9)</f>
        <v>299.9</v>
      </c>
      <c r="D23" s="15">
        <f>IFERROR(__xludf.DUMMYFUNCTION("""COMPUTED_VALUE"""),5.2141676988507974)</f>
        <v>5.214167699</v>
      </c>
      <c r="E23" s="15">
        <f>IFERROR(__xludf.DUMMYFUNCTION("""COMPUTED_VALUE"""),-1.0509348275861568)</f>
        <v>-1.050934828</v>
      </c>
      <c r="F23" s="15">
        <f>IFERROR(__xludf.DUMMYFUNCTION("""COMPUTED_VALUE"""),4.163232871264641)</f>
        <v>4.163232871</v>
      </c>
      <c r="G23" s="17">
        <f>IFERROR(__xludf.DUMMYFUNCTION("""COMPUTED_VALUE"""),0.5761987936094897)</f>
        <v>0.5761987936</v>
      </c>
      <c r="H23" s="4"/>
      <c r="I23" s="5" t="s">
        <v>1404</v>
      </c>
      <c r="J23" s="5" t="s">
        <v>1342</v>
      </c>
      <c r="K23" s="24">
        <v>300.0</v>
      </c>
      <c r="L23" s="5">
        <v>5.214168</v>
      </c>
      <c r="M23" s="5">
        <v>-1.050935</v>
      </c>
      <c r="N23" s="5">
        <v>4.163233</v>
      </c>
      <c r="O23" s="5">
        <v>0.576199</v>
      </c>
    </row>
    <row r="24">
      <c r="A24" s="18" t="str">
        <f>IFERROR(__xludf.DUMMYFUNCTION("""COMPUTED_VALUE"""),"Pierria Henry")</f>
        <v>Pierria Henry</v>
      </c>
      <c r="B24" s="19" t="str">
        <f>IFERROR(__xludf.DUMMYFUNCTION("""COMPUTED_VALUE"""),"TOF")</f>
        <v>TOF</v>
      </c>
      <c r="C24" s="20">
        <f>IFERROR(__xludf.DUMMYFUNCTION("""COMPUTED_VALUE"""),255.8)</f>
        <v>255.8</v>
      </c>
      <c r="D24" s="21">
        <f>IFERROR(__xludf.DUMMYFUNCTION("""COMPUTED_VALUE"""),3.9575503780868333)</f>
        <v>3.957550378</v>
      </c>
      <c r="E24" s="21">
        <f>IFERROR(__xludf.DUMMYFUNCTION("""COMPUTED_VALUE"""),0.10521636087349595)</f>
        <v>0.1052163609</v>
      </c>
      <c r="F24" s="21">
        <f>IFERROR(__xludf.DUMMYFUNCTION("""COMPUTED_VALUE"""),4.062766738960329)</f>
        <v>4.062766739</v>
      </c>
      <c r="G24" s="23">
        <f>IFERROR(__xludf.DUMMYFUNCTION("""COMPUTED_VALUE"""),0.4724439143277001)</f>
        <v>0.4724439143</v>
      </c>
      <c r="H24" s="4"/>
      <c r="I24" s="5" t="s">
        <v>1897</v>
      </c>
      <c r="J24" s="5" t="s">
        <v>1878</v>
      </c>
      <c r="K24" s="24">
        <v>256.0</v>
      </c>
      <c r="L24" s="5">
        <v>3.95755</v>
      </c>
      <c r="M24" s="5">
        <v>0.105216</v>
      </c>
      <c r="N24" s="5">
        <v>4.062767</v>
      </c>
      <c r="O24" s="5">
        <v>0.472444</v>
      </c>
    </row>
    <row r="25">
      <c r="A25" s="12" t="str">
        <f>IFERROR(__xludf.DUMMYFUNCTION("""COMPUTED_VALUE"""),"Suad Sehovic")</f>
        <v>Suad Sehovic</v>
      </c>
      <c r="B25" s="13" t="str">
        <f>IFERROR(__xludf.DUMMYFUNCTION("""COMPUTED_VALUE"""),"BUD")</f>
        <v>BUD</v>
      </c>
      <c r="C25" s="14">
        <f>IFERROR(__xludf.DUMMYFUNCTION("""COMPUTED_VALUE"""),323.1)</f>
        <v>323.1</v>
      </c>
      <c r="D25" s="15">
        <f>IFERROR(__xludf.DUMMYFUNCTION("""COMPUTED_VALUE"""),1.3513951858912923)</f>
        <v>1.351395186</v>
      </c>
      <c r="E25" s="15">
        <f>IFERROR(__xludf.DUMMYFUNCTION("""COMPUTED_VALUE"""),2.575235039584466)</f>
        <v>2.57523504</v>
      </c>
      <c r="F25" s="15">
        <f>IFERROR(__xludf.DUMMYFUNCTION("""COMPUTED_VALUE"""),3.9266302254757584)</f>
        <v>3.926630225</v>
      </c>
      <c r="G25" s="17">
        <f>IFERROR(__xludf.DUMMYFUNCTION("""COMPUTED_VALUE"""),0.5758433817509867)</f>
        <v>0.5758433818</v>
      </c>
      <c r="H25" s="4"/>
      <c r="I25" s="5" t="s">
        <v>923</v>
      </c>
      <c r="J25" s="5" t="s">
        <v>914</v>
      </c>
      <c r="K25" s="24">
        <v>323.0</v>
      </c>
      <c r="L25" s="5">
        <v>1.351395</v>
      </c>
      <c r="M25" s="5">
        <v>2.575235</v>
      </c>
      <c r="N25" s="5">
        <v>3.92663</v>
      </c>
      <c r="O25" s="5">
        <v>0.575843</v>
      </c>
    </row>
    <row r="26">
      <c r="A26" s="18" t="str">
        <f>IFERROR(__xludf.DUMMYFUNCTION("""COMPUTED_VALUE"""),"Darryl Watkins")</f>
        <v>Darryl Watkins</v>
      </c>
      <c r="B26" s="19" t="str">
        <f>IFERROR(__xludf.DUMMYFUNCTION("""COMPUTED_VALUE"""),"LYV")</f>
        <v>LYV</v>
      </c>
      <c r="C26" s="20">
        <f>IFERROR(__xludf.DUMMYFUNCTION("""COMPUTED_VALUE"""),351.1)</f>
        <v>351.1</v>
      </c>
      <c r="D26" s="21">
        <f>IFERROR(__xludf.DUMMYFUNCTION("""COMPUTED_VALUE"""),2.4274844460147094)</f>
        <v>2.427484446</v>
      </c>
      <c r="E26" s="21">
        <f>IFERROR(__xludf.DUMMYFUNCTION("""COMPUTED_VALUE"""),1.4825145995650284)</f>
        <v>1.4825146</v>
      </c>
      <c r="F26" s="21">
        <f>IFERROR(__xludf.DUMMYFUNCTION("""COMPUTED_VALUE"""),3.9099990455797378)</f>
        <v>3.909999046</v>
      </c>
      <c r="G26" s="23">
        <f>IFERROR(__xludf.DUMMYFUNCTION("""COMPUTED_VALUE"""),0.6468529181327765)</f>
        <v>0.6468529181</v>
      </c>
      <c r="H26" s="4"/>
      <c r="I26" s="5" t="s">
        <v>1408</v>
      </c>
      <c r="J26" s="5" t="s">
        <v>1342</v>
      </c>
      <c r="K26" s="24">
        <v>351.0</v>
      </c>
      <c r="L26" s="5">
        <v>2.427484</v>
      </c>
      <c r="M26" s="5">
        <v>1.482515</v>
      </c>
      <c r="N26" s="5">
        <v>3.909999</v>
      </c>
      <c r="O26" s="5">
        <v>0.646853</v>
      </c>
    </row>
    <row r="27">
      <c r="A27" s="12" t="str">
        <f>IFERROR(__xludf.DUMMYFUNCTION("""COMPUTED_VALUE"""),"Zanis Peiners")</f>
        <v>Zanis Peiners</v>
      </c>
      <c r="B27" s="13" t="str">
        <f>IFERROR(__xludf.DUMMYFUNCTION("""COMPUTED_VALUE"""),"TEC")</f>
        <v>TEC</v>
      </c>
      <c r="C27" s="14">
        <f>IFERROR(__xludf.DUMMYFUNCTION("""COMPUTED_VALUE"""),295.6)</f>
        <v>295.6</v>
      </c>
      <c r="D27" s="15">
        <f>IFERROR(__xludf.DUMMYFUNCTION("""COMPUTED_VALUE"""),2.83466629060472)</f>
        <v>2.834666291</v>
      </c>
      <c r="E27" s="15">
        <f>IFERROR(__xludf.DUMMYFUNCTION("""COMPUTED_VALUE"""),1.0720684021655322)</f>
        <v>1.072068402</v>
      </c>
      <c r="F27" s="15">
        <f>IFERROR(__xludf.DUMMYFUNCTION("""COMPUTED_VALUE"""),3.9067346927702524)</f>
        <v>3.906734693</v>
      </c>
      <c r="G27" s="17">
        <f>IFERROR(__xludf.DUMMYFUNCTION("""COMPUTED_VALUE"""),0.6100813200944828)</f>
        <v>0.6100813201</v>
      </c>
      <c r="H27" s="4"/>
      <c r="I27" s="5" t="s">
        <v>2423</v>
      </c>
      <c r="J27" s="5" t="s">
        <v>2400</v>
      </c>
      <c r="K27" s="24">
        <v>296.0</v>
      </c>
      <c r="L27" s="5">
        <v>2.834666</v>
      </c>
      <c r="M27" s="5">
        <v>1.072068</v>
      </c>
      <c r="N27" s="5">
        <v>3.906735</v>
      </c>
      <c r="O27" s="5">
        <v>0.610081</v>
      </c>
    </row>
    <row r="28">
      <c r="A28" s="18" t="str">
        <f>IFERROR(__xludf.DUMMYFUNCTION("""COMPUTED_VALUE"""),"Amedeo Della Valle")</f>
        <v>Amedeo Della Valle</v>
      </c>
      <c r="B28" s="19" t="str">
        <f>IFERROR(__xludf.DUMMYFUNCTION("""COMPUTED_VALUE"""),"REG")</f>
        <v>REG</v>
      </c>
      <c r="C28" s="20">
        <f>IFERROR(__xludf.DUMMYFUNCTION("""COMPUTED_VALUE"""),569.9)</f>
        <v>569.9</v>
      </c>
      <c r="D28" s="21">
        <f>IFERROR(__xludf.DUMMYFUNCTION("""COMPUTED_VALUE"""),3.4485843296313)</f>
        <v>3.44858433</v>
      </c>
      <c r="E28" s="21">
        <f>IFERROR(__xludf.DUMMYFUNCTION("""COMPUTED_VALUE"""),0.4477645883364185)</f>
        <v>0.4477645883</v>
      </c>
      <c r="F28" s="21">
        <f>IFERROR(__xludf.DUMMYFUNCTION("""COMPUTED_VALUE"""),3.8963489179677184)</f>
        <v>3.896348918</v>
      </c>
      <c r="G28" s="23">
        <f>IFERROR(__xludf.DUMMYFUNCTION("""COMPUTED_VALUE"""),1.0184526551840143)</f>
        <v>1.018452655</v>
      </c>
      <c r="H28" s="4"/>
      <c r="I28" s="5" t="s">
        <v>2379</v>
      </c>
      <c r="J28" s="5" t="s">
        <v>2135</v>
      </c>
      <c r="K28" s="24">
        <v>570.0</v>
      </c>
      <c r="L28" s="5">
        <v>3.448584</v>
      </c>
      <c r="M28" s="5">
        <v>0.447765</v>
      </c>
      <c r="N28" s="5">
        <v>3.896349</v>
      </c>
      <c r="O28" s="5">
        <v>1.018453</v>
      </c>
    </row>
    <row r="29">
      <c r="A29" s="12" t="str">
        <f>IFERROR(__xludf.DUMMYFUNCTION("""COMPUTED_VALUE"""),"Jalen Reynolds")</f>
        <v>Jalen Reynolds</v>
      </c>
      <c r="B29" s="13" t="str">
        <f>IFERROR(__xludf.DUMMYFUNCTION("""COMPUTED_VALUE"""),"REG")</f>
        <v>REG</v>
      </c>
      <c r="C29" s="14">
        <f>IFERROR(__xludf.DUMMYFUNCTION("""COMPUTED_VALUE"""),486.3)</f>
        <v>486.3</v>
      </c>
      <c r="D29" s="15">
        <f>IFERROR(__xludf.DUMMYFUNCTION("""COMPUTED_VALUE"""),-0.12528567737778096)</f>
        <v>-0.1252856774</v>
      </c>
      <c r="E29" s="15">
        <f>IFERROR(__xludf.DUMMYFUNCTION("""COMPUTED_VALUE"""),3.9653104131138357)</f>
        <v>3.965310413</v>
      </c>
      <c r="F29" s="15">
        <f>IFERROR(__xludf.DUMMYFUNCTION("""COMPUTED_VALUE"""),3.840024735736055)</f>
        <v>3.840024736</v>
      </c>
      <c r="G29" s="17">
        <f>IFERROR(__xludf.DUMMYFUNCTION("""COMPUTED_VALUE"""),0.8607518580142076)</f>
        <v>0.860751858</v>
      </c>
      <c r="H29" s="4"/>
      <c r="I29" s="5" t="s">
        <v>510</v>
      </c>
      <c r="J29" s="5" t="s">
        <v>2135</v>
      </c>
      <c r="K29" s="24">
        <v>486.0</v>
      </c>
      <c r="L29" s="5">
        <v>-0.125286</v>
      </c>
      <c r="M29" s="5">
        <v>3.96531</v>
      </c>
      <c r="N29" s="5">
        <v>3.840025</v>
      </c>
      <c r="O29" s="5">
        <v>0.860752</v>
      </c>
    </row>
    <row r="30">
      <c r="A30" s="18" t="str">
        <f>IFERROR(__xludf.DUMMYFUNCTION("""COMPUTED_VALUE"""),"Zoran Nikolic")</f>
        <v>Zoran Nikolic</v>
      </c>
      <c r="B30" s="19" t="str">
        <f>IFERROR(__xludf.DUMMYFUNCTION("""COMPUTED_VALUE"""),"BUD")</f>
        <v>BUD</v>
      </c>
      <c r="C30" s="20">
        <f>IFERROR(__xludf.DUMMYFUNCTION("""COMPUTED_VALUE"""),285.6)</f>
        <v>285.6</v>
      </c>
      <c r="D30" s="21">
        <f>IFERROR(__xludf.DUMMYFUNCTION("""COMPUTED_VALUE"""),-1.8202260810021118)</f>
        <v>-1.820226081</v>
      </c>
      <c r="E30" s="21">
        <f>IFERROR(__xludf.DUMMYFUNCTION("""COMPUTED_VALUE"""),5.634351911640851)</f>
        <v>5.634351912</v>
      </c>
      <c r="F30" s="21">
        <f>IFERROR(__xludf.DUMMYFUNCTION("""COMPUTED_VALUE"""),3.8141258306387393)</f>
        <v>3.814125831</v>
      </c>
      <c r="G30" s="23">
        <f>IFERROR(__xludf.DUMMYFUNCTION("""COMPUTED_VALUE"""),0.499346741187082)</f>
        <v>0.4993467412</v>
      </c>
      <c r="H30" s="4"/>
      <c r="I30" s="5" t="s">
        <v>932</v>
      </c>
      <c r="J30" s="5" t="s">
        <v>914</v>
      </c>
      <c r="K30" s="5">
        <v>286.0</v>
      </c>
      <c r="L30" s="5">
        <v>-1.820226</v>
      </c>
      <c r="M30" s="5">
        <v>5.634352</v>
      </c>
      <c r="N30" s="5">
        <v>3.814126</v>
      </c>
      <c r="O30" s="5">
        <v>0.499347</v>
      </c>
    </row>
    <row r="31">
      <c r="A31" s="12" t="str">
        <f>IFERROR(__xludf.DUMMYFUNCTION("""COMPUTED_VALUE"""),"Dominique Sutton")</f>
        <v>Dominique Sutton</v>
      </c>
      <c r="B31" s="13" t="str">
        <f>IFERROR(__xludf.DUMMYFUNCTION("""COMPUTED_VALUE"""),"TREN")</f>
        <v>TREN</v>
      </c>
      <c r="C31" s="14">
        <f>IFERROR(__xludf.DUMMYFUNCTION("""COMPUTED_VALUE"""),425.8)</f>
        <v>425.8</v>
      </c>
      <c r="D31" s="15">
        <f>IFERROR(__xludf.DUMMYFUNCTION("""COMPUTED_VALUE"""),2.068622217132042)</f>
        <v>2.068622217</v>
      </c>
      <c r="E31" s="15">
        <f>IFERROR(__xludf.DUMMYFUNCTION("""COMPUTED_VALUE"""),1.705552402120197)</f>
        <v>1.705552402</v>
      </c>
      <c r="F31" s="15">
        <f>IFERROR(__xludf.DUMMYFUNCTION("""COMPUTED_VALUE"""),3.774174619252239)</f>
        <v>3.774174619</v>
      </c>
      <c r="G31" s="17">
        <f>IFERROR(__xludf.DUMMYFUNCTION("""COMPUTED_VALUE"""),0.7379862280262621)</f>
        <v>0.737986228</v>
      </c>
      <c r="H31" s="4"/>
      <c r="I31" s="5" t="s">
        <v>2142</v>
      </c>
      <c r="J31" s="5" t="s">
        <v>2143</v>
      </c>
      <c r="K31" s="24">
        <v>426.0</v>
      </c>
      <c r="L31" s="5">
        <v>2.068622</v>
      </c>
      <c r="M31" s="5">
        <v>1.705552</v>
      </c>
      <c r="N31" s="5">
        <v>3.774175</v>
      </c>
      <c r="O31" s="5">
        <v>0.737986</v>
      </c>
    </row>
    <row r="32">
      <c r="A32" s="18" t="str">
        <f>IFERROR(__xludf.DUMMYFUNCTION("""COMPUTED_VALUE"""),"Boris Diaw")</f>
        <v>Boris Diaw</v>
      </c>
      <c r="B32" s="19" t="str">
        <f>IFERROR(__xludf.DUMMYFUNCTION("""COMPUTED_VALUE"""),"PLV")</f>
        <v>PLV</v>
      </c>
      <c r="C32" s="20">
        <f>IFERROR(__xludf.DUMMYFUNCTION("""COMPUTED_VALUE"""),254.0)</f>
        <v>254</v>
      </c>
      <c r="D32" s="21">
        <f>IFERROR(__xludf.DUMMYFUNCTION("""COMPUTED_VALUE"""),2.056402532153523)</f>
        <v>2.056402532</v>
      </c>
      <c r="E32" s="21">
        <f>IFERROR(__xludf.DUMMYFUNCTION("""COMPUTED_VALUE"""),1.549580124877088)</f>
        <v>1.549580125</v>
      </c>
      <c r="F32" s="21">
        <f>IFERROR(__xludf.DUMMYFUNCTION("""COMPUTED_VALUE"""),3.605982657030611)</f>
        <v>3.605982657</v>
      </c>
      <c r="G32" s="23">
        <f>IFERROR(__xludf.DUMMYFUNCTION("""COMPUTED_VALUE"""),0.43416524423350106)</f>
        <v>0.4341652442</v>
      </c>
      <c r="H32" s="4"/>
      <c r="I32" s="5" t="s">
        <v>1354</v>
      </c>
      <c r="J32" s="5" t="s">
        <v>1355</v>
      </c>
      <c r="K32" s="24">
        <v>254.0</v>
      </c>
      <c r="L32" s="5">
        <v>2.056403</v>
      </c>
      <c r="M32" s="5">
        <v>1.54958</v>
      </c>
      <c r="N32" s="5">
        <v>3.605983</v>
      </c>
      <c r="O32" s="5">
        <v>0.434165</v>
      </c>
    </row>
    <row r="33">
      <c r="A33" s="12" t="str">
        <f>IFERROR(__xludf.DUMMYFUNCTION("""COMPUTED_VALUE"""),"Marius Grigonis")</f>
        <v>Marius Grigonis</v>
      </c>
      <c r="B33" s="13" t="str">
        <f>IFERROR(__xludf.DUMMYFUNCTION("""COMPUTED_VALUE"""),"BER")</f>
        <v>BER</v>
      </c>
      <c r="C33" s="14">
        <f>IFERROR(__xludf.DUMMYFUNCTION("""COMPUTED_VALUE"""),400.8)</f>
        <v>400.8</v>
      </c>
      <c r="D33" s="15">
        <f>IFERROR(__xludf.DUMMYFUNCTION("""COMPUTED_VALUE"""),4.249502359312637)</f>
        <v>4.249502359</v>
      </c>
      <c r="E33" s="15">
        <f>IFERROR(__xludf.DUMMYFUNCTION("""COMPUTED_VALUE"""),-0.8526943277038956)</f>
        <v>-0.8526943277</v>
      </c>
      <c r="F33" s="15">
        <f>IFERROR(__xludf.DUMMYFUNCTION("""COMPUTED_VALUE"""),3.3968080316087415)</f>
        <v>3.396808032</v>
      </c>
      <c r="G33" s="17">
        <f>IFERROR(__xludf.DUMMYFUNCTION("""COMPUTED_VALUE"""),0.6568567154801891)</f>
        <v>0.6568567155</v>
      </c>
      <c r="H33" s="4"/>
      <c r="I33" s="5" t="s">
        <v>637</v>
      </c>
      <c r="J33" s="5" t="s">
        <v>634</v>
      </c>
      <c r="K33" s="24">
        <v>401.0</v>
      </c>
      <c r="L33" s="5">
        <v>4.249502</v>
      </c>
      <c r="M33" s="5">
        <v>-0.852694</v>
      </c>
      <c r="N33" s="5">
        <v>3.396808</v>
      </c>
      <c r="O33" s="5">
        <v>0.656857</v>
      </c>
    </row>
    <row r="34">
      <c r="A34" s="18" t="str">
        <f>IFERROR(__xludf.DUMMYFUNCTION("""COMPUTED_VALUE"""),"Brian Qvale")</f>
        <v>Brian Qvale</v>
      </c>
      <c r="B34" s="19" t="str">
        <f>IFERROR(__xludf.DUMMYFUNCTION("""COMPUTED_VALUE"""),"LOK")</f>
        <v>LOK</v>
      </c>
      <c r="C34" s="20">
        <f>IFERROR(__xludf.DUMMYFUNCTION("""COMPUTED_VALUE"""),374.9)</f>
        <v>374.9</v>
      </c>
      <c r="D34" s="21">
        <f>IFERROR(__xludf.DUMMYFUNCTION("""COMPUTED_VALUE"""),0.861122820480734)</f>
        <v>0.8611228205</v>
      </c>
      <c r="E34" s="21">
        <f>IFERROR(__xludf.DUMMYFUNCTION("""COMPUTED_VALUE"""),2.4272216033731273)</f>
        <v>2.427221603</v>
      </c>
      <c r="F34" s="21">
        <f>IFERROR(__xludf.DUMMYFUNCTION("""COMPUTED_VALUE"""),3.2883444238538613)</f>
        <v>3.288344424</v>
      </c>
      <c r="G34" s="23">
        <f>IFERROR(__xludf.DUMMYFUNCTION("""COMPUTED_VALUE"""),0.5976463003443315)</f>
        <v>0.5976463003</v>
      </c>
      <c r="H34" s="4"/>
      <c r="I34" s="5" t="s">
        <v>2861</v>
      </c>
      <c r="J34" s="5" t="s">
        <v>2785</v>
      </c>
      <c r="K34" s="24">
        <v>375.0</v>
      </c>
      <c r="L34" s="5">
        <v>0.861123</v>
      </c>
      <c r="M34" s="5">
        <v>2.427222</v>
      </c>
      <c r="N34" s="5">
        <v>3.288344</v>
      </c>
      <c r="O34" s="5">
        <v>0.597646</v>
      </c>
    </row>
    <row r="35">
      <c r="A35" s="12" t="str">
        <f>IFERROR(__xludf.DUMMYFUNCTION("""COMPUTED_VALUE"""),"Vladimir Lucic")</f>
        <v>Vladimir Lucic</v>
      </c>
      <c r="B35" s="13" t="str">
        <f>IFERROR(__xludf.DUMMYFUNCTION("""COMPUTED_VALUE"""),"BAY")</f>
        <v>BAY</v>
      </c>
      <c r="C35" s="14">
        <f>IFERROR(__xludf.DUMMYFUNCTION("""COMPUTED_VALUE"""),197.8)</f>
        <v>197.8</v>
      </c>
      <c r="D35" s="15">
        <f>IFERROR(__xludf.DUMMYFUNCTION("""COMPUTED_VALUE"""),3.2312639287492124)</f>
        <v>3.231263929</v>
      </c>
      <c r="E35" s="15">
        <f>IFERROR(__xludf.DUMMYFUNCTION("""COMPUTED_VALUE"""),0.02963184485095205)</f>
        <v>0.02963184485</v>
      </c>
      <c r="F35" s="15">
        <f>IFERROR(__xludf.DUMMYFUNCTION("""COMPUTED_VALUE"""),3.2608957736001645)</f>
        <v>3.260895774</v>
      </c>
      <c r="G35" s="17">
        <f>IFERROR(__xludf.DUMMYFUNCTION("""COMPUTED_VALUE"""),0.3172576780543026)</f>
        <v>0.3172576781</v>
      </c>
      <c r="H35" s="4"/>
      <c r="I35" s="5" t="s">
        <v>661</v>
      </c>
      <c r="J35" s="5" t="s">
        <v>644</v>
      </c>
      <c r="K35" s="24">
        <v>198.0</v>
      </c>
      <c r="L35" s="5">
        <v>3.231264</v>
      </c>
      <c r="M35" s="5">
        <v>0.029632</v>
      </c>
      <c r="N35" s="5">
        <v>3.260896</v>
      </c>
      <c r="O35" s="5">
        <v>0.317258</v>
      </c>
    </row>
    <row r="36">
      <c r="A36" s="18" t="str">
        <f>IFERROR(__xludf.DUMMYFUNCTION("""COMPUTED_VALUE"""),"Milan Macvan")</f>
        <v>Milan Macvan</v>
      </c>
      <c r="B36" s="19" t="str">
        <f>IFERROR(__xludf.DUMMYFUNCTION("""COMPUTED_VALUE"""),"BAY")</f>
        <v>BAY</v>
      </c>
      <c r="C36" s="20">
        <f>IFERROR(__xludf.DUMMYFUNCTION("""COMPUTED_VALUE"""),288.0)</f>
        <v>288</v>
      </c>
      <c r="D36" s="21">
        <f>IFERROR(__xludf.DUMMYFUNCTION("""COMPUTED_VALUE"""),2.740616203124991)</f>
        <v>2.740616203</v>
      </c>
      <c r="E36" s="21">
        <f>IFERROR(__xludf.DUMMYFUNCTION("""COMPUTED_VALUE"""),0.4497689931231421)</f>
        <v>0.4497689931</v>
      </c>
      <c r="F36" s="21">
        <f>IFERROR(__xludf.DUMMYFUNCTION("""COMPUTED_VALUE"""),3.1903851962481333)</f>
        <v>3.190385196</v>
      </c>
      <c r="G36" s="23">
        <f>IFERROR(__xludf.DUMMYFUNCTION("""COMPUTED_VALUE"""),0.4557411391827629)</f>
        <v>0.4557411392</v>
      </c>
      <c r="H36" s="4"/>
      <c r="I36" s="5" t="s">
        <v>694</v>
      </c>
      <c r="J36" s="5" t="s">
        <v>644</v>
      </c>
      <c r="K36" s="24">
        <v>288.0</v>
      </c>
      <c r="L36" s="5">
        <v>2.740616</v>
      </c>
      <c r="M36" s="5">
        <v>0.449769</v>
      </c>
      <c r="N36" s="5">
        <v>3.190385</v>
      </c>
      <c r="O36" s="5">
        <v>0.455741</v>
      </c>
    </row>
    <row r="37">
      <c r="A37" s="12" t="str">
        <f>IFERROR(__xludf.DUMMYFUNCTION("""COMPUTED_VALUE"""),"JaJuan Johnson")</f>
        <v>JaJuan Johnson</v>
      </c>
      <c r="B37" s="13" t="str">
        <f>IFERROR(__xludf.DUMMYFUNCTION("""COMPUTED_VALUE"""),"DBI")</f>
        <v>DBI</v>
      </c>
      <c r="C37" s="14">
        <f>IFERROR(__xludf.DUMMYFUNCTION("""COMPUTED_VALUE"""),664.1)</f>
        <v>664.1</v>
      </c>
      <c r="D37" s="15">
        <f>IFERROR(__xludf.DUMMYFUNCTION("""COMPUTED_VALUE"""),-1.0638354044984955)</f>
        <v>-1.063835404</v>
      </c>
      <c r="E37" s="15">
        <f>IFERROR(__xludf.DUMMYFUNCTION("""COMPUTED_VALUE"""),4.233971019547362)</f>
        <v>4.23397102</v>
      </c>
      <c r="F37" s="15">
        <f>IFERROR(__xludf.DUMMYFUNCTION("""COMPUTED_VALUE"""),3.170135615048867)</f>
        <v>3.170135615</v>
      </c>
      <c r="G37" s="17">
        <f>IFERROR(__xludf.DUMMYFUNCTION("""COMPUTED_VALUE"""),1.03500983758363)</f>
        <v>1.035009838</v>
      </c>
      <c r="H37" s="4"/>
      <c r="I37" s="5" t="s">
        <v>1943</v>
      </c>
      <c r="J37" s="5" t="s">
        <v>1884</v>
      </c>
      <c r="K37" s="24">
        <v>664.0</v>
      </c>
      <c r="L37" s="5">
        <v>-1.063835</v>
      </c>
      <c r="M37" s="5">
        <v>4.233971</v>
      </c>
      <c r="N37" s="5">
        <v>3.170136</v>
      </c>
      <c r="O37" s="5">
        <v>1.03501</v>
      </c>
    </row>
    <row r="38">
      <c r="A38" s="18" t="str">
        <f>IFERROR(__xludf.DUMMYFUNCTION("""COMPUTED_VALUE"""),"Stephane Lasme")</f>
        <v>Stephane Lasme</v>
      </c>
      <c r="B38" s="19" t="str">
        <f>IFERROR(__xludf.DUMMYFUNCTION("""COMPUTED_VALUE"""),"UNI")</f>
        <v>UNI</v>
      </c>
      <c r="C38" s="20">
        <f>IFERROR(__xludf.DUMMYFUNCTION("""COMPUTED_VALUE"""),535.7)</f>
        <v>535.7</v>
      </c>
      <c r="D38" s="21">
        <f>IFERROR(__xludf.DUMMYFUNCTION("""COMPUTED_VALUE"""),-0.9784264793173779)</f>
        <v>-0.9784264793</v>
      </c>
      <c r="E38" s="21">
        <f>IFERROR(__xludf.DUMMYFUNCTION("""COMPUTED_VALUE"""),3.93647324449806)</f>
        <v>3.936473244</v>
      </c>
      <c r="F38" s="21">
        <f>IFERROR(__xludf.DUMMYFUNCTION("""COMPUTED_VALUE"""),2.958046765180682)</f>
        <v>2.958046765</v>
      </c>
      <c r="G38" s="23">
        <f>IFERROR(__xludf.DUMMYFUNCTION("""COMPUTED_VALUE"""),0.7992475038016873)</f>
        <v>0.7992475038</v>
      </c>
      <c r="H38" s="4"/>
      <c r="I38" s="5" t="s">
        <v>2827</v>
      </c>
      <c r="J38" s="5" t="s">
        <v>22</v>
      </c>
      <c r="K38" s="5">
        <v>536.0</v>
      </c>
      <c r="L38" s="5">
        <v>-0.978426</v>
      </c>
      <c r="M38" s="5">
        <v>3.936473</v>
      </c>
      <c r="N38" s="5">
        <v>2.958047</v>
      </c>
      <c r="O38" s="5">
        <v>0.799248</v>
      </c>
    </row>
    <row r="39">
      <c r="A39" s="12" t="str">
        <f>IFERROR(__xludf.DUMMYFUNCTION("""COMPUTED_VALUE"""),"Joe Ragland")</f>
        <v>Joe Ragland</v>
      </c>
      <c r="B39" s="13" t="str">
        <f>IFERROR(__xludf.DUMMYFUNCTION("""COMPUTED_VALUE"""),"LOK")</f>
        <v>LOK</v>
      </c>
      <c r="C39" s="14">
        <f>IFERROR(__xludf.DUMMYFUNCTION("""COMPUTED_VALUE"""),439.9)</f>
        <v>439.9</v>
      </c>
      <c r="D39" s="15">
        <f>IFERROR(__xludf.DUMMYFUNCTION("""COMPUTED_VALUE"""),1.8205944742424487)</f>
        <v>1.820594474</v>
      </c>
      <c r="E39" s="15">
        <f>IFERROR(__xludf.DUMMYFUNCTION("""COMPUTED_VALUE"""),1.106196932956566)</f>
        <v>1.106196933</v>
      </c>
      <c r="F39" s="15">
        <f>IFERROR(__xludf.DUMMYFUNCTION("""COMPUTED_VALUE"""),2.9267914071990146)</f>
        <v>2.926791407</v>
      </c>
      <c r="G39" s="17">
        <f>IFERROR(__xludf.DUMMYFUNCTION("""COMPUTED_VALUE"""),0.6533218749344442)</f>
        <v>0.6533218749</v>
      </c>
      <c r="H39" s="4"/>
      <c r="I39" s="5" t="s">
        <v>2798</v>
      </c>
      <c r="J39" s="5" t="s">
        <v>2785</v>
      </c>
      <c r="K39" s="24">
        <v>440.0</v>
      </c>
      <c r="L39" s="5">
        <v>1.820594</v>
      </c>
      <c r="M39" s="5">
        <v>1.106197</v>
      </c>
      <c r="N39" s="5">
        <v>2.926791</v>
      </c>
      <c r="O39" s="5">
        <v>0.653322</v>
      </c>
    </row>
    <row r="40">
      <c r="A40" s="18" t="str">
        <f>IFERROR(__xludf.DUMMYFUNCTION("""COMPUTED_VALUE"""),"Rokas Giedraitis")</f>
        <v>Rokas Giedraitis</v>
      </c>
      <c r="B40" s="19" t="str">
        <f>IFERROR(__xludf.DUMMYFUNCTION("""COMPUTED_VALUE"""),"LIE")</f>
        <v>LIE</v>
      </c>
      <c r="C40" s="20">
        <f>IFERROR(__xludf.DUMMYFUNCTION("""COMPUTED_VALUE"""),402.4)</f>
        <v>402.4</v>
      </c>
      <c r="D40" s="21">
        <f>IFERROR(__xludf.DUMMYFUNCTION("""COMPUTED_VALUE"""),3.054991141829602)</f>
        <v>3.054991142</v>
      </c>
      <c r="E40" s="21">
        <f>IFERROR(__xludf.DUMMYFUNCTION("""COMPUTED_VALUE"""),-0.23079790853467008)</f>
        <v>-0.2307979085</v>
      </c>
      <c r="F40" s="21">
        <f>IFERROR(__xludf.DUMMYFUNCTION("""COMPUTED_VALUE"""),2.824193233294932)</f>
        <v>2.824193233</v>
      </c>
      <c r="G40" s="23">
        <f>IFERROR(__xludf.DUMMYFUNCTION("""COMPUTED_VALUE"""),0.5872399818429924)</f>
        <v>0.5872399818</v>
      </c>
      <c r="H40" s="4"/>
      <c r="I40" s="5" t="s">
        <v>2351</v>
      </c>
      <c r="J40" s="5" t="s">
        <v>2352</v>
      </c>
      <c r="K40" s="24">
        <v>402.0</v>
      </c>
      <c r="L40" s="5">
        <v>3.054991</v>
      </c>
      <c r="M40" s="5">
        <v>-0.230798</v>
      </c>
      <c r="N40" s="5">
        <v>2.824193</v>
      </c>
      <c r="O40" s="5">
        <v>0.58724</v>
      </c>
    </row>
    <row r="41">
      <c r="A41" s="12" t="str">
        <f>IFERROR(__xludf.DUMMYFUNCTION("""COMPUTED_VALUE"""),"Vaidas Cepukaitis")</f>
        <v>Vaidas Cepukaitis</v>
      </c>
      <c r="B41" s="13" t="str">
        <f>IFERROR(__xludf.DUMMYFUNCTION("""COMPUTED_VALUE"""),"TEC")</f>
        <v>TEC</v>
      </c>
      <c r="C41" s="14">
        <f>IFERROR(__xludf.DUMMYFUNCTION("""COMPUTED_VALUE"""),156.0)</f>
        <v>156</v>
      </c>
      <c r="D41" s="15">
        <f>IFERROR(__xludf.DUMMYFUNCTION("""COMPUTED_VALUE"""),0.12250318721868353)</f>
        <v>0.1225031872</v>
      </c>
      <c r="E41" s="15">
        <f>IFERROR(__xludf.DUMMYFUNCTION("""COMPUTED_VALUE"""),2.696275814628889)</f>
        <v>2.696275815</v>
      </c>
      <c r="F41" s="15">
        <f>IFERROR(__xludf.DUMMYFUNCTION("""COMPUTED_VALUE"""),2.818779001847573)</f>
        <v>2.818779002</v>
      </c>
      <c r="G41" s="17">
        <f>IFERROR(__xludf.DUMMYFUNCTION("""COMPUTED_VALUE"""),0.26266211744390267)</f>
        <v>0.2626621174</v>
      </c>
      <c r="H41" s="4"/>
      <c r="I41" s="5" t="s">
        <v>2455</v>
      </c>
      <c r="J41" s="5" t="s">
        <v>2400</v>
      </c>
      <c r="K41" s="24">
        <v>156.0</v>
      </c>
      <c r="L41" s="5">
        <v>0.122503</v>
      </c>
      <c r="M41" s="5">
        <v>2.696276</v>
      </c>
      <c r="N41" s="5">
        <v>2.818779</v>
      </c>
      <c r="O41" s="5">
        <v>0.262662</v>
      </c>
    </row>
    <row r="42">
      <c r="A42" s="18" t="str">
        <f>IFERROR(__xludf.DUMMYFUNCTION("""COMPUTED_VALUE"""),"Nihad Djedovic")</f>
        <v>Nihad Djedovic</v>
      </c>
      <c r="B42" s="19" t="str">
        <f>IFERROR(__xludf.DUMMYFUNCTION("""COMPUTED_VALUE"""),"BAY")</f>
        <v>BAY</v>
      </c>
      <c r="C42" s="20">
        <f>IFERROR(__xludf.DUMMYFUNCTION("""COMPUTED_VALUE"""),337.6)</f>
        <v>337.6</v>
      </c>
      <c r="D42" s="21">
        <f>IFERROR(__xludf.DUMMYFUNCTION("""COMPUTED_VALUE"""),2.369605811666903)</f>
        <v>2.369605812</v>
      </c>
      <c r="E42" s="21">
        <f>IFERROR(__xludf.DUMMYFUNCTION("""COMPUTED_VALUE"""),0.4454267002003589)</f>
        <v>0.4454267002</v>
      </c>
      <c r="F42" s="21">
        <f>IFERROR(__xludf.DUMMYFUNCTION("""COMPUTED_VALUE"""),2.815032511867262)</f>
        <v>2.815032512</v>
      </c>
      <c r="G42" s="23">
        <f>IFERROR(__xludf.DUMMYFUNCTION("""COMPUTED_VALUE"""),0.49559602927024016)</f>
        <v>0.4955960293</v>
      </c>
      <c r="H42" s="4"/>
      <c r="I42" s="5" t="s">
        <v>752</v>
      </c>
      <c r="J42" s="5" t="s">
        <v>644</v>
      </c>
      <c r="K42" s="24">
        <v>338.0</v>
      </c>
      <c r="L42" s="5">
        <v>2.369606</v>
      </c>
      <c r="M42" s="5">
        <v>0.445427</v>
      </c>
      <c r="N42" s="5">
        <v>2.815033</v>
      </c>
      <c r="O42" s="5">
        <v>0.495596</v>
      </c>
    </row>
    <row r="43">
      <c r="A43" s="12" t="str">
        <f>IFERROR(__xludf.DUMMYFUNCTION("""COMPUTED_VALUE"""),"Jaka Blazic")</f>
        <v>Jaka Blazic</v>
      </c>
      <c r="B43" s="13" t="str">
        <f>IFERROR(__xludf.DUMMYFUNCTION("""COMPUTED_VALUE"""),"AND")</f>
        <v>AND</v>
      </c>
      <c r="C43" s="14">
        <f>IFERROR(__xludf.DUMMYFUNCTION("""COMPUTED_VALUE"""),196.0)</f>
        <v>196</v>
      </c>
      <c r="D43" s="15">
        <f>IFERROR(__xludf.DUMMYFUNCTION("""COMPUTED_VALUE"""),1.789400872332271)</f>
        <v>1.789400872</v>
      </c>
      <c r="E43" s="15">
        <f>IFERROR(__xludf.DUMMYFUNCTION("""COMPUTED_VALUE"""),0.9766119640118718)</f>
        <v>0.976611964</v>
      </c>
      <c r="F43" s="15">
        <f>IFERROR(__xludf.DUMMYFUNCTION("""COMPUTED_VALUE"""),2.7660128363441427)</f>
        <v>2.766012836</v>
      </c>
      <c r="G43" s="17">
        <f>IFERROR(__xludf.DUMMYFUNCTION("""COMPUTED_VALUE"""),0.28481256865387533)</f>
        <v>0.2848125687</v>
      </c>
      <c r="H43" s="4"/>
      <c r="I43" s="5" t="s">
        <v>278</v>
      </c>
      <c r="J43" s="5" t="s">
        <v>89</v>
      </c>
      <c r="K43" s="24">
        <v>196.0</v>
      </c>
      <c r="L43" s="5">
        <v>1.789401</v>
      </c>
      <c r="M43" s="5">
        <v>0.976612</v>
      </c>
      <c r="N43" s="5">
        <v>2.766013</v>
      </c>
      <c r="O43" s="5">
        <v>0.284813</v>
      </c>
    </row>
    <row r="44">
      <c r="A44" s="18" t="str">
        <f>IFERROR(__xludf.DUMMYFUNCTION("""COMPUTED_VALUE"""),"Pavel Antipov")</f>
        <v>Pavel Antipov</v>
      </c>
      <c r="B44" s="19" t="str">
        <f>IFERROR(__xludf.DUMMYFUNCTION("""COMPUTED_VALUE"""),"LOK")</f>
        <v>LOK</v>
      </c>
      <c r="C44" s="20">
        <f>IFERROR(__xludf.DUMMYFUNCTION("""COMPUTED_VALUE"""),304.8)</f>
        <v>304.8</v>
      </c>
      <c r="D44" s="21">
        <f>IFERROR(__xludf.DUMMYFUNCTION("""COMPUTED_VALUE"""),0.19992513477891727)</f>
        <v>0.1999251348</v>
      </c>
      <c r="E44" s="21">
        <f>IFERROR(__xludf.DUMMYFUNCTION("""COMPUTED_VALUE"""),2.454139771585005)</f>
        <v>2.454139772</v>
      </c>
      <c r="F44" s="21">
        <f>IFERROR(__xludf.DUMMYFUNCTION("""COMPUTED_VALUE"""),2.654064906363922)</f>
        <v>2.654064906</v>
      </c>
      <c r="G44" s="23">
        <f>IFERROR(__xludf.DUMMYFUNCTION("""COMPUTED_VALUE"""),0.4276184754975899)</f>
        <v>0.4276184755</v>
      </c>
      <c r="H44" s="4"/>
      <c r="I44" s="5" t="s">
        <v>2832</v>
      </c>
      <c r="J44" s="5" t="s">
        <v>2785</v>
      </c>
      <c r="K44" s="24">
        <v>305.0</v>
      </c>
      <c r="L44" s="5">
        <v>0.199925</v>
      </c>
      <c r="M44" s="5">
        <v>2.45414</v>
      </c>
      <c r="N44" s="5">
        <v>2.654065</v>
      </c>
      <c r="O44" s="5">
        <v>0.427618</v>
      </c>
    </row>
    <row r="45">
      <c r="A45" s="12" t="str">
        <f>IFERROR(__xludf.DUMMYFUNCTION("""COMPUTED_VALUE"""),"Chane Behanan")</f>
        <v>Chane Behanan</v>
      </c>
      <c r="B45" s="13" t="str">
        <f>IFERROR(__xludf.DUMMYFUNCTION("""COMPUTED_VALUE"""),"TREN")</f>
        <v>TREN</v>
      </c>
      <c r="C45" s="14">
        <f>IFERROR(__xludf.DUMMYFUNCTION("""COMPUTED_VALUE"""),178.0)</f>
        <v>178</v>
      </c>
      <c r="D45" s="15">
        <f>IFERROR(__xludf.DUMMYFUNCTION("""COMPUTED_VALUE"""),1.4827912487289892)</f>
        <v>1.482791249</v>
      </c>
      <c r="E45" s="15">
        <f>IFERROR(__xludf.DUMMYFUNCTION("""COMPUTED_VALUE"""),0.8558936519138771)</f>
        <v>0.8558936519</v>
      </c>
      <c r="F45" s="15">
        <f>IFERROR(__xludf.DUMMYFUNCTION("""COMPUTED_VALUE"""),2.3386849006428663)</f>
        <v>2.338684901</v>
      </c>
      <c r="G45" s="17">
        <f>IFERROR(__xludf.DUMMYFUNCTION("""COMPUTED_VALUE"""),0.23180927008296578)</f>
        <v>0.2318092701</v>
      </c>
      <c r="H45" s="4"/>
      <c r="I45" s="5" t="s">
        <v>2240</v>
      </c>
      <c r="J45" s="5" t="s">
        <v>2143</v>
      </c>
      <c r="K45" s="24">
        <v>178.0</v>
      </c>
      <c r="L45" s="5">
        <v>1.482791</v>
      </c>
      <c r="M45" s="5">
        <v>0.855894</v>
      </c>
      <c r="N45" s="5">
        <v>2.338685</v>
      </c>
      <c r="O45" s="5">
        <v>0.231809</v>
      </c>
    </row>
    <row r="46">
      <c r="A46" s="18" t="str">
        <f>IFERROR(__xludf.DUMMYFUNCTION("""COMPUTED_VALUE"""),"Kyle Landry")</f>
        <v>Kyle Landry</v>
      </c>
      <c r="B46" s="19" t="str">
        <f>IFERROR(__xludf.DUMMYFUNCTION("""COMPUTED_VALUE"""),"BUD")</f>
        <v>BUD</v>
      </c>
      <c r="C46" s="20">
        <f>IFERROR(__xludf.DUMMYFUNCTION("""COMPUTED_VALUE"""),334.2)</f>
        <v>334.2</v>
      </c>
      <c r="D46" s="21">
        <f>IFERROR(__xludf.DUMMYFUNCTION("""COMPUTED_VALUE"""),0.43810146196585564)</f>
        <v>0.438101462</v>
      </c>
      <c r="E46" s="21">
        <f>IFERROR(__xludf.DUMMYFUNCTION("""COMPUTED_VALUE"""),1.8127036954490083)</f>
        <v>1.812703695</v>
      </c>
      <c r="F46" s="21">
        <f>IFERROR(__xludf.DUMMYFUNCTION("""COMPUTED_VALUE"""),2.250805157414864)</f>
        <v>2.250805157</v>
      </c>
      <c r="G46" s="23">
        <f>IFERROR(__xludf.DUMMYFUNCTION("""COMPUTED_VALUE"""),0.4272058927543116)</f>
        <v>0.4272058928</v>
      </c>
      <c r="H46" s="4"/>
      <c r="I46" s="5" t="s">
        <v>938</v>
      </c>
      <c r="J46" s="5" t="s">
        <v>914</v>
      </c>
      <c r="K46" s="24">
        <v>334.0</v>
      </c>
      <c r="L46" s="5">
        <v>0.438101</v>
      </c>
      <c r="M46" s="5">
        <v>1.812704</v>
      </c>
      <c r="N46" s="5">
        <v>2.250805</v>
      </c>
      <c r="O46" s="5">
        <v>0.427206</v>
      </c>
    </row>
    <row r="47">
      <c r="A47" s="12" t="str">
        <f>IFERROR(__xludf.DUMMYFUNCTION("""COMPUTED_VALUE"""),"Marcus Eriksson")</f>
        <v>Marcus Eriksson</v>
      </c>
      <c r="B47" s="13" t="str">
        <f>IFERROR(__xludf.DUMMYFUNCTION("""COMPUTED_VALUE"""),"GCN")</f>
        <v>GCN</v>
      </c>
      <c r="C47" s="14">
        <f>IFERROR(__xludf.DUMMYFUNCTION("""COMPUTED_VALUE"""),345.2)</f>
        <v>345.2</v>
      </c>
      <c r="D47" s="15">
        <f>IFERROR(__xludf.DUMMYFUNCTION("""COMPUTED_VALUE"""),6.121142730747924)</f>
        <v>6.121142731</v>
      </c>
      <c r="E47" s="15">
        <f>IFERROR(__xludf.DUMMYFUNCTION("""COMPUTED_VALUE"""),-3.956501027846584)</f>
        <v>-3.956501028</v>
      </c>
      <c r="F47" s="15">
        <f>IFERROR(__xludf.DUMMYFUNCTION("""COMPUTED_VALUE"""),2.1646417029013403)</f>
        <v>2.164641703</v>
      </c>
      <c r="G47" s="17">
        <f>IFERROR(__xludf.DUMMYFUNCTION("""COMPUTED_VALUE"""),0.42933481776913046)</f>
        <v>0.4293348178</v>
      </c>
      <c r="H47" s="4"/>
      <c r="I47" s="5" t="s">
        <v>430</v>
      </c>
      <c r="J47" s="5" t="s">
        <v>97</v>
      </c>
      <c r="K47" s="24">
        <v>345.0</v>
      </c>
      <c r="L47" s="5">
        <v>6.121143</v>
      </c>
      <c r="M47" s="5">
        <v>-3.956501</v>
      </c>
      <c r="N47" s="5">
        <v>2.164642</v>
      </c>
      <c r="O47" s="5">
        <v>0.429335</v>
      </c>
    </row>
    <row r="48">
      <c r="A48" s="18" t="str">
        <f>IFERROR(__xludf.DUMMYFUNCTION("""COMPUTED_VALUE"""),"Karlo Zganec")</f>
        <v>Karlo Zganec</v>
      </c>
      <c r="B48" s="19" t="str">
        <f>IFERROR(__xludf.DUMMYFUNCTION("""COMPUTED_VALUE"""),"CED")</f>
        <v>CED</v>
      </c>
      <c r="C48" s="20">
        <f>IFERROR(__xludf.DUMMYFUNCTION("""COMPUTED_VALUE"""),219.5)</f>
        <v>219.5</v>
      </c>
      <c r="D48" s="21">
        <f>IFERROR(__xludf.DUMMYFUNCTION("""COMPUTED_VALUE"""),1.1277079689809015)</f>
        <v>1.127707969</v>
      </c>
      <c r="E48" s="21">
        <f>IFERROR(__xludf.DUMMYFUNCTION("""COMPUTED_VALUE"""),0.9994725528929942)</f>
        <v>0.9994725529</v>
      </c>
      <c r="F48" s="21">
        <f>IFERROR(__xludf.DUMMYFUNCTION("""COMPUTED_VALUE"""),2.1271805218738957)</f>
        <v>2.127180522</v>
      </c>
      <c r="G48" s="23">
        <f>IFERROR(__xludf.DUMMYFUNCTION("""COMPUTED_VALUE"""),0.2740359076393282)</f>
        <v>0.2740359076</v>
      </c>
      <c r="H48" s="4"/>
      <c r="I48" s="5" t="s">
        <v>1012</v>
      </c>
      <c r="J48" s="5" t="s">
        <v>928</v>
      </c>
      <c r="K48" s="24">
        <v>220.0</v>
      </c>
      <c r="L48" s="5">
        <v>1.127708</v>
      </c>
      <c r="M48" s="5">
        <v>0.999473</v>
      </c>
      <c r="N48" s="5">
        <v>2.127181</v>
      </c>
      <c r="O48" s="5">
        <v>0.274036</v>
      </c>
    </row>
    <row r="49">
      <c r="A49" s="12" t="str">
        <f>IFERROR(__xludf.DUMMYFUNCTION("""COMPUTED_VALUE"""),"Xavi Rabaseda")</f>
        <v>Xavi Rabaseda</v>
      </c>
      <c r="B49" s="13" t="str">
        <f>IFERROR(__xludf.DUMMYFUNCTION("""COMPUTED_VALUE"""),"GCN")</f>
        <v>GCN</v>
      </c>
      <c r="C49" s="14">
        <f>IFERROR(__xludf.DUMMYFUNCTION("""COMPUTED_VALUE"""),290.9)</f>
        <v>290.9</v>
      </c>
      <c r="D49" s="15">
        <f>IFERROR(__xludf.DUMMYFUNCTION("""COMPUTED_VALUE"""),0.30108393143970025)</f>
        <v>0.3010839314</v>
      </c>
      <c r="E49" s="15">
        <f>IFERROR(__xludf.DUMMYFUNCTION("""COMPUTED_VALUE"""),1.7825167101019046)</f>
        <v>1.78251671</v>
      </c>
      <c r="F49" s="15">
        <f>IFERROR(__xludf.DUMMYFUNCTION("""COMPUTED_VALUE"""),2.083600641541605)</f>
        <v>2.083600642</v>
      </c>
      <c r="G49" s="17">
        <f>IFERROR(__xludf.DUMMYFUNCTION("""COMPUTED_VALUE"""),0.35476001437519505)</f>
        <v>0.3547600144</v>
      </c>
      <c r="H49" s="4"/>
      <c r="I49" s="5" t="s">
        <v>195</v>
      </c>
      <c r="J49" s="5" t="s">
        <v>97</v>
      </c>
      <c r="K49" s="24">
        <v>291.0</v>
      </c>
      <c r="L49" s="5">
        <v>0.301084</v>
      </c>
      <c r="M49" s="5">
        <v>1.782517</v>
      </c>
      <c r="N49" s="5">
        <v>2.083601</v>
      </c>
      <c r="O49" s="5">
        <v>0.35476</v>
      </c>
    </row>
    <row r="50">
      <c r="A50" s="18" t="str">
        <f>IFERROR(__xludf.DUMMYFUNCTION("""COMPUTED_VALUE"""),"Loukas Mavrokefalidis")</f>
        <v>Loukas Mavrokefalidis</v>
      </c>
      <c r="B50" s="19" t="str">
        <f>IFERROR(__xludf.DUMMYFUNCTION("""COMPUTED_VALUE"""),"LIE")</f>
        <v>LIE</v>
      </c>
      <c r="C50" s="20">
        <f>IFERROR(__xludf.DUMMYFUNCTION("""COMPUTED_VALUE"""),318.9)</f>
        <v>318.9</v>
      </c>
      <c r="D50" s="21">
        <f>IFERROR(__xludf.DUMMYFUNCTION("""COMPUTED_VALUE"""),2.0300972584457617)</f>
        <v>2.030097258</v>
      </c>
      <c r="E50" s="21">
        <f>IFERROR(__xludf.DUMMYFUNCTION("""COMPUTED_VALUE"""),0.03464954159850242)</f>
        <v>0.0346495416</v>
      </c>
      <c r="F50" s="21">
        <f>IFERROR(__xludf.DUMMYFUNCTION("""COMPUTED_VALUE"""),2.064746800044264)</f>
        <v>2.0647468</v>
      </c>
      <c r="G50" s="23">
        <f>IFERROR(__xludf.DUMMYFUNCTION("""COMPUTED_VALUE"""),0.3921217809193637)</f>
        <v>0.3921217809</v>
      </c>
      <c r="H50" s="4"/>
      <c r="I50" s="5" t="s">
        <v>2436</v>
      </c>
      <c r="J50" s="5" t="s">
        <v>2352</v>
      </c>
      <c r="K50" s="24">
        <v>319.0</v>
      </c>
      <c r="L50" s="5">
        <v>2.030097</v>
      </c>
      <c r="M50" s="5">
        <v>0.03465</v>
      </c>
      <c r="N50" s="5">
        <v>2.064747</v>
      </c>
      <c r="O50" s="5">
        <v>0.392122</v>
      </c>
    </row>
    <row r="51">
      <c r="A51" s="12" t="str">
        <f>IFERROR(__xludf.DUMMYFUNCTION("""COMPUTED_VALUE"""),"Dustin Hogue")</f>
        <v>Dustin Hogue</v>
      </c>
      <c r="B51" s="13" t="str">
        <f>IFERROR(__xludf.DUMMYFUNCTION("""COMPUTED_VALUE"""),"TREN")</f>
        <v>TREN</v>
      </c>
      <c r="C51" s="14">
        <f>IFERROR(__xludf.DUMMYFUNCTION("""COMPUTED_VALUE"""),194.9)</f>
        <v>194.9</v>
      </c>
      <c r="D51" s="15">
        <f>IFERROR(__xludf.DUMMYFUNCTION("""COMPUTED_VALUE"""),1.3661071377009766)</f>
        <v>1.366107138</v>
      </c>
      <c r="E51" s="15">
        <f>IFERROR(__xludf.DUMMYFUNCTION("""COMPUTED_VALUE"""),0.6920892309615085)</f>
        <v>0.692089231</v>
      </c>
      <c r="F51" s="15">
        <f>IFERROR(__xludf.DUMMYFUNCTION("""COMPUTED_VALUE"""),2.058196368662485)</f>
        <v>2.058196369</v>
      </c>
      <c r="G51" s="17">
        <f>IFERROR(__xludf.DUMMYFUNCTION("""COMPUTED_VALUE"""),0.23740922143841683)</f>
        <v>0.2374092214</v>
      </c>
      <c r="H51" s="4"/>
      <c r="I51" s="5" t="s">
        <v>2146</v>
      </c>
      <c r="J51" s="5" t="s">
        <v>2143</v>
      </c>
      <c r="K51" s="5">
        <v>195.0</v>
      </c>
      <c r="L51" s="5">
        <v>1.366107</v>
      </c>
      <c r="M51" s="5">
        <v>0.692089</v>
      </c>
      <c r="N51" s="5">
        <v>2.058196</v>
      </c>
      <c r="O51" s="5">
        <v>0.237409</v>
      </c>
    </row>
    <row r="52">
      <c r="A52" s="18" t="str">
        <f>IFERROR(__xludf.DUMMYFUNCTION("""COMPUTED_VALUE"""),"Chris Kramer")</f>
        <v>Chris Kramer</v>
      </c>
      <c r="B52" s="19" t="str">
        <f>IFERROR(__xludf.DUMMYFUNCTION("""COMPUTED_VALUE"""),"LIE")</f>
        <v>LIE</v>
      </c>
      <c r="C52" s="20">
        <f>IFERROR(__xludf.DUMMYFUNCTION("""COMPUTED_VALUE"""),423.6)</f>
        <v>423.6</v>
      </c>
      <c r="D52" s="21">
        <f>IFERROR(__xludf.DUMMYFUNCTION("""COMPUTED_VALUE"""),2.888135983720527)</f>
        <v>2.888135984</v>
      </c>
      <c r="E52" s="21">
        <f>IFERROR(__xludf.DUMMYFUNCTION("""COMPUTED_VALUE"""),-0.8932490574503635)</f>
        <v>-0.8932490575</v>
      </c>
      <c r="F52" s="21">
        <f>IFERROR(__xludf.DUMMYFUNCTION("""COMPUTED_VALUE"""),1.9948869262701634)</f>
        <v>1.994886926</v>
      </c>
      <c r="G52" s="23">
        <f>IFERROR(__xludf.DUMMYFUNCTION("""COMPUTED_VALUE"""),0.5119097390719717)</f>
        <v>0.5119097391</v>
      </c>
      <c r="H52" s="4"/>
      <c r="I52" s="5" t="s">
        <v>2399</v>
      </c>
      <c r="J52" s="5" t="s">
        <v>2352</v>
      </c>
      <c r="K52" s="24">
        <v>424.0</v>
      </c>
      <c r="L52" s="5">
        <v>2.888136</v>
      </c>
      <c r="M52" s="5">
        <v>-0.893249</v>
      </c>
      <c r="N52" s="5">
        <v>1.994887</v>
      </c>
      <c r="O52" s="5">
        <v>0.51191</v>
      </c>
    </row>
    <row r="53">
      <c r="A53" s="12" t="str">
        <f>IFERROR(__xludf.DUMMYFUNCTION("""COMPUTED_VALUE"""),"Eulis Baez")</f>
        <v>Eulis Baez</v>
      </c>
      <c r="B53" s="13" t="str">
        <f>IFERROR(__xludf.DUMMYFUNCTION("""COMPUTED_VALUE"""),"GCN")</f>
        <v>GCN</v>
      </c>
      <c r="C53" s="14">
        <f>IFERROR(__xludf.DUMMYFUNCTION("""COMPUTED_VALUE"""),326.1)</f>
        <v>326.1</v>
      </c>
      <c r="D53" s="15">
        <f>IFERROR(__xludf.DUMMYFUNCTION("""COMPUTED_VALUE"""),2.1267652361784006)</f>
        <v>2.126765236</v>
      </c>
      <c r="E53" s="15">
        <f>IFERROR(__xludf.DUMMYFUNCTION("""COMPUTED_VALUE"""),-0.13934689434085823)</f>
        <v>-0.1393468943</v>
      </c>
      <c r="F53" s="15">
        <f>IFERROR(__xludf.DUMMYFUNCTION("""COMPUTED_VALUE"""),1.9874183418375424)</f>
        <v>1.987418342</v>
      </c>
      <c r="G53" s="17">
        <f>IFERROR(__xludf.DUMMYFUNCTION("""COMPUTED_VALUE"""),0.38832046609904114)</f>
        <v>0.3883204661</v>
      </c>
      <c r="H53" s="4"/>
      <c r="I53" s="5" t="s">
        <v>204</v>
      </c>
      <c r="J53" s="5" t="s">
        <v>97</v>
      </c>
      <c r="K53" s="24">
        <v>326.0</v>
      </c>
      <c r="L53" s="5">
        <v>2.126765</v>
      </c>
      <c r="M53" s="5">
        <v>-0.139347</v>
      </c>
      <c r="N53" s="5">
        <v>1.987418</v>
      </c>
      <c r="O53" s="5">
        <v>0.38832</v>
      </c>
    </row>
    <row r="54">
      <c r="A54" s="18" t="str">
        <f>IFERROR(__xludf.DUMMYFUNCTION("""COMPUTED_VALUE"""),"Nicolas Laprovittola")</f>
        <v>Nicolas Laprovittola</v>
      </c>
      <c r="B54" s="19" t="str">
        <f>IFERROR(__xludf.DUMMYFUNCTION("""COMPUTED_VALUE"""),"ZEN")</f>
        <v>ZEN</v>
      </c>
      <c r="C54" s="20">
        <f>IFERROR(__xludf.DUMMYFUNCTION("""COMPUTED_VALUE"""),120.2)</f>
        <v>120.2</v>
      </c>
      <c r="D54" s="21">
        <f>IFERROR(__xludf.DUMMYFUNCTION("""COMPUTED_VALUE"""),2.0749707814821368)</f>
        <v>2.074970781</v>
      </c>
      <c r="E54" s="21">
        <f>IFERROR(__xludf.DUMMYFUNCTION("""COMPUTED_VALUE"""),-0.09306617936651618)</f>
        <v>-0.09306617937</v>
      </c>
      <c r="F54" s="21">
        <f>IFERROR(__xludf.DUMMYFUNCTION("""COMPUTED_VALUE"""),1.9819046021156206)</f>
        <v>1.981904602</v>
      </c>
      <c r="G54" s="23">
        <f>IFERROR(__xludf.DUMMYFUNCTION("""COMPUTED_VALUE"""),0.14592223572387122)</f>
        <v>0.1459222357</v>
      </c>
      <c r="H54" s="4"/>
      <c r="I54" s="5" t="s">
        <v>232</v>
      </c>
      <c r="J54" s="5" t="s">
        <v>2816</v>
      </c>
      <c r="K54" s="24">
        <v>120.0</v>
      </c>
      <c r="L54" s="5">
        <v>2.074971</v>
      </c>
      <c r="M54" s="5">
        <v>-0.093066</v>
      </c>
      <c r="N54" s="5">
        <v>1.981905</v>
      </c>
      <c r="O54" s="5">
        <v>0.145922</v>
      </c>
    </row>
    <row r="55">
      <c r="A55" s="12" t="str">
        <f>IFERROR(__xludf.DUMMYFUNCTION("""COMPUTED_VALUE"""),"Alex Mumbru")</f>
        <v>Alex Mumbru</v>
      </c>
      <c r="B55" s="13" t="str">
        <f>IFERROR(__xludf.DUMMYFUNCTION("""COMPUTED_VALUE"""),"BBB")</f>
        <v>BBB</v>
      </c>
      <c r="C55" s="14">
        <f>IFERROR(__xludf.DUMMYFUNCTION("""COMPUTED_VALUE"""),227.1)</f>
        <v>227.1</v>
      </c>
      <c r="D55" s="15">
        <f>IFERROR(__xludf.DUMMYFUNCTION("""COMPUTED_VALUE"""),3.7892810307475253)</f>
        <v>3.789281031</v>
      </c>
      <c r="E55" s="15">
        <f>IFERROR(__xludf.DUMMYFUNCTION("""COMPUTED_VALUE"""),-1.81770084772087)</f>
        <v>-1.817700848</v>
      </c>
      <c r="F55" s="15">
        <f>IFERROR(__xludf.DUMMYFUNCTION("""COMPUTED_VALUE"""),1.9715801830266553)</f>
        <v>1.971580183</v>
      </c>
      <c r="G55" s="17">
        <f>IFERROR(__xludf.DUMMYFUNCTION("""COMPUTED_VALUE"""),0.27496974528266066)</f>
        <v>0.2749697453</v>
      </c>
      <c r="H55" s="4"/>
      <c r="I55" s="5" t="s">
        <v>516</v>
      </c>
      <c r="J55" s="5" t="s">
        <v>113</v>
      </c>
      <c r="K55" s="24">
        <v>227.0</v>
      </c>
      <c r="L55" s="5">
        <v>3.789281</v>
      </c>
      <c r="M55" s="5">
        <v>-1.817701</v>
      </c>
      <c r="N55" s="5">
        <v>1.97158</v>
      </c>
      <c r="O55" s="5">
        <v>0.27497</v>
      </c>
    </row>
    <row r="56">
      <c r="A56" s="18" t="str">
        <f>IFERROR(__xludf.DUMMYFUNCTION("""COMPUTED_VALUE"""),"Trent Lockett")</f>
        <v>Trent Lockett</v>
      </c>
      <c r="B56" s="19" t="str">
        <f>IFERROR(__xludf.DUMMYFUNCTION("""COMPUTED_VALUE"""),"UNI")</f>
        <v>UNI</v>
      </c>
      <c r="C56" s="20">
        <f>IFERROR(__xludf.DUMMYFUNCTION("""COMPUTED_VALUE"""),512.1)</f>
        <v>512.1</v>
      </c>
      <c r="D56" s="21">
        <f>IFERROR(__xludf.DUMMYFUNCTION("""COMPUTED_VALUE"""),-0.5883104498005263)</f>
        <v>-0.5883104498</v>
      </c>
      <c r="E56" s="21">
        <f>IFERROR(__xludf.DUMMYFUNCTION("""COMPUTED_VALUE"""),2.432514514666586)</f>
        <v>2.432514515</v>
      </c>
      <c r="F56" s="21">
        <f>IFERROR(__xludf.DUMMYFUNCTION("""COMPUTED_VALUE"""),1.8442040648660596)</f>
        <v>1.844204065</v>
      </c>
      <c r="G56" s="23">
        <f>IFERROR(__xludf.DUMMYFUNCTION("""COMPUTED_VALUE"""),0.5923934293750439)</f>
        <v>0.5923934294</v>
      </c>
      <c r="H56" s="4"/>
      <c r="I56" s="5" t="s">
        <v>2792</v>
      </c>
      <c r="J56" s="5" t="s">
        <v>22</v>
      </c>
      <c r="K56" s="24">
        <v>512.0</v>
      </c>
      <c r="L56" s="5">
        <v>-0.58831</v>
      </c>
      <c r="M56" s="5">
        <v>2.432515</v>
      </c>
      <c r="N56" s="5">
        <v>1.844204</v>
      </c>
      <c r="O56" s="5">
        <v>0.592393</v>
      </c>
    </row>
    <row r="57">
      <c r="A57" s="12" t="str">
        <f>IFERROR(__xludf.DUMMYFUNCTION("""COMPUTED_VALUE"""),"Charles Lombahe-Kahudi")</f>
        <v>Charles Lombahe-Kahudi</v>
      </c>
      <c r="B57" s="13" t="str">
        <f>IFERROR(__xludf.DUMMYFUNCTION("""COMPUTED_VALUE"""),"LYV")</f>
        <v>LYV</v>
      </c>
      <c r="C57" s="14">
        <f>IFERROR(__xludf.DUMMYFUNCTION("""COMPUTED_VALUE"""),408.6)</f>
        <v>408.6</v>
      </c>
      <c r="D57" s="15">
        <f>IFERROR(__xludf.DUMMYFUNCTION("""COMPUTED_VALUE"""),0.5646221301720618)</f>
        <v>0.5646221302</v>
      </c>
      <c r="E57" s="15">
        <f>IFERROR(__xludf.DUMMYFUNCTION("""COMPUTED_VALUE"""),1.2703409572005093)</f>
        <v>1.270340957</v>
      </c>
      <c r="F57" s="15">
        <f>IFERROR(__xludf.DUMMYFUNCTION("""COMPUTED_VALUE"""),1.834963087372571)</f>
        <v>1.834963087</v>
      </c>
      <c r="G57" s="17">
        <f>IFERROR(__xludf.DUMMYFUNCTION("""COMPUTED_VALUE"""),0.48848007303993723)</f>
        <v>0.488480073</v>
      </c>
      <c r="H57" s="4"/>
      <c r="I57" s="5" t="s">
        <v>1446</v>
      </c>
      <c r="J57" s="5" t="s">
        <v>1342</v>
      </c>
      <c r="K57" s="24">
        <v>409.0</v>
      </c>
      <c r="L57" s="5">
        <v>0.564622</v>
      </c>
      <c r="M57" s="5">
        <v>1.270341</v>
      </c>
      <c r="N57" s="5">
        <v>1.834963</v>
      </c>
      <c r="O57" s="5">
        <v>0.48848</v>
      </c>
    </row>
    <row r="58">
      <c r="A58" s="18" t="str">
        <f>IFERROR(__xludf.DUMMYFUNCTION("""COMPUTED_VALUE"""),"Mickell Gladness")</f>
        <v>Mickell Gladness</v>
      </c>
      <c r="B58" s="19" t="str">
        <f>IFERROR(__xludf.DUMMYFUNCTION("""COMPUTED_VALUE"""),"BBB")</f>
        <v>BBB</v>
      </c>
      <c r="C58" s="20">
        <f>IFERROR(__xludf.DUMMYFUNCTION("""COMPUTED_VALUE"""),202.7)</f>
        <v>202.7</v>
      </c>
      <c r="D58" s="21">
        <f>IFERROR(__xludf.DUMMYFUNCTION("""COMPUTED_VALUE"""),1.7933164395157306)</f>
        <v>1.79331644</v>
      </c>
      <c r="E58" s="21">
        <f>IFERROR(__xludf.DUMMYFUNCTION("""COMPUTED_VALUE"""),0.022295869824503933)</f>
        <v>0.02229586982</v>
      </c>
      <c r="F58" s="21">
        <f>IFERROR(__xludf.DUMMYFUNCTION("""COMPUTED_VALUE"""),1.8156123093402345)</f>
        <v>1.815612309</v>
      </c>
      <c r="G58" s="23">
        <f>IFERROR(__xludf.DUMMYFUNCTION("""COMPUTED_VALUE"""),0.23578839811157778)</f>
        <v>0.2357883981</v>
      </c>
      <c r="H58" s="4"/>
      <c r="I58" s="5" t="s">
        <v>563</v>
      </c>
      <c r="J58" s="5" t="s">
        <v>113</v>
      </c>
      <c r="K58" s="5">
        <v>203.0</v>
      </c>
      <c r="L58" s="5">
        <v>1.793316</v>
      </c>
      <c r="M58" s="5">
        <v>0.022296</v>
      </c>
      <c r="N58" s="5">
        <v>1.815612</v>
      </c>
      <c r="O58" s="5">
        <v>0.235788</v>
      </c>
    </row>
    <row r="59">
      <c r="A59" s="12" t="str">
        <f>IFERROR(__xludf.DUMMYFUNCTION("""COMPUTED_VALUE"""),"Betinho Gomes")</f>
        <v>Betinho Gomes</v>
      </c>
      <c r="B59" s="13" t="str">
        <f>IFERROR(__xludf.DUMMYFUNCTION("""COMPUTED_VALUE"""),"TREN")</f>
        <v>TREN</v>
      </c>
      <c r="C59" s="14">
        <f>IFERROR(__xludf.DUMMYFUNCTION("""COMPUTED_VALUE"""),444.8)</f>
        <v>444.8</v>
      </c>
      <c r="D59" s="15">
        <f>IFERROR(__xludf.DUMMYFUNCTION("""COMPUTED_VALUE"""),-0.3019379252615893)</f>
        <v>-0.3019379253</v>
      </c>
      <c r="E59" s="15">
        <f>IFERROR(__xludf.DUMMYFUNCTION("""COMPUTED_VALUE"""),2.1083212745654203)</f>
        <v>2.108321275</v>
      </c>
      <c r="F59" s="15">
        <f>IFERROR(__xludf.DUMMYFUNCTION("""COMPUTED_VALUE"""),1.806383349303831)</f>
        <v>1.806383349</v>
      </c>
      <c r="G59" s="17">
        <f>IFERROR(__xludf.DUMMYFUNCTION("""COMPUTED_VALUE"""),0.5081945347695017)</f>
        <v>0.5081945348</v>
      </c>
      <c r="H59" s="4"/>
      <c r="I59" s="5" t="s">
        <v>2285</v>
      </c>
      <c r="J59" s="5" t="s">
        <v>2143</v>
      </c>
      <c r="K59" s="24">
        <v>445.0</v>
      </c>
      <c r="L59" s="5">
        <v>-0.301938</v>
      </c>
      <c r="M59" s="5">
        <v>2.108321</v>
      </c>
      <c r="N59" s="5">
        <v>1.806383</v>
      </c>
      <c r="O59" s="5">
        <v>0.508195</v>
      </c>
    </row>
    <row r="60">
      <c r="A60" s="18" t="str">
        <f>IFERROR(__xludf.DUMMYFUNCTION("""COMPUTED_VALUE"""),"Kyle Kuric")</f>
        <v>Kyle Kuric</v>
      </c>
      <c r="B60" s="19" t="str">
        <f>IFERROR(__xludf.DUMMYFUNCTION("""COMPUTED_VALUE"""),"ZEN")</f>
        <v>ZEN</v>
      </c>
      <c r="C60" s="20">
        <f>IFERROR(__xludf.DUMMYFUNCTION("""COMPUTED_VALUE"""),469.6)</f>
        <v>469.6</v>
      </c>
      <c r="D60" s="21">
        <f>IFERROR(__xludf.DUMMYFUNCTION("""COMPUTED_VALUE"""),4.188813966363551)</f>
        <v>4.188813966</v>
      </c>
      <c r="E60" s="21">
        <f>IFERROR(__xludf.DUMMYFUNCTION("""COMPUTED_VALUE"""),-2.3867802007344476)</f>
        <v>-2.386780201</v>
      </c>
      <c r="F60" s="21">
        <f>IFERROR(__xludf.DUMMYFUNCTION("""COMPUTED_VALUE"""),1.802033765629103)</f>
        <v>1.802033766</v>
      </c>
      <c r="G60" s="23">
        <f>IFERROR(__xludf.DUMMYFUNCTION("""COMPUTED_VALUE"""),0.5443399562010448)</f>
        <v>0.5443399562</v>
      </c>
      <c r="H60" s="4"/>
      <c r="I60" s="5" t="s">
        <v>2844</v>
      </c>
      <c r="J60" s="5" t="s">
        <v>2816</v>
      </c>
      <c r="K60" s="24">
        <v>470.0</v>
      </c>
      <c r="L60" s="5">
        <v>4.188814</v>
      </c>
      <c r="M60" s="5">
        <v>-2.38678</v>
      </c>
      <c r="N60" s="5">
        <v>1.802034</v>
      </c>
      <c r="O60" s="5">
        <v>0.54434</v>
      </c>
    </row>
    <row r="61">
      <c r="A61" s="12" t="str">
        <f>IFERROR(__xludf.DUMMYFUNCTION("""COMPUTED_VALUE"""),"Sergey Karasev")</f>
        <v>Sergey Karasev</v>
      </c>
      <c r="B61" s="13" t="str">
        <f>IFERROR(__xludf.DUMMYFUNCTION("""COMPUTED_VALUE"""),"ZEN")</f>
        <v>ZEN</v>
      </c>
      <c r="C61" s="14">
        <f>IFERROR(__xludf.DUMMYFUNCTION("""COMPUTED_VALUE"""),510.6)</f>
        <v>510.6</v>
      </c>
      <c r="D61" s="15">
        <f>IFERROR(__xludf.DUMMYFUNCTION("""COMPUTED_VALUE"""),2.5910121973133564)</f>
        <v>2.591012197</v>
      </c>
      <c r="E61" s="15">
        <f>IFERROR(__xludf.DUMMYFUNCTION("""COMPUTED_VALUE"""),-0.8247334436566498)</f>
        <v>-0.8247334437</v>
      </c>
      <c r="F61" s="15">
        <f>IFERROR(__xludf.DUMMYFUNCTION("""COMPUTED_VALUE"""),1.7662787536567066)</f>
        <v>1.766278754</v>
      </c>
      <c r="G61" s="17">
        <f>IFERROR(__xludf.DUMMYFUNCTION("""COMPUTED_VALUE"""),0.5862993693954618)</f>
        <v>0.5862993694</v>
      </c>
      <c r="H61" s="4"/>
      <c r="I61" s="5" t="s">
        <v>2880</v>
      </c>
      <c r="J61" s="5" t="s">
        <v>2816</v>
      </c>
      <c r="K61" s="24">
        <v>511.0</v>
      </c>
      <c r="L61" s="5">
        <v>2.591012</v>
      </c>
      <c r="M61" s="5">
        <v>-0.824733</v>
      </c>
      <c r="N61" s="5">
        <v>1.766279</v>
      </c>
      <c r="O61" s="5">
        <v>0.586299</v>
      </c>
    </row>
    <row r="62">
      <c r="A62" s="18" t="str">
        <f>IFERROR(__xludf.DUMMYFUNCTION("""COMPUTED_VALUE"""),"Alpha Kaba")</f>
        <v>Alpha Kaba</v>
      </c>
      <c r="B62" s="19" t="str">
        <f>IFERROR(__xludf.DUMMYFUNCTION("""COMPUTED_VALUE"""),"LYV")</f>
        <v>LYV</v>
      </c>
      <c r="C62" s="20">
        <f>IFERROR(__xludf.DUMMYFUNCTION("""COMPUTED_VALUE"""),248.2)</f>
        <v>248.2</v>
      </c>
      <c r="D62" s="21">
        <f>IFERROR(__xludf.DUMMYFUNCTION("""COMPUTED_VALUE"""),-0.8982860839204517)</f>
        <v>-0.8982860839</v>
      </c>
      <c r="E62" s="21">
        <f>IFERROR(__xludf.DUMMYFUNCTION("""COMPUTED_VALUE"""),2.617163501055546)</f>
        <v>2.617163501</v>
      </c>
      <c r="F62" s="21">
        <f>IFERROR(__xludf.DUMMYFUNCTION("""COMPUTED_VALUE"""),1.7188774171350945)</f>
        <v>1.718877417</v>
      </c>
      <c r="G62" s="23">
        <f>IFERROR(__xludf.DUMMYFUNCTION("""COMPUTED_VALUE"""),0.287740465526002)</f>
        <v>0.2877404655</v>
      </c>
      <c r="H62" s="4"/>
      <c r="I62" s="5" t="s">
        <v>1341</v>
      </c>
      <c r="J62" s="5" t="s">
        <v>1342</v>
      </c>
      <c r="K62" s="24">
        <v>248.0</v>
      </c>
      <c r="L62" s="5">
        <v>-0.898286</v>
      </c>
      <c r="M62" s="5">
        <v>2.617164</v>
      </c>
      <c r="N62" s="5">
        <v>1.718877</v>
      </c>
      <c r="O62" s="5">
        <v>0.28774</v>
      </c>
    </row>
    <row r="63">
      <c r="A63" s="12" t="str">
        <f>IFERROR(__xludf.DUMMYFUNCTION("""COMPUTED_VALUE"""),"Egidijus Mockevicius")</f>
        <v>Egidijus Mockevicius</v>
      </c>
      <c r="B63" s="13" t="str">
        <f>IFERROR(__xludf.DUMMYFUNCTION("""COMPUTED_VALUE"""),"LIE")</f>
        <v>LIE</v>
      </c>
      <c r="C63" s="14">
        <f>IFERROR(__xludf.DUMMYFUNCTION("""COMPUTED_VALUE"""),113.7)</f>
        <v>113.7</v>
      </c>
      <c r="D63" s="15">
        <f>IFERROR(__xludf.DUMMYFUNCTION("""COMPUTED_VALUE"""),1.138369871541903)</f>
        <v>1.138369872</v>
      </c>
      <c r="E63" s="15">
        <f>IFERROR(__xludf.DUMMYFUNCTION("""COMPUTED_VALUE"""),0.5451069942322189)</f>
        <v>0.5451069942</v>
      </c>
      <c r="F63" s="15">
        <f>IFERROR(__xludf.DUMMYFUNCTION("""COMPUTED_VALUE"""),1.683476865774122)</f>
        <v>1.683476866</v>
      </c>
      <c r="G63" s="17">
        <f>IFERROR(__xludf.DUMMYFUNCTION("""COMPUTED_VALUE"""),0.12669263260160363)</f>
        <v>0.1266926326</v>
      </c>
      <c r="H63" s="4"/>
      <c r="I63" s="5" t="s">
        <v>2468</v>
      </c>
      <c r="J63" s="5" t="s">
        <v>2352</v>
      </c>
      <c r="K63" s="24">
        <v>114.0</v>
      </c>
      <c r="L63" s="5">
        <v>1.13837</v>
      </c>
      <c r="M63" s="5">
        <v>0.545107</v>
      </c>
      <c r="N63" s="5">
        <v>1.683477</v>
      </c>
      <c r="O63" s="5">
        <v>0.126693</v>
      </c>
    </row>
    <row r="64">
      <c r="A64" s="18" t="str">
        <f>IFERROR(__xludf.DUMMYFUNCTION("""COMPUTED_VALUE"""),"Arturas Jomantas")</f>
        <v>Arturas Jomantas</v>
      </c>
      <c r="B64" s="19" t="str">
        <f>IFERROR(__xludf.DUMMYFUNCTION("""COMPUTED_VALUE"""),"LIE")</f>
        <v>LIE</v>
      </c>
      <c r="C64" s="20">
        <f>IFERROR(__xludf.DUMMYFUNCTION("""COMPUTED_VALUE"""),196.4)</f>
        <v>196.4</v>
      </c>
      <c r="D64" s="21">
        <f>IFERROR(__xludf.DUMMYFUNCTION("""COMPUTED_VALUE"""),0.6159593264147638)</f>
        <v>0.6159593264</v>
      </c>
      <c r="E64" s="21">
        <f>IFERROR(__xludf.DUMMYFUNCTION("""COMPUTED_VALUE"""),1.065496919974182)</f>
        <v>1.06549692</v>
      </c>
      <c r="F64" s="21">
        <f>IFERROR(__xludf.DUMMYFUNCTION("""COMPUTED_VALUE"""),1.6814562463889458)</f>
        <v>1.681456246</v>
      </c>
      <c r="G64" s="23">
        <f>IFERROR(__xludf.DUMMYFUNCTION("""COMPUTED_VALUE"""),0.21872280966618965)</f>
        <v>0.2187228097</v>
      </c>
      <c r="H64" s="4"/>
      <c r="I64" s="5" t="s">
        <v>2369</v>
      </c>
      <c r="J64" s="5" t="s">
        <v>2352</v>
      </c>
      <c r="K64" s="24">
        <v>196.0</v>
      </c>
      <c r="L64" s="5">
        <v>0.615959</v>
      </c>
      <c r="M64" s="5">
        <v>1.065497</v>
      </c>
      <c r="N64" s="5">
        <v>1.681456</v>
      </c>
      <c r="O64" s="5">
        <v>0.218723</v>
      </c>
    </row>
    <row r="65">
      <c r="A65" s="12" t="str">
        <f>IFERROR(__xludf.DUMMYFUNCTION("""COMPUTED_VALUE"""),"Mindaugas Lukauskis")</f>
        <v>Mindaugas Lukauskis</v>
      </c>
      <c r="B65" s="13" t="str">
        <f>IFERROR(__xludf.DUMMYFUNCTION("""COMPUTED_VALUE"""),"LIE")</f>
        <v>LIE</v>
      </c>
      <c r="C65" s="14">
        <f>IFERROR(__xludf.DUMMYFUNCTION("""COMPUTED_VALUE"""),198.1)</f>
        <v>198.1</v>
      </c>
      <c r="D65" s="15">
        <f>IFERROR(__xludf.DUMMYFUNCTION("""COMPUTED_VALUE"""),0.6742080462033916)</f>
        <v>0.6742080462</v>
      </c>
      <c r="E65" s="15">
        <f>IFERROR(__xludf.DUMMYFUNCTION("""COMPUTED_VALUE"""),0.9680005804132256)</f>
        <v>0.9680005804</v>
      </c>
      <c r="F65" s="15">
        <f>IFERROR(__xludf.DUMMYFUNCTION("""COMPUTED_VALUE"""),1.6422086266166172)</f>
        <v>1.642208627</v>
      </c>
      <c r="G65" s="17">
        <f>IFERROR(__xludf.DUMMYFUNCTION("""COMPUTED_VALUE"""),0.2182640671176774)</f>
        <v>0.2182640671</v>
      </c>
      <c r="H65" s="4"/>
      <c r="I65" s="5" t="s">
        <v>2384</v>
      </c>
      <c r="J65" s="5" t="s">
        <v>2352</v>
      </c>
      <c r="K65" s="24">
        <v>198.0</v>
      </c>
      <c r="L65" s="5">
        <v>0.674208</v>
      </c>
      <c r="M65" s="5">
        <v>0.968001</v>
      </c>
      <c r="N65" s="5">
        <v>1.642209</v>
      </c>
      <c r="O65" s="5">
        <v>0.218264</v>
      </c>
    </row>
    <row r="66">
      <c r="A66" s="18" t="str">
        <f>IFERROR(__xludf.DUMMYFUNCTION("""COMPUTED_VALUE"""),"Furkan Aldemir")</f>
        <v>Furkan Aldemir</v>
      </c>
      <c r="B66" s="19" t="str">
        <f>IFERROR(__xludf.DUMMYFUNCTION("""COMPUTED_VALUE"""),"DBI")</f>
        <v>DBI</v>
      </c>
      <c r="C66" s="20">
        <f>IFERROR(__xludf.DUMMYFUNCTION("""COMPUTED_VALUE"""),247.7)</f>
        <v>247.7</v>
      </c>
      <c r="D66" s="21">
        <f>IFERROR(__xludf.DUMMYFUNCTION("""COMPUTED_VALUE"""),-0.6787474729733056)</f>
        <v>-0.678747473</v>
      </c>
      <c r="E66" s="21">
        <f>IFERROR(__xludf.DUMMYFUNCTION("""COMPUTED_VALUE"""),2.18677188494532)</f>
        <v>2.186771885</v>
      </c>
      <c r="F66" s="21">
        <f>IFERROR(__xludf.DUMMYFUNCTION("""COMPUTED_VALUE"""),1.508024411972014)</f>
        <v>1.508024412</v>
      </c>
      <c r="G66" s="23">
        <f>IFERROR(__xludf.DUMMYFUNCTION("""COMPUTED_VALUE"""),0.2619374986722729)</f>
        <v>0.2619374987</v>
      </c>
      <c r="H66" s="4"/>
      <c r="I66" s="5" t="s">
        <v>1902</v>
      </c>
      <c r="J66" s="5" t="s">
        <v>1884</v>
      </c>
      <c r="K66" s="24">
        <v>248.0</v>
      </c>
      <c r="L66" s="5">
        <v>-0.678747</v>
      </c>
      <c r="M66" s="5">
        <v>2.186772</v>
      </c>
      <c r="N66" s="5">
        <v>1.508024</v>
      </c>
      <c r="O66" s="5">
        <v>0.261937</v>
      </c>
    </row>
    <row r="67">
      <c r="A67" s="12" t="str">
        <f>IFERROR(__xludf.DUMMYFUNCTION("""COMPUTED_VALUE"""),"Stanton Kidd")</f>
        <v>Stanton Kidd</v>
      </c>
      <c r="B67" s="13" t="str">
        <f>IFERROR(__xludf.DUMMYFUNCTION("""COMPUTED_VALUE"""),"DBI")</f>
        <v>DBI</v>
      </c>
      <c r="C67" s="14">
        <f>IFERROR(__xludf.DUMMYFUNCTION("""COMPUTED_VALUE"""),376.0)</f>
        <v>376</v>
      </c>
      <c r="D67" s="15">
        <f>IFERROR(__xludf.DUMMYFUNCTION("""COMPUTED_VALUE"""),-0.32095954552789013)</f>
        <v>-0.3209595455</v>
      </c>
      <c r="E67" s="15">
        <f>IFERROR(__xludf.DUMMYFUNCTION("""COMPUTED_VALUE"""),1.7592968835210838)</f>
        <v>1.759296884</v>
      </c>
      <c r="F67" s="15">
        <f>IFERROR(__xludf.DUMMYFUNCTION("""COMPUTED_VALUE"""),1.4383373379931936)</f>
        <v>1.438337338</v>
      </c>
      <c r="G67" s="17">
        <f>IFERROR(__xludf.DUMMYFUNCTION("""COMPUTED_VALUE"""),0.3897134465583358)</f>
        <v>0.3897134466</v>
      </c>
      <c r="H67" s="4"/>
      <c r="I67" s="5" t="s">
        <v>1883</v>
      </c>
      <c r="J67" s="5" t="s">
        <v>1884</v>
      </c>
      <c r="K67" s="24">
        <v>376.0</v>
      </c>
      <c r="L67" s="5">
        <v>-0.32096</v>
      </c>
      <c r="M67" s="5">
        <v>1.759297</v>
      </c>
      <c r="N67" s="5">
        <v>1.438337</v>
      </c>
      <c r="O67" s="5">
        <v>0.389713</v>
      </c>
    </row>
    <row r="68">
      <c r="A68" s="18" t="str">
        <f>IFERROR(__xludf.DUMMYFUNCTION("""COMPUTED_VALUE"""),"Vladimir Jankovic")</f>
        <v>Vladimir Jankovic</v>
      </c>
      <c r="B68" s="19" t="str">
        <f>IFERROR(__xludf.DUMMYFUNCTION("""COMPUTED_VALUE"""),"AND")</f>
        <v>AND</v>
      </c>
      <c r="C68" s="20">
        <f>IFERROR(__xludf.DUMMYFUNCTION("""COMPUTED_VALUE"""),168.7)</f>
        <v>168.7</v>
      </c>
      <c r="D68" s="21">
        <f>IFERROR(__xludf.DUMMYFUNCTION("""COMPUTED_VALUE"""),0.5607823128322093)</f>
        <v>0.5607823128</v>
      </c>
      <c r="E68" s="21">
        <f>IFERROR(__xludf.DUMMYFUNCTION("""COMPUTED_VALUE"""),0.8458248728477679)</f>
        <v>0.8458248728</v>
      </c>
      <c r="F68" s="21">
        <f>IFERROR(__xludf.DUMMYFUNCTION("""COMPUTED_VALUE"""),1.4066071856799771)</f>
        <v>1.406607186</v>
      </c>
      <c r="G68" s="23">
        <f>IFERROR(__xludf.DUMMYFUNCTION("""COMPUTED_VALUE"""),0.17522053914409505)</f>
        <v>0.1752205391</v>
      </c>
      <c r="H68" s="4"/>
      <c r="I68" s="5" t="s">
        <v>88</v>
      </c>
      <c r="J68" s="5" t="s">
        <v>89</v>
      </c>
      <c r="K68" s="5">
        <v>169.0</v>
      </c>
      <c r="L68" s="5">
        <v>0.560782</v>
      </c>
      <c r="M68" s="5">
        <v>0.845825</v>
      </c>
      <c r="N68" s="5">
        <v>1.406607</v>
      </c>
      <c r="O68" s="5">
        <v>0.175221</v>
      </c>
    </row>
    <row r="69">
      <c r="A69" s="12" t="str">
        <f>IFERROR(__xludf.DUMMYFUNCTION("""COMPUTED_VALUE"""),"Alex Renfroe")</f>
        <v>Alex Renfroe</v>
      </c>
      <c r="B69" s="13" t="str">
        <f>IFERROR(__xludf.DUMMYFUNCTION("""COMPUTED_VALUE"""),"GAL")</f>
        <v>GAL</v>
      </c>
      <c r="C69" s="14">
        <f>IFERROR(__xludf.DUMMYFUNCTION("""COMPUTED_VALUE"""),404.3)</f>
        <v>404.3</v>
      </c>
      <c r="D69" s="15">
        <f>IFERROR(__xludf.DUMMYFUNCTION("""COMPUTED_VALUE"""),-0.08835060377465109)</f>
        <v>-0.08835060377</v>
      </c>
      <c r="E69" s="15">
        <f>IFERROR(__xludf.DUMMYFUNCTION("""COMPUTED_VALUE"""),1.3729003043581716)</f>
        <v>1.372900304</v>
      </c>
      <c r="F69" s="15">
        <f>IFERROR(__xludf.DUMMYFUNCTION("""COMPUTED_VALUE"""),1.2845497005835205)</f>
        <v>1.284549701</v>
      </c>
      <c r="G69" s="17">
        <f>IFERROR(__xludf.DUMMYFUNCTION("""COMPUTED_VALUE"""),0.3898163320172804)</f>
        <v>0.389816332</v>
      </c>
      <c r="H69" s="4"/>
      <c r="I69" s="5" t="s">
        <v>1891</v>
      </c>
      <c r="J69" s="5" t="s">
        <v>1592</v>
      </c>
      <c r="K69" s="24">
        <v>404.0</v>
      </c>
      <c r="L69" s="5">
        <v>-0.088351</v>
      </c>
      <c r="M69" s="5">
        <v>1.3729</v>
      </c>
      <c r="N69" s="5">
        <v>1.28455</v>
      </c>
      <c r="O69" s="5">
        <v>0.389816</v>
      </c>
    </row>
    <row r="70">
      <c r="A70" s="18" t="str">
        <f>IFERROR(__xludf.DUMMYFUNCTION("""COMPUTED_VALUE"""),"Muhammed Baygul")</f>
        <v>Muhammed Baygul</v>
      </c>
      <c r="B70" s="19" t="str">
        <f>IFERROR(__xludf.DUMMYFUNCTION("""COMPUTED_VALUE"""),"DBI")</f>
        <v>DBI</v>
      </c>
      <c r="C70" s="20">
        <f>IFERROR(__xludf.DUMMYFUNCTION("""COMPUTED_VALUE"""),198.8)</f>
        <v>198.8</v>
      </c>
      <c r="D70" s="21">
        <f>IFERROR(__xludf.DUMMYFUNCTION("""COMPUTED_VALUE"""),0.012904471076941294)</f>
        <v>0.01290447108</v>
      </c>
      <c r="E70" s="21">
        <f>IFERROR(__xludf.DUMMYFUNCTION("""COMPUTED_VALUE"""),1.2695560326198527)</f>
        <v>1.269556033</v>
      </c>
      <c r="F70" s="21">
        <f>IFERROR(__xludf.DUMMYFUNCTION("""COMPUTED_VALUE"""),1.282460503696794)</f>
        <v>1.282460504</v>
      </c>
      <c r="G70" s="23">
        <f>IFERROR(__xludf.DUMMYFUNCTION("""COMPUTED_VALUE"""),0.1967093266055449)</f>
        <v>0.1967093266</v>
      </c>
      <c r="H70" s="4"/>
      <c r="I70" s="5" t="s">
        <v>2063</v>
      </c>
      <c r="J70" s="5" t="s">
        <v>1884</v>
      </c>
      <c r="K70" s="24">
        <v>199.0</v>
      </c>
      <c r="L70" s="5">
        <v>0.012904</v>
      </c>
      <c r="M70" s="5">
        <v>1.269556</v>
      </c>
      <c r="N70" s="5">
        <v>1.282461</v>
      </c>
      <c r="O70" s="5">
        <v>0.196709</v>
      </c>
    </row>
    <row r="71">
      <c r="A71" s="12" t="str">
        <f>IFERROR(__xludf.DUMMYFUNCTION("""COMPUTED_VALUE"""),"Melvin Ejim")</f>
        <v>Melvin Ejim</v>
      </c>
      <c r="B71" s="13" t="str">
        <f>IFERROR(__xludf.DUMMYFUNCTION("""COMPUTED_VALUE"""),"UNI")</f>
        <v>UNI</v>
      </c>
      <c r="C71" s="14">
        <f>IFERROR(__xludf.DUMMYFUNCTION("""COMPUTED_VALUE"""),469.0)</f>
        <v>469</v>
      </c>
      <c r="D71" s="15">
        <f>IFERROR(__xludf.DUMMYFUNCTION("""COMPUTED_VALUE"""),-0.4029481967260898)</f>
        <v>-0.4029481967</v>
      </c>
      <c r="E71" s="15">
        <f>IFERROR(__xludf.DUMMYFUNCTION("""COMPUTED_VALUE"""),1.6257203487821383)</f>
        <v>1.625720349</v>
      </c>
      <c r="F71" s="15">
        <f>IFERROR(__xludf.DUMMYFUNCTION("""COMPUTED_VALUE"""),1.2227721520560486)</f>
        <v>1.222772152</v>
      </c>
      <c r="G71" s="17">
        <f>IFERROR(__xludf.DUMMYFUNCTION("""COMPUTED_VALUE"""),0.4548324777790854)</f>
        <v>0.4548324778</v>
      </c>
      <c r="H71" s="4"/>
      <c r="I71" s="5" t="s">
        <v>2834</v>
      </c>
      <c r="J71" s="5" t="s">
        <v>22</v>
      </c>
      <c r="K71" s="24">
        <v>469.0</v>
      </c>
      <c r="L71" s="5">
        <v>-0.402948</v>
      </c>
      <c r="M71" s="5">
        <v>1.62572</v>
      </c>
      <c r="N71" s="5">
        <v>1.222772</v>
      </c>
      <c r="O71" s="5">
        <v>0.454832</v>
      </c>
    </row>
    <row r="72">
      <c r="A72" s="18" t="str">
        <f>IFERROR(__xludf.DUMMYFUNCTION("""COMPUTED_VALUE"""),"David Lighty")</f>
        <v>David Lighty</v>
      </c>
      <c r="B72" s="19" t="str">
        <f>IFERROR(__xludf.DUMMYFUNCTION("""COMPUTED_VALUE"""),"LYV")</f>
        <v>LYV</v>
      </c>
      <c r="C72" s="20">
        <f>IFERROR(__xludf.DUMMYFUNCTION("""COMPUTED_VALUE"""),404.0)</f>
        <v>404</v>
      </c>
      <c r="D72" s="21">
        <f>IFERROR(__xludf.DUMMYFUNCTION("""COMPUTED_VALUE"""),1.12730790965027)</f>
        <v>1.12730791</v>
      </c>
      <c r="E72" s="21">
        <f>IFERROR(__xludf.DUMMYFUNCTION("""COMPUTED_VALUE"""),0.07483126784133964)</f>
        <v>0.07483126784</v>
      </c>
      <c r="F72" s="21">
        <f>IFERROR(__xludf.DUMMYFUNCTION("""COMPUTED_VALUE"""),1.2021391774916097)</f>
        <v>1.202139177</v>
      </c>
      <c r="G72" s="23">
        <f>IFERROR(__xludf.DUMMYFUNCTION("""COMPUTED_VALUE"""),0.403282030184364)</f>
        <v>0.4032820302</v>
      </c>
      <c r="H72" s="4"/>
      <c r="I72" s="5" t="s">
        <v>1372</v>
      </c>
      <c r="J72" s="5" t="s">
        <v>1342</v>
      </c>
      <c r="K72" s="24">
        <v>404.0</v>
      </c>
      <c r="L72" s="5">
        <v>1.127308</v>
      </c>
      <c r="M72" s="5">
        <v>0.074831</v>
      </c>
      <c r="N72" s="5">
        <v>1.202139</v>
      </c>
      <c r="O72" s="5">
        <v>0.403282</v>
      </c>
    </row>
    <row r="73">
      <c r="A73" s="12" t="str">
        <f>IFERROR(__xludf.DUMMYFUNCTION("""COMPUTED_VALUE"""),"Jerome Dyson")</f>
        <v>Jerome Dyson</v>
      </c>
      <c r="B73" s="13" t="str">
        <f>IFERROR(__xludf.DUMMYFUNCTION("""COMPUTED_VALUE"""),"HAPJ")</f>
        <v>HAPJ</v>
      </c>
      <c r="C73" s="14">
        <f>IFERROR(__xludf.DUMMYFUNCTION("""COMPUTED_VALUE"""),313.4)</f>
        <v>313.4</v>
      </c>
      <c r="D73" s="15">
        <f>IFERROR(__xludf.DUMMYFUNCTION("""COMPUTED_VALUE"""),2.4607721330259658)</f>
        <v>2.460772133</v>
      </c>
      <c r="E73" s="15">
        <f>IFERROR(__xludf.DUMMYFUNCTION("""COMPUTED_VALUE"""),-1.295595215840594)</f>
        <v>-1.295595216</v>
      </c>
      <c r="F73" s="15">
        <f>IFERROR(__xludf.DUMMYFUNCTION("""COMPUTED_VALUE"""),1.1651769171853719)</f>
        <v>1.165176917</v>
      </c>
      <c r="G73" s="17">
        <f>IFERROR(__xludf.DUMMYFUNCTION("""COMPUTED_VALUE"""),0.3025346816037733)</f>
        <v>0.3025346816</v>
      </c>
      <c r="H73" s="4"/>
      <c r="I73" s="5" t="s">
        <v>1649</v>
      </c>
      <c r="J73" s="5" t="s">
        <v>1572</v>
      </c>
      <c r="K73" s="5">
        <v>313.0</v>
      </c>
      <c r="L73" s="5">
        <v>2.460772</v>
      </c>
      <c r="M73" s="5">
        <v>-1.295595</v>
      </c>
      <c r="N73" s="5">
        <v>1.165177</v>
      </c>
      <c r="O73" s="5">
        <v>0.302535</v>
      </c>
    </row>
    <row r="74">
      <c r="A74" s="18" t="str">
        <f>IFERROR(__xludf.DUMMYFUNCTION("""COMPUTED_VALUE"""),"Oriol Pauli")</f>
        <v>Oriol Pauli</v>
      </c>
      <c r="B74" s="19" t="str">
        <f>IFERROR(__xludf.DUMMYFUNCTION("""COMPUTED_VALUE"""),"GCN")</f>
        <v>GCN</v>
      </c>
      <c r="C74" s="20">
        <f>IFERROR(__xludf.DUMMYFUNCTION("""COMPUTED_VALUE"""),245.1)</f>
        <v>245.1</v>
      </c>
      <c r="D74" s="21">
        <f>IFERROR(__xludf.DUMMYFUNCTION("""COMPUTED_VALUE"""),0.8374513508442941)</f>
        <v>0.8374513508</v>
      </c>
      <c r="E74" s="21">
        <f>IFERROR(__xludf.DUMMYFUNCTION("""COMPUTED_VALUE"""),0.3232030040950299)</f>
        <v>0.3232030041</v>
      </c>
      <c r="F74" s="21">
        <f>IFERROR(__xludf.DUMMYFUNCTION("""COMPUTED_VALUE"""),1.160654354939324)</f>
        <v>1.160654355</v>
      </c>
      <c r="G74" s="23">
        <f>IFERROR(__xludf.DUMMYFUNCTION("""COMPUTED_VALUE"""),0.23134919624618597)</f>
        <v>0.2313491962</v>
      </c>
      <c r="H74" s="4"/>
      <c r="I74" s="5" t="s">
        <v>569</v>
      </c>
      <c r="J74" s="5" t="s">
        <v>97</v>
      </c>
      <c r="K74" s="24">
        <v>245.0</v>
      </c>
      <c r="L74" s="5">
        <v>0.837451</v>
      </c>
      <c r="M74" s="5">
        <v>0.323203</v>
      </c>
      <c r="N74" s="5">
        <v>1.160654</v>
      </c>
      <c r="O74" s="5">
        <v>0.231349</v>
      </c>
    </row>
    <row r="75">
      <c r="A75" s="12" t="str">
        <f>IFERROR(__xludf.DUMMYFUNCTION("""COMPUTED_VALUE"""),"Malcolm Griffin")</f>
        <v>Malcolm Griffin</v>
      </c>
      <c r="B75" s="13" t="str">
        <f>IFERROR(__xludf.DUMMYFUNCTION("""COMPUTED_VALUE"""),"ZEN")</f>
        <v>ZEN</v>
      </c>
      <c r="C75" s="14">
        <f>IFERROR(__xludf.DUMMYFUNCTION("""COMPUTED_VALUE"""),86.3)</f>
        <v>86.3</v>
      </c>
      <c r="D75" s="15">
        <f>IFERROR(__xludf.DUMMYFUNCTION("""COMPUTED_VALUE"""),1.5032388795371234)</f>
        <v>1.50323888</v>
      </c>
      <c r="E75" s="15">
        <f>IFERROR(__xludf.DUMMYFUNCTION("""COMPUTED_VALUE"""),-0.3874542542310466)</f>
        <v>-0.3874542542</v>
      </c>
      <c r="F75" s="15">
        <f>IFERROR(__xludf.DUMMYFUNCTION("""COMPUTED_VALUE"""),1.1157846253060768)</f>
        <v>1.115784625</v>
      </c>
      <c r="G75" s="17">
        <f>IFERROR(__xludf.DUMMYFUNCTION("""COMPUTED_VALUE"""),0.08197933328168122)</f>
        <v>0.08197933328</v>
      </c>
      <c r="H75" s="4"/>
      <c r="I75" s="5" t="s">
        <v>645</v>
      </c>
      <c r="J75" s="5" t="s">
        <v>2816</v>
      </c>
      <c r="K75" s="5">
        <v>86.0</v>
      </c>
      <c r="L75" s="5">
        <v>1.503239</v>
      </c>
      <c r="M75" s="5">
        <v>-0.387454</v>
      </c>
      <c r="N75" s="5">
        <v>1.115785</v>
      </c>
      <c r="O75" s="5">
        <v>0.081979</v>
      </c>
    </row>
    <row r="76">
      <c r="A76" s="18" t="str">
        <f>IFERROR(__xludf.DUMMYFUNCTION("""COMPUTED_VALUE"""),"Da'Sean Butler")</f>
        <v>Da'Sean Butler</v>
      </c>
      <c r="B76" s="19" t="str">
        <f>IFERROR(__xludf.DUMMYFUNCTION("""COMPUTED_VALUE"""),"RUL")</f>
        <v>RUL</v>
      </c>
      <c r="C76" s="20">
        <f>IFERROR(__xludf.DUMMYFUNCTION("""COMPUTED_VALUE"""),246.7)</f>
        <v>246.7</v>
      </c>
      <c r="D76" s="21">
        <f>IFERROR(__xludf.DUMMYFUNCTION("""COMPUTED_VALUE"""),3.294740722917308)</f>
        <v>3.294740723</v>
      </c>
      <c r="E76" s="21">
        <f>IFERROR(__xludf.DUMMYFUNCTION("""COMPUTED_VALUE"""),-2.1825190870742706)</f>
        <v>-2.182519087</v>
      </c>
      <c r="F76" s="21">
        <f>IFERROR(__xludf.DUMMYFUNCTION("""COMPUTED_VALUE"""),1.1122216358430375)</f>
        <v>1.112221636</v>
      </c>
      <c r="G76" s="23">
        <f>IFERROR(__xludf.DUMMYFUNCTION("""COMPUTED_VALUE"""),0.23405741058896462)</f>
        <v>0.2340574106</v>
      </c>
      <c r="H76" s="4"/>
      <c r="I76" s="5" t="s">
        <v>1014</v>
      </c>
      <c r="J76" s="5" t="s">
        <v>693</v>
      </c>
      <c r="K76" s="24">
        <v>247.0</v>
      </c>
      <c r="L76" s="5">
        <v>3.294741</v>
      </c>
      <c r="M76" s="5">
        <v>-2.182519</v>
      </c>
      <c r="N76" s="5">
        <v>1.112222</v>
      </c>
      <c r="O76" s="5">
        <v>0.234057</v>
      </c>
    </row>
    <row r="77">
      <c r="A77" s="12" t="str">
        <f>IFERROR(__xludf.DUMMYFUNCTION("""COMPUTED_VALUE"""),"Pablo Aguilar")</f>
        <v>Pablo Aguilar</v>
      </c>
      <c r="B77" s="13" t="str">
        <f>IFERROR(__xludf.DUMMYFUNCTION("""COMPUTED_VALUE"""),"GCN")</f>
        <v>GCN</v>
      </c>
      <c r="C77" s="14">
        <f>IFERROR(__xludf.DUMMYFUNCTION("""COMPUTED_VALUE"""),237.2)</f>
        <v>237.2</v>
      </c>
      <c r="D77" s="15">
        <f>IFERROR(__xludf.DUMMYFUNCTION("""COMPUTED_VALUE"""),0.840958663249782)</f>
        <v>0.8409586632</v>
      </c>
      <c r="E77" s="15">
        <f>IFERROR(__xludf.DUMMYFUNCTION("""COMPUTED_VALUE"""),0.24388611459029363)</f>
        <v>0.2438861146</v>
      </c>
      <c r="F77" s="15">
        <f>IFERROR(__xludf.DUMMYFUNCTION("""COMPUTED_VALUE"""),1.0848447778400756)</f>
        <v>1.084844778</v>
      </c>
      <c r="G77" s="17">
        <f>IFERROR(__xludf.DUMMYFUNCTION("""COMPUTED_VALUE"""),0.21852225834509073)</f>
        <v>0.2185222583</v>
      </c>
      <c r="H77" s="4"/>
      <c r="I77" s="5" t="s">
        <v>248</v>
      </c>
      <c r="J77" s="5" t="s">
        <v>97</v>
      </c>
      <c r="K77" s="24">
        <v>237.0</v>
      </c>
      <c r="L77" s="5">
        <v>0.840959</v>
      </c>
      <c r="M77" s="5">
        <v>0.243886</v>
      </c>
      <c r="N77" s="5">
        <v>1.084845</v>
      </c>
      <c r="O77" s="5">
        <v>0.218522</v>
      </c>
    </row>
    <row r="78">
      <c r="A78" s="18" t="str">
        <f>IFERROR(__xludf.DUMMYFUNCTION("""COMPUTED_VALUE"""),"Darius Lavrinovic")</f>
        <v>Darius Lavrinovic</v>
      </c>
      <c r="B78" s="19" t="str">
        <f>IFERROR(__xludf.DUMMYFUNCTION("""COMPUTED_VALUE"""),"TEC")</f>
        <v>TEC</v>
      </c>
      <c r="C78" s="20">
        <f>IFERROR(__xludf.DUMMYFUNCTION("""COMPUTED_VALUE"""),140.2)</f>
        <v>140.2</v>
      </c>
      <c r="D78" s="21">
        <f>IFERROR(__xludf.DUMMYFUNCTION("""COMPUTED_VALUE"""),1.0627204213529875)</f>
        <v>1.062720421</v>
      </c>
      <c r="E78" s="21">
        <f>IFERROR(__xludf.DUMMYFUNCTION("""COMPUTED_VALUE"""),0.003203228384229373)</f>
        <v>0.003203228384</v>
      </c>
      <c r="F78" s="21">
        <f>IFERROR(__xludf.DUMMYFUNCTION("""COMPUTED_VALUE"""),1.0659236497372169)</f>
        <v>1.06592365</v>
      </c>
      <c r="G78" s="23">
        <f>IFERROR(__xludf.DUMMYFUNCTION("""COMPUTED_VALUE"""),0.1501914404559798)</f>
        <v>0.1501914405</v>
      </c>
      <c r="H78" s="4"/>
      <c r="I78" s="5" t="s">
        <v>2439</v>
      </c>
      <c r="J78" s="5" t="s">
        <v>2400</v>
      </c>
      <c r="K78" s="24">
        <v>140.0</v>
      </c>
      <c r="L78" s="5">
        <v>1.06272</v>
      </c>
      <c r="M78" s="5">
        <v>0.003203</v>
      </c>
      <c r="N78" s="5">
        <v>1.065924</v>
      </c>
      <c r="O78" s="5">
        <v>0.150191</v>
      </c>
    </row>
    <row r="79">
      <c r="A79" s="12" t="str">
        <f>IFERROR(__xludf.DUMMYFUNCTION("""COMPUTED_VALUE"""),"Roko Ukic")</f>
        <v>Roko Ukic</v>
      </c>
      <c r="B79" s="13" t="str">
        <f>IFERROR(__xludf.DUMMYFUNCTION("""COMPUTED_VALUE"""),"CED")</f>
        <v>CED</v>
      </c>
      <c r="C79" s="14">
        <f>IFERROR(__xludf.DUMMYFUNCTION("""COMPUTED_VALUE"""),324.9)</f>
        <v>324.9</v>
      </c>
      <c r="D79" s="15">
        <f>IFERROR(__xludf.DUMMYFUNCTION("""COMPUTED_VALUE"""),2.550768429895526)</f>
        <v>2.55076843</v>
      </c>
      <c r="E79" s="15">
        <f>IFERROR(__xludf.DUMMYFUNCTION("""COMPUTED_VALUE"""),-1.4853376018488187)</f>
        <v>-1.485337602</v>
      </c>
      <c r="F79" s="15">
        <f>IFERROR(__xludf.DUMMYFUNCTION("""COMPUTED_VALUE"""),1.0654308280467073)</f>
        <v>1.065430828</v>
      </c>
      <c r="G79" s="17">
        <f>IFERROR(__xludf.DUMMYFUNCTION("""COMPUTED_VALUE"""),0.30127334921407795)</f>
        <v>0.3012733492</v>
      </c>
      <c r="H79" s="4"/>
      <c r="I79" s="5" t="s">
        <v>1112</v>
      </c>
      <c r="J79" s="5" t="s">
        <v>928</v>
      </c>
      <c r="K79" s="5">
        <v>325.0</v>
      </c>
      <c r="L79" s="5">
        <v>2.550768</v>
      </c>
      <c r="M79" s="5">
        <v>-1.485338</v>
      </c>
      <c r="N79" s="5">
        <v>1.065431</v>
      </c>
      <c r="O79" s="5">
        <v>0.301273</v>
      </c>
    </row>
    <row r="80">
      <c r="A80" s="18" t="str">
        <f>IFERROR(__xludf.DUMMYFUNCTION("""COMPUTED_VALUE"""),"John Shurna")</f>
        <v>John Shurna</v>
      </c>
      <c r="B80" s="19" t="str">
        <f>IFERROR(__xludf.DUMMYFUNCTION("""COMPUTED_VALUE"""),"AND")</f>
        <v>AND</v>
      </c>
      <c r="C80" s="20">
        <f>IFERROR(__xludf.DUMMYFUNCTION("""COMPUTED_VALUE"""),202.6)</f>
        <v>202.6</v>
      </c>
      <c r="D80" s="21">
        <f>IFERROR(__xludf.DUMMYFUNCTION("""COMPUTED_VALUE"""),0.6281406415870864)</f>
        <v>0.6281406416</v>
      </c>
      <c r="E80" s="21">
        <f>IFERROR(__xludf.DUMMYFUNCTION("""COMPUTED_VALUE"""),0.37857687567608733)</f>
        <v>0.3785768757</v>
      </c>
      <c r="F80" s="21">
        <f>IFERROR(__xludf.DUMMYFUNCTION("""COMPUTED_VALUE"""),1.0067175172631737)</f>
        <v>1.006717517</v>
      </c>
      <c r="G80" s="23">
        <f>IFERROR(__xludf.DUMMYFUNCTION("""COMPUTED_VALUE"""),0.1857290940758986)</f>
        <v>0.1857290941</v>
      </c>
      <c r="H80" s="4"/>
      <c r="I80" s="5" t="s">
        <v>173</v>
      </c>
      <c r="J80" s="5" t="s">
        <v>89</v>
      </c>
      <c r="K80" s="24">
        <v>203.0</v>
      </c>
      <c r="L80" s="5">
        <v>0.628141</v>
      </c>
      <c r="M80" s="5">
        <v>0.378577</v>
      </c>
      <c r="N80" s="5">
        <v>1.006718</v>
      </c>
      <c r="O80" s="5">
        <v>0.185729</v>
      </c>
    </row>
    <row r="81">
      <c r="A81" s="12" t="str">
        <f>IFERROR(__xludf.DUMMYFUNCTION("""COMPUTED_VALUE"""),"Josh Owens")</f>
        <v>Josh Owens</v>
      </c>
      <c r="B81" s="13" t="str">
        <f>IFERROR(__xludf.DUMMYFUNCTION("""COMPUTED_VALUE"""),"TOF")</f>
        <v>TOF</v>
      </c>
      <c r="C81" s="14">
        <f>IFERROR(__xludf.DUMMYFUNCTION("""COMPUTED_VALUE"""),195.3)</f>
        <v>195.3</v>
      </c>
      <c r="D81" s="15">
        <f>IFERROR(__xludf.DUMMYFUNCTION("""COMPUTED_VALUE"""),1.0653887731172575)</f>
        <v>1.065388773</v>
      </c>
      <c r="E81" s="15">
        <f>IFERROR(__xludf.DUMMYFUNCTION("""COMPUTED_VALUE"""),-0.08600562709775894)</f>
        <v>-0.0860056271</v>
      </c>
      <c r="F81" s="15">
        <f>IFERROR(__xludf.DUMMYFUNCTION("""COMPUTED_VALUE"""),0.9793831460194986)</f>
        <v>0.979383146</v>
      </c>
      <c r="G81" s="17">
        <f>IFERROR(__xludf.DUMMYFUNCTION("""COMPUTED_VALUE"""),0.1772586590537351)</f>
        <v>0.1772586591</v>
      </c>
      <c r="H81" s="4"/>
      <c r="I81" s="5" t="s">
        <v>1950</v>
      </c>
      <c r="J81" s="5" t="s">
        <v>1878</v>
      </c>
      <c r="K81" s="24">
        <v>195.0</v>
      </c>
      <c r="L81" s="5">
        <v>1.065389</v>
      </c>
      <c r="M81" s="5">
        <v>-0.086006</v>
      </c>
      <c r="N81" s="5">
        <v>0.979383</v>
      </c>
      <c r="O81" s="5">
        <v>0.177259</v>
      </c>
    </row>
    <row r="82">
      <c r="A82" s="18" t="str">
        <f>IFERROR(__xludf.DUMMYFUNCTION("""COMPUTED_VALUE"""),"Axel Bouteille")</f>
        <v>Axel Bouteille</v>
      </c>
      <c r="B82" s="19" t="str">
        <f>IFERROR(__xludf.DUMMYFUNCTION("""COMPUTED_VALUE"""),"CSP")</f>
        <v>CSP</v>
      </c>
      <c r="C82" s="20">
        <f>IFERROR(__xludf.DUMMYFUNCTION("""COMPUTED_VALUE"""),377.4)</f>
        <v>377.4</v>
      </c>
      <c r="D82" s="21">
        <f>IFERROR(__xludf.DUMMYFUNCTION("""COMPUTED_VALUE"""),2.9169519191086897)</f>
        <v>2.916951919</v>
      </c>
      <c r="E82" s="21">
        <f>IFERROR(__xludf.DUMMYFUNCTION("""COMPUTED_VALUE"""),-1.9628713173445944)</f>
        <v>-1.962871317</v>
      </c>
      <c r="F82" s="21">
        <f>IFERROR(__xludf.DUMMYFUNCTION("""COMPUTED_VALUE"""),0.9540806017640953)</f>
        <v>0.9540806018</v>
      </c>
      <c r="G82" s="23">
        <f>IFERROR(__xludf.DUMMYFUNCTION("""COMPUTED_VALUE"""),0.3399206411089015)</f>
        <v>0.3399206411</v>
      </c>
      <c r="H82" s="4"/>
      <c r="I82" s="5" t="s">
        <v>1407</v>
      </c>
      <c r="J82" s="5" t="s">
        <v>1327</v>
      </c>
      <c r="K82" s="5">
        <v>377.0</v>
      </c>
      <c r="L82" s="5">
        <v>2.916952</v>
      </c>
      <c r="M82" s="5">
        <v>-1.962871</v>
      </c>
      <c r="N82" s="5">
        <v>0.954081</v>
      </c>
      <c r="O82" s="5">
        <v>0.339921</v>
      </c>
    </row>
    <row r="83">
      <c r="A83" s="12" t="str">
        <f>IFERROR(__xludf.DUMMYFUNCTION("""COMPUTED_VALUE"""),"Robert Carter, Jr.")</f>
        <v>Robert Carter, Jr.</v>
      </c>
      <c r="B83" s="13" t="str">
        <f>IFERROR(__xludf.DUMMYFUNCTION("""COMPUTED_VALUE"""),"LIE")</f>
        <v>LIE</v>
      </c>
      <c r="C83" s="14">
        <f>IFERROR(__xludf.DUMMYFUNCTION("""COMPUTED_VALUE"""),53.1)</f>
        <v>53.1</v>
      </c>
      <c r="D83" s="15">
        <f>IFERROR(__xludf.DUMMYFUNCTION("""COMPUTED_VALUE"""),0.9232493957322587)</f>
        <v>0.9232493957</v>
      </c>
      <c r="E83" s="15">
        <f>IFERROR(__xludf.DUMMYFUNCTION("""COMPUTED_VALUE"""),0.025539655852700016)</f>
        <v>0.02553965585</v>
      </c>
      <c r="F83" s="15">
        <f>IFERROR(__xludf.DUMMYFUNCTION("""COMPUTED_VALUE"""),0.9487890515849587)</f>
        <v>0.9487890516</v>
      </c>
      <c r="G83" s="17">
        <f>IFERROR(__xludf.DUMMYFUNCTION("""COMPUTED_VALUE"""),0.04736648699542273)</f>
        <v>0.047366487</v>
      </c>
      <c r="H83" s="4"/>
      <c r="I83" s="5" t="s">
        <v>1911</v>
      </c>
      <c r="J83" s="5" t="s">
        <v>2352</v>
      </c>
      <c r="K83" s="5">
        <v>53.0</v>
      </c>
      <c r="L83" s="5">
        <v>0.923249</v>
      </c>
      <c r="M83" s="5">
        <v>0.02554</v>
      </c>
      <c r="N83" s="5">
        <v>0.948789</v>
      </c>
      <c r="O83" s="5">
        <v>0.047366</v>
      </c>
    </row>
    <row r="84">
      <c r="A84" s="18" t="str">
        <f>IFERROR(__xludf.DUMMYFUNCTION("""COMPUTED_VALUE"""),"Curtis Jerrells")</f>
        <v>Curtis Jerrells</v>
      </c>
      <c r="B84" s="19" t="str">
        <f>IFERROR(__xludf.DUMMYFUNCTION("""COMPUTED_VALUE"""),"HAPJ")</f>
        <v>HAPJ</v>
      </c>
      <c r="C84" s="20">
        <f>IFERROR(__xludf.DUMMYFUNCTION("""COMPUTED_VALUE"""),65.3)</f>
        <v>65.3</v>
      </c>
      <c r="D84" s="21">
        <f>IFERROR(__xludf.DUMMYFUNCTION("""COMPUTED_VALUE"""),1.2454584326644937)</f>
        <v>1.245458433</v>
      </c>
      <c r="E84" s="21">
        <f>IFERROR(__xludf.DUMMYFUNCTION("""COMPUTED_VALUE"""),-0.30172829319311356)</f>
        <v>-0.3017282932</v>
      </c>
      <c r="F84" s="21">
        <f>IFERROR(__xludf.DUMMYFUNCTION("""COMPUTED_VALUE"""),0.9437301394713802)</f>
        <v>0.9437301395</v>
      </c>
      <c r="G84" s="23">
        <f>IFERROR(__xludf.DUMMYFUNCTION("""COMPUTED_VALUE"""),0.05862587823649286)</f>
        <v>0.05862587824</v>
      </c>
      <c r="H84" s="4"/>
      <c r="I84" s="5" t="s">
        <v>277</v>
      </c>
      <c r="J84" s="5" t="s">
        <v>1572</v>
      </c>
      <c r="K84" s="5">
        <v>65.0</v>
      </c>
      <c r="L84" s="5">
        <v>1.245458</v>
      </c>
      <c r="M84" s="5">
        <v>-0.301728</v>
      </c>
      <c r="N84" s="5">
        <v>0.94373</v>
      </c>
      <c r="O84" s="5">
        <v>0.058626</v>
      </c>
    </row>
    <row r="85">
      <c r="A85" s="12" t="str">
        <f>IFERROR(__xludf.DUMMYFUNCTION("""COMPUTED_VALUE"""),"Jaime Fernandez")</f>
        <v>Jaime Fernandez</v>
      </c>
      <c r="B85" s="13" t="str">
        <f>IFERROR(__xludf.DUMMYFUNCTION("""COMPUTED_VALUE"""),"AND")</f>
        <v>AND</v>
      </c>
      <c r="C85" s="14">
        <f>IFERROR(__xludf.DUMMYFUNCTION("""COMPUTED_VALUE"""),188.2)</f>
        <v>188.2</v>
      </c>
      <c r="D85" s="15">
        <f>IFERROR(__xludf.DUMMYFUNCTION("""COMPUTED_VALUE"""),0.2830393652708892)</f>
        <v>0.2830393653</v>
      </c>
      <c r="E85" s="15">
        <f>IFERROR(__xludf.DUMMYFUNCTION("""COMPUTED_VALUE"""),0.6384304154511387)</f>
        <v>0.6384304155</v>
      </c>
      <c r="F85" s="15">
        <f>IFERROR(__xludf.DUMMYFUNCTION("""COMPUTED_VALUE"""),0.9214697807220279)</f>
        <v>0.9214697807</v>
      </c>
      <c r="G85" s="17">
        <f>IFERROR(__xludf.DUMMYFUNCTION("""COMPUTED_VALUE"""),0.1676366174198605)</f>
        <v>0.1676366174</v>
      </c>
      <c r="H85" s="4"/>
      <c r="I85" s="5" t="s">
        <v>613</v>
      </c>
      <c r="J85" s="5" t="s">
        <v>89</v>
      </c>
      <c r="K85" s="5">
        <v>188.0</v>
      </c>
      <c r="L85" s="5">
        <v>0.283039</v>
      </c>
      <c r="M85" s="5">
        <v>0.63843</v>
      </c>
      <c r="N85" s="5">
        <v>0.92147</v>
      </c>
      <c r="O85" s="5">
        <v>0.167637</v>
      </c>
    </row>
    <row r="86">
      <c r="A86" s="18" t="str">
        <f>IFERROR(__xludf.DUMMYFUNCTION("""COMPUTED_VALUE"""),"Garrett Nevels")</f>
        <v>Garrett Nevels</v>
      </c>
      <c r="B86" s="19" t="str">
        <f>IFERROR(__xludf.DUMMYFUNCTION("""COMPUTED_VALUE"""),"REG")</f>
        <v>REG</v>
      </c>
      <c r="C86" s="20">
        <f>IFERROR(__xludf.DUMMYFUNCTION("""COMPUTED_VALUE"""),211.7)</f>
        <v>211.7</v>
      </c>
      <c r="D86" s="21">
        <f>IFERROR(__xludf.DUMMYFUNCTION("""COMPUTED_VALUE"""),-0.5000692645158321)</f>
        <v>-0.5000692645</v>
      </c>
      <c r="E86" s="21">
        <f>IFERROR(__xludf.DUMMYFUNCTION("""COMPUTED_VALUE"""),1.4033542869101878)</f>
        <v>1.403354287</v>
      </c>
      <c r="F86" s="21">
        <f>IFERROR(__xludf.DUMMYFUNCTION("""COMPUTED_VALUE"""),0.9032850223943558)</f>
        <v>0.9032850224</v>
      </c>
      <c r="G86" s="23">
        <f>IFERROR(__xludf.DUMMYFUNCTION("""COMPUTED_VALUE"""),0.18628142193087827)</f>
        <v>0.1862814219</v>
      </c>
      <c r="H86" s="4"/>
      <c r="I86" s="5" t="s">
        <v>2434</v>
      </c>
      <c r="J86" s="5" t="s">
        <v>2135</v>
      </c>
      <c r="K86" s="24">
        <v>212.0</v>
      </c>
      <c r="L86" s="5">
        <v>-0.500069</v>
      </c>
      <c r="M86" s="5">
        <v>1.403354</v>
      </c>
      <c r="N86" s="5">
        <v>0.903285</v>
      </c>
      <c r="O86" s="5">
        <v>0.186281</v>
      </c>
    </row>
    <row r="87">
      <c r="A87" s="12" t="str">
        <f>IFERROR(__xludf.DUMMYFUNCTION("""COMPUTED_VALUE"""),"Shavon Shields")</f>
        <v>Shavon Shields</v>
      </c>
      <c r="B87" s="13" t="str">
        <f>IFERROR(__xludf.DUMMYFUNCTION("""COMPUTED_VALUE"""),"TREN")</f>
        <v>TREN</v>
      </c>
      <c r="C87" s="14">
        <f>IFERROR(__xludf.DUMMYFUNCTION("""COMPUTED_VALUE"""),365.5)</f>
        <v>365.5</v>
      </c>
      <c r="D87" s="15">
        <f>IFERROR(__xludf.DUMMYFUNCTION("""COMPUTED_VALUE"""),0.5839184238404093)</f>
        <v>0.5839184238</v>
      </c>
      <c r="E87" s="15">
        <f>IFERROR(__xludf.DUMMYFUNCTION("""COMPUTED_VALUE"""),0.30928523203116454)</f>
        <v>0.309285232</v>
      </c>
      <c r="F87" s="15">
        <f>IFERROR(__xludf.DUMMYFUNCTION("""COMPUTED_VALUE"""),0.8932036558715738)</f>
        <v>0.8932036559</v>
      </c>
      <c r="G87" s="17">
        <f>IFERROR(__xludf.DUMMYFUNCTION("""COMPUTED_VALUE"""),0.3174088804473764)</f>
        <v>0.3174088804</v>
      </c>
      <c r="H87" s="4"/>
      <c r="I87" s="5" t="s">
        <v>2178</v>
      </c>
      <c r="J87" s="5" t="s">
        <v>2143</v>
      </c>
      <c r="K87" s="5">
        <v>366.0</v>
      </c>
      <c r="L87" s="5">
        <v>0.583918</v>
      </c>
      <c r="M87" s="5">
        <v>0.309285</v>
      </c>
      <c r="N87" s="5">
        <v>0.893204</v>
      </c>
      <c r="O87" s="5">
        <v>0.317409</v>
      </c>
    </row>
    <row r="88">
      <c r="A88" s="18" t="str">
        <f>IFERROR(__xludf.DUMMYFUNCTION("""COMPUTED_VALUE"""),"Yigit Arslan")</f>
        <v>Yigit Arslan</v>
      </c>
      <c r="B88" s="19" t="str">
        <f>IFERROR(__xludf.DUMMYFUNCTION("""COMPUTED_VALUE"""),"TOF")</f>
        <v>TOF</v>
      </c>
      <c r="C88" s="20">
        <f>IFERROR(__xludf.DUMMYFUNCTION("""COMPUTED_VALUE"""),91.1)</f>
        <v>91.1</v>
      </c>
      <c r="D88" s="21">
        <f>IFERROR(__xludf.DUMMYFUNCTION("""COMPUTED_VALUE"""),1.6903211059654328)</f>
        <v>1.690321106</v>
      </c>
      <c r="E88" s="21">
        <f>IFERROR(__xludf.DUMMYFUNCTION("""COMPUTED_VALUE"""),-0.8370197926834546)</f>
        <v>-0.8370197927</v>
      </c>
      <c r="F88" s="21">
        <f>IFERROR(__xludf.DUMMYFUNCTION("""COMPUTED_VALUE"""),0.8533013132819782)</f>
        <v>0.8533013133</v>
      </c>
      <c r="G88" s="23">
        <f>IFERROR(__xludf.DUMMYFUNCTION("""COMPUTED_VALUE"""),0.07918535587383392)</f>
        <v>0.07918535587</v>
      </c>
      <c r="H88" s="4"/>
      <c r="I88" s="5" t="s">
        <v>1959</v>
      </c>
      <c r="J88" s="5" t="s">
        <v>1878</v>
      </c>
      <c r="K88" s="5">
        <v>91.0</v>
      </c>
      <c r="L88" s="5">
        <v>1.690321</v>
      </c>
      <c r="M88" s="5">
        <v>-0.83702</v>
      </c>
      <c r="N88" s="5">
        <v>0.853301</v>
      </c>
      <c r="O88" s="5">
        <v>0.079185</v>
      </c>
    </row>
    <row r="89">
      <c r="A89" s="12" t="str">
        <f>IFERROR(__xludf.DUMMYFUNCTION("""COMPUTED_VALUE"""),"Karim Jallow")</f>
        <v>Karim Jallow</v>
      </c>
      <c r="B89" s="13" t="str">
        <f>IFERROR(__xludf.DUMMYFUNCTION("""COMPUTED_VALUE"""),"BAY")</f>
        <v>BAY</v>
      </c>
      <c r="C89" s="14">
        <f>IFERROR(__xludf.DUMMYFUNCTION("""COMPUTED_VALUE"""),10.7)</f>
        <v>10.7</v>
      </c>
      <c r="D89" s="15">
        <f>IFERROR(__xludf.DUMMYFUNCTION("""COMPUTED_VALUE"""),0.8706347379629589)</f>
        <v>0.870634738</v>
      </c>
      <c r="E89" s="15">
        <f>IFERROR(__xludf.DUMMYFUNCTION("""COMPUTED_VALUE"""),-0.0274877571294454)</f>
        <v>-0.02748775713</v>
      </c>
      <c r="F89" s="15">
        <f>IFERROR(__xludf.DUMMYFUNCTION("""COMPUTED_VALUE"""),0.8431469808335135)</f>
        <v>0.8431469808</v>
      </c>
      <c r="G89" s="17">
        <f>IFERROR(__xludf.DUMMYFUNCTION("""COMPUTED_VALUE"""),0.009274900211865425)</f>
        <v>0.009274900212</v>
      </c>
      <c r="H89" s="4"/>
      <c r="I89" s="5" t="s">
        <v>1065</v>
      </c>
      <c r="J89" s="5" t="s">
        <v>644</v>
      </c>
      <c r="K89" s="24">
        <v>11.0</v>
      </c>
      <c r="L89" s="5">
        <v>0.870635</v>
      </c>
      <c r="M89" s="5">
        <v>-0.027488</v>
      </c>
      <c r="N89" s="5">
        <v>0.843147</v>
      </c>
      <c r="O89" s="5">
        <v>0.009275</v>
      </c>
    </row>
    <row r="90">
      <c r="A90" s="18" t="str">
        <f>IFERROR(__xludf.DUMMYFUNCTION("""COMPUTED_VALUE"""),"Chris Wright")</f>
        <v>Chris Wright</v>
      </c>
      <c r="B90" s="19" t="str">
        <f>IFERROR(__xludf.DUMMYFUNCTION("""COMPUTED_VALUE"""),"REG")</f>
        <v>REG</v>
      </c>
      <c r="C90" s="20">
        <f>IFERROR(__xludf.DUMMYFUNCTION("""COMPUTED_VALUE"""),228.8)</f>
        <v>228.8</v>
      </c>
      <c r="D90" s="21">
        <f>IFERROR(__xludf.DUMMYFUNCTION("""COMPUTED_VALUE"""),0.9072969005885467)</f>
        <v>0.9072969006</v>
      </c>
      <c r="E90" s="21">
        <f>IFERROR(__xludf.DUMMYFUNCTION("""COMPUTED_VALUE"""),-0.11296328769317865)</f>
        <v>-0.1129632877</v>
      </c>
      <c r="F90" s="21">
        <f>IFERROR(__xludf.DUMMYFUNCTION("""COMPUTED_VALUE"""),0.7943336128953681)</f>
        <v>0.7943336129</v>
      </c>
      <c r="G90" s="23">
        <f>IFERROR(__xludf.DUMMYFUNCTION("""COMPUTED_VALUE"""),0.1937730109825036)</f>
        <v>0.193773011</v>
      </c>
      <c r="H90" s="4"/>
      <c r="I90" s="5" t="s">
        <v>2466</v>
      </c>
      <c r="J90" s="5" t="s">
        <v>2135</v>
      </c>
      <c r="K90" s="5">
        <v>229.0</v>
      </c>
      <c r="L90" s="5">
        <v>0.907297</v>
      </c>
      <c r="M90" s="5">
        <v>-0.112963</v>
      </c>
      <c r="N90" s="5">
        <v>0.794334</v>
      </c>
      <c r="O90" s="5">
        <v>0.193773</v>
      </c>
    </row>
    <row r="91">
      <c r="A91" s="12" t="str">
        <f>IFERROR(__xludf.DUMMYFUNCTION("""COMPUTED_VALUE"""),"Sammy Mejia")</f>
        <v>Sammy Mejia</v>
      </c>
      <c r="B91" s="13" t="str">
        <f>IFERROR(__xludf.DUMMYFUNCTION("""COMPUTED_VALUE"""),"TOF")</f>
        <v>TOF</v>
      </c>
      <c r="C91" s="14">
        <f>IFERROR(__xludf.DUMMYFUNCTION("""COMPUTED_VALUE"""),295.8)</f>
        <v>295.8</v>
      </c>
      <c r="D91" s="15">
        <f>IFERROR(__xludf.DUMMYFUNCTION("""COMPUTED_VALUE"""),2.394122578256089)</f>
        <v>2.394122578</v>
      </c>
      <c r="E91" s="15">
        <f>IFERROR(__xludf.DUMMYFUNCTION("""COMPUTED_VALUE"""),-1.622847282880031)</f>
        <v>-1.622847283</v>
      </c>
      <c r="F91" s="15">
        <f>IFERROR(__xludf.DUMMYFUNCTION("""COMPUTED_VALUE"""),0.7712752953760581)</f>
        <v>0.7712752954</v>
      </c>
      <c r="G91" s="17">
        <f>IFERROR(__xludf.DUMMYFUNCTION("""COMPUTED_VALUE"""),0.24972193963494996)</f>
        <v>0.2497219396</v>
      </c>
      <c r="H91" s="4"/>
      <c r="I91" s="5" t="s">
        <v>1877</v>
      </c>
      <c r="J91" s="5" t="s">
        <v>1878</v>
      </c>
      <c r="K91" s="5">
        <v>296.0</v>
      </c>
      <c r="L91" s="5">
        <v>2.394123</v>
      </c>
      <c r="M91" s="5">
        <v>-1.622847</v>
      </c>
      <c r="N91" s="5">
        <v>0.771275</v>
      </c>
      <c r="O91" s="5">
        <v>0.249722</v>
      </c>
    </row>
    <row r="92">
      <c r="A92" s="18" t="str">
        <f>IFERROR(__xludf.DUMMYFUNCTION("""COMPUTED_VALUE"""),"Vladimir Ivlev")</f>
        <v>Vladimir Ivlev</v>
      </c>
      <c r="B92" s="19" t="str">
        <f>IFERROR(__xludf.DUMMYFUNCTION("""COMPUTED_VALUE"""),"LOK")</f>
        <v>LOK</v>
      </c>
      <c r="C92" s="20">
        <f>IFERROR(__xludf.DUMMYFUNCTION("""COMPUTED_VALUE"""),143.6)</f>
        <v>143.6</v>
      </c>
      <c r="D92" s="21">
        <f>IFERROR(__xludf.DUMMYFUNCTION("""COMPUTED_VALUE"""),-1.0849110088502787)</f>
        <v>-1.084911009</v>
      </c>
      <c r="E92" s="21">
        <f>IFERROR(__xludf.DUMMYFUNCTION("""COMPUTED_VALUE"""),1.852758967650108)</f>
        <v>1.852758968</v>
      </c>
      <c r="F92" s="21">
        <f>IFERROR(__xludf.DUMMYFUNCTION("""COMPUTED_VALUE"""),0.7678479587998293)</f>
        <v>0.7678479588</v>
      </c>
      <c r="G92" s="23">
        <f>IFERROR(__xludf.DUMMYFUNCTION("""COMPUTED_VALUE"""),0.11981349379707584)</f>
        <v>0.1198134938</v>
      </c>
      <c r="H92" s="4"/>
      <c r="I92" s="5" t="s">
        <v>2818</v>
      </c>
      <c r="J92" s="5" t="s">
        <v>2785</v>
      </c>
      <c r="K92" s="5">
        <v>144.0</v>
      </c>
      <c r="L92" s="5">
        <v>-1.084911</v>
      </c>
      <c r="M92" s="5">
        <v>1.852759</v>
      </c>
      <c r="N92" s="5">
        <v>0.767848</v>
      </c>
      <c r="O92" s="5">
        <v>0.119813</v>
      </c>
    </row>
    <row r="93">
      <c r="A93" s="12" t="str">
        <f>IFERROR(__xludf.DUMMYFUNCTION("""COMPUTED_VALUE"""),"Nigel Williams-Goss")</f>
        <v>Nigel Williams-Goss</v>
      </c>
      <c r="B93" s="13" t="str">
        <f>IFERROR(__xludf.DUMMYFUNCTION("""COMPUTED_VALUE"""),"PAR")</f>
        <v>PAR</v>
      </c>
      <c r="C93" s="14">
        <f>IFERROR(__xludf.DUMMYFUNCTION("""COMPUTED_VALUE"""),271.7)</f>
        <v>271.7</v>
      </c>
      <c r="D93" s="15">
        <f>IFERROR(__xludf.DUMMYFUNCTION("""COMPUTED_VALUE"""),4.289684324462487)</f>
        <v>4.289684324</v>
      </c>
      <c r="E93" s="15">
        <f>IFERROR(__xludf.DUMMYFUNCTION("""COMPUTED_VALUE"""),-3.539931244490778)</f>
        <v>-3.539931244</v>
      </c>
      <c r="F93" s="15">
        <f>IFERROR(__xludf.DUMMYFUNCTION("""COMPUTED_VALUE"""),0.7497530799717091)</f>
        <v>0.74975308</v>
      </c>
      <c r="G93" s="17">
        <f>IFERROR(__xludf.DUMMYFUNCTION("""COMPUTED_VALUE"""),0.22781097403278586)</f>
        <v>0.227810974</v>
      </c>
      <c r="H93" s="4"/>
      <c r="I93" s="5" t="s">
        <v>996</v>
      </c>
      <c r="J93" s="5" t="s">
        <v>962</v>
      </c>
      <c r="K93" s="5">
        <v>272.0</v>
      </c>
      <c r="L93" s="5">
        <v>4.289684</v>
      </c>
      <c r="M93" s="5">
        <v>-3.539931</v>
      </c>
      <c r="N93" s="5">
        <v>0.749753</v>
      </c>
      <c r="O93" s="5">
        <v>0.227811</v>
      </c>
    </row>
    <row r="94">
      <c r="A94" s="18" t="str">
        <f>IFERROR(__xludf.DUMMYFUNCTION("""COMPUTED_VALUE"""),"Landing Sane")</f>
        <v>Landing Sane</v>
      </c>
      <c r="B94" s="19" t="str">
        <f>IFERROR(__xludf.DUMMYFUNCTION("""COMPUTED_VALUE"""),"REG")</f>
        <v>REG</v>
      </c>
      <c r="C94" s="20">
        <f>IFERROR(__xludf.DUMMYFUNCTION("""COMPUTED_VALUE"""),165.7)</f>
        <v>165.7</v>
      </c>
      <c r="D94" s="21">
        <f>IFERROR(__xludf.DUMMYFUNCTION("""COMPUTED_VALUE"""),0.25576037833981413)</f>
        <v>0.2557603783</v>
      </c>
      <c r="E94" s="21">
        <f>IFERROR(__xludf.DUMMYFUNCTION("""COMPUTED_VALUE"""),0.4930093931705847)</f>
        <v>0.4930093932</v>
      </c>
      <c r="F94" s="21">
        <f>IFERROR(__xludf.DUMMYFUNCTION("""COMPUTED_VALUE"""),0.7487697715103988)</f>
        <v>0.7487697715</v>
      </c>
      <c r="G94" s="23">
        <f>IFERROR(__xludf.DUMMYFUNCTION("""COMPUTED_VALUE"""),0.138044747688136)</f>
        <v>0.1380447477</v>
      </c>
      <c r="H94" s="4"/>
      <c r="I94" s="5" t="s">
        <v>190</v>
      </c>
      <c r="J94" s="5" t="s">
        <v>2135</v>
      </c>
      <c r="K94" s="5">
        <v>166.0</v>
      </c>
      <c r="L94" s="5">
        <v>0.25576</v>
      </c>
      <c r="M94" s="5">
        <v>0.493009</v>
      </c>
      <c r="N94" s="5">
        <v>0.74877</v>
      </c>
      <c r="O94" s="5">
        <v>0.138045</v>
      </c>
    </row>
    <row r="95">
      <c r="A95" s="12" t="str">
        <f>IFERROR(__xludf.DUMMYFUNCTION("""COMPUTED_VALUE"""),"Pere Tomas")</f>
        <v>Pere Tomas</v>
      </c>
      <c r="B95" s="13" t="str">
        <f>IFERROR(__xludf.DUMMYFUNCTION("""COMPUTED_VALUE"""),"BBB")</f>
        <v>BBB</v>
      </c>
      <c r="C95" s="14">
        <f>IFERROR(__xludf.DUMMYFUNCTION("""COMPUTED_VALUE"""),189.3)</f>
        <v>189.3</v>
      </c>
      <c r="D95" s="15">
        <f>IFERROR(__xludf.DUMMYFUNCTION("""COMPUTED_VALUE"""),1.9009101474979813)</f>
        <v>1.900910147</v>
      </c>
      <c r="E95" s="15">
        <f>IFERROR(__xludf.DUMMYFUNCTION("""COMPUTED_VALUE"""),-1.2435099733880555)</f>
        <v>-1.243509973</v>
      </c>
      <c r="F95" s="15">
        <f>IFERROR(__xludf.DUMMYFUNCTION("""COMPUTED_VALUE"""),0.6574001741099257)</f>
        <v>0.6574001741</v>
      </c>
      <c r="G95" s="17">
        <f>IFERROR(__xludf.DUMMYFUNCTION("""COMPUTED_VALUE"""),0.15335997009875388)</f>
        <v>0.1533599701</v>
      </c>
      <c r="H95" s="4"/>
      <c r="I95" s="5" t="s">
        <v>459</v>
      </c>
      <c r="J95" s="5" t="s">
        <v>113</v>
      </c>
      <c r="K95" s="5">
        <v>189.0</v>
      </c>
      <c r="L95" s="5">
        <v>1.90091</v>
      </c>
      <c r="M95" s="5">
        <v>-1.24351</v>
      </c>
      <c r="N95" s="5">
        <v>0.6574</v>
      </c>
      <c r="O95" s="5">
        <v>0.15336</v>
      </c>
    </row>
    <row r="96">
      <c r="A96" s="18" t="str">
        <f>IFERROR(__xludf.DUMMYFUNCTION("""COMPUTED_VALUE"""),"Richard Howell")</f>
        <v>Richard Howell</v>
      </c>
      <c r="B96" s="19" t="str">
        <f>IFERROR(__xludf.DUMMYFUNCTION("""COMPUTED_VALUE"""),"HAPJ")</f>
        <v>HAPJ</v>
      </c>
      <c r="C96" s="20">
        <f>IFERROR(__xludf.DUMMYFUNCTION("""COMPUTED_VALUE"""),137.4)</f>
        <v>137.4</v>
      </c>
      <c r="D96" s="21">
        <f>IFERROR(__xludf.DUMMYFUNCTION("""COMPUTED_VALUE"""),0.3309400768993455)</f>
        <v>0.3309400769</v>
      </c>
      <c r="E96" s="21">
        <f>IFERROR(__xludf.DUMMYFUNCTION("""COMPUTED_VALUE"""),0.26814379721635)</f>
        <v>0.2681437972</v>
      </c>
      <c r="F96" s="21">
        <f>IFERROR(__xludf.DUMMYFUNCTION("""COMPUTED_VALUE"""),0.5990838741156955)</f>
        <v>0.5990838741</v>
      </c>
      <c r="G96" s="23">
        <f>IFERROR(__xludf.DUMMYFUNCTION("""COMPUTED_VALUE"""),0.10891437744170719)</f>
        <v>0.1089143774</v>
      </c>
      <c r="H96" s="4"/>
      <c r="I96" s="5" t="s">
        <v>1574</v>
      </c>
      <c r="J96" s="5" t="s">
        <v>1572</v>
      </c>
      <c r="K96" s="24">
        <v>137.0</v>
      </c>
      <c r="L96" s="5">
        <v>0.33094</v>
      </c>
      <c r="M96" s="5">
        <v>0.268144</v>
      </c>
      <c r="N96" s="5">
        <v>0.599084</v>
      </c>
      <c r="O96" s="5">
        <v>0.108914</v>
      </c>
    </row>
    <row r="97">
      <c r="A97" s="12" t="str">
        <f>IFERROR(__xludf.DUMMYFUNCTION("""COMPUTED_VALUE"""),"James White")</f>
        <v>James White</v>
      </c>
      <c r="B97" s="13" t="str">
        <f>IFERROR(__xludf.DUMMYFUNCTION("""COMPUTED_VALUE"""),"REG")</f>
        <v>REG</v>
      </c>
      <c r="C97" s="14">
        <f>IFERROR(__xludf.DUMMYFUNCTION("""COMPUTED_VALUE"""),367.4)</f>
        <v>367.4</v>
      </c>
      <c r="D97" s="15">
        <f>IFERROR(__xludf.DUMMYFUNCTION("""COMPUTED_VALUE"""),0.5619826895385037)</f>
        <v>0.5619826895</v>
      </c>
      <c r="E97" s="15">
        <f>IFERROR(__xludf.DUMMYFUNCTION("""COMPUTED_VALUE"""),0.02384375255240212)</f>
        <v>0.02384375255</v>
      </c>
      <c r="F97" s="15">
        <f>IFERROR(__xludf.DUMMYFUNCTION("""COMPUTED_VALUE"""),0.5858264420909058)</f>
        <v>0.5858264421</v>
      </c>
      <c r="G97" s="17">
        <f>IFERROR(__xludf.DUMMYFUNCTION("""COMPUTED_VALUE"""),0.28793704067044124)</f>
        <v>0.2879370407</v>
      </c>
      <c r="H97" s="4"/>
      <c r="I97" s="5" t="s">
        <v>2168</v>
      </c>
      <c r="J97" s="5" t="s">
        <v>2135</v>
      </c>
      <c r="K97" s="5">
        <v>367.0</v>
      </c>
      <c r="L97" s="5">
        <v>0.561983</v>
      </c>
      <c r="M97" s="5">
        <v>0.023844</v>
      </c>
      <c r="N97" s="5">
        <v>0.585826</v>
      </c>
      <c r="O97" s="5">
        <v>0.287937</v>
      </c>
    </row>
    <row r="98">
      <c r="A98" s="18" t="str">
        <f>IFERROR(__xludf.DUMMYFUNCTION("""COMPUTED_VALUE"""),"Mardy Collins")</f>
        <v>Mardy Collins</v>
      </c>
      <c r="B98" s="19" t="str">
        <f>IFERROR(__xludf.DUMMYFUNCTION("""COMPUTED_VALUE"""),"LOK")</f>
        <v>LOK</v>
      </c>
      <c r="C98" s="20">
        <f>IFERROR(__xludf.DUMMYFUNCTION("""COMPUTED_VALUE"""),544.8)</f>
        <v>544.8</v>
      </c>
      <c r="D98" s="21">
        <f>IFERROR(__xludf.DUMMYFUNCTION("""COMPUTED_VALUE"""),-2.766485389234882)</f>
        <v>-2.766485389</v>
      </c>
      <c r="E98" s="21">
        <f>IFERROR(__xludf.DUMMYFUNCTION("""COMPUTED_VALUE"""),3.3501249570078206)</f>
        <v>3.350124957</v>
      </c>
      <c r="F98" s="21">
        <f>IFERROR(__xludf.DUMMYFUNCTION("""COMPUTED_VALUE"""),0.5836395677729387)</f>
        <v>0.5836395678</v>
      </c>
      <c r="G98" s="23">
        <f>IFERROR(__xludf.DUMMYFUNCTION("""COMPUTED_VALUE"""),0.42430494030415516)</f>
        <v>0.4243049403</v>
      </c>
      <c r="H98" s="4"/>
      <c r="I98" s="5" t="s">
        <v>2829</v>
      </c>
      <c r="J98" s="5" t="s">
        <v>2785</v>
      </c>
      <c r="K98" s="24">
        <v>545.0</v>
      </c>
      <c r="L98" s="5">
        <v>-2.766485</v>
      </c>
      <c r="M98" s="5">
        <v>3.350125</v>
      </c>
      <c r="N98" s="5">
        <v>0.58364</v>
      </c>
      <c r="O98" s="5">
        <v>0.424305</v>
      </c>
    </row>
    <row r="99">
      <c r="A99" s="12" t="str">
        <f>IFERROR(__xludf.DUMMYFUNCTION("""COMPUTED_VALUE"""),"Jamar Smith")</f>
        <v>Jamar Smith</v>
      </c>
      <c r="B99" s="13" t="str">
        <f>IFERROR(__xludf.DUMMYFUNCTION("""COMPUTED_VALUE"""),"UNI")</f>
        <v>UNI</v>
      </c>
      <c r="C99" s="14">
        <f>IFERROR(__xludf.DUMMYFUNCTION("""COMPUTED_VALUE"""),592.0)</f>
        <v>592</v>
      </c>
      <c r="D99" s="15">
        <f>IFERROR(__xludf.DUMMYFUNCTION("""COMPUTED_VALUE"""),1.828364845074924)</f>
        <v>1.828364845</v>
      </c>
      <c r="E99" s="15">
        <f>IFERROR(__xludf.DUMMYFUNCTION("""COMPUTED_VALUE"""),-1.2658505559702848)</f>
        <v>-1.265850556</v>
      </c>
      <c r="F99" s="15">
        <f>IFERROR(__xludf.DUMMYFUNCTION("""COMPUTED_VALUE"""),0.5625142891046391)</f>
        <v>0.5625142891</v>
      </c>
      <c r="G99" s="17">
        <f>IFERROR(__xludf.DUMMYFUNCTION("""COMPUTED_VALUE"""),0.45649605200901144)</f>
        <v>0.456496052</v>
      </c>
      <c r="H99" s="4"/>
      <c r="I99" s="5" t="s">
        <v>2803</v>
      </c>
      <c r="J99" s="5" t="s">
        <v>22</v>
      </c>
      <c r="K99" s="24">
        <v>592.0</v>
      </c>
      <c r="L99" s="5">
        <v>1.828365</v>
      </c>
      <c r="M99" s="5">
        <v>-1.265851</v>
      </c>
      <c r="N99" s="5">
        <v>0.562514</v>
      </c>
      <c r="O99" s="5">
        <v>0.456496</v>
      </c>
    </row>
    <row r="100">
      <c r="A100" s="18" t="str">
        <f>IFERROR(__xludf.DUMMYFUNCTION("""COMPUTED_VALUE"""),"Simas Jasaitis")</f>
        <v>Simas Jasaitis</v>
      </c>
      <c r="B100" s="19" t="str">
        <f>IFERROR(__xludf.DUMMYFUNCTION("""COMPUTED_VALUE"""),"TEC")</f>
        <v>TEC</v>
      </c>
      <c r="C100" s="20">
        <f>IFERROR(__xludf.DUMMYFUNCTION("""COMPUTED_VALUE"""),170.5)</f>
        <v>170.5</v>
      </c>
      <c r="D100" s="21">
        <f>IFERROR(__xludf.DUMMYFUNCTION("""COMPUTED_VALUE"""),0.3646398634353575)</f>
        <v>0.3646398634</v>
      </c>
      <c r="E100" s="21">
        <f>IFERROR(__xludf.DUMMYFUNCTION("""COMPUTED_VALUE"""),0.179885620422502)</f>
        <v>0.1798856204</v>
      </c>
      <c r="F100" s="21">
        <f>IFERROR(__xludf.DUMMYFUNCTION("""COMPUTED_VALUE"""),0.5445254838578595)</f>
        <v>0.5445254839</v>
      </c>
      <c r="G100" s="23">
        <f>IFERROR(__xludf.DUMMYFUNCTION("""COMPUTED_VALUE"""),0.15158876736316915)</f>
        <v>0.1515887674</v>
      </c>
      <c r="H100" s="4"/>
      <c r="I100" s="5" t="s">
        <v>2433</v>
      </c>
      <c r="J100" s="5" t="s">
        <v>2400</v>
      </c>
      <c r="K100" s="5">
        <v>171.0</v>
      </c>
      <c r="L100" s="5">
        <v>0.36464</v>
      </c>
      <c r="M100" s="5">
        <v>0.179886</v>
      </c>
      <c r="N100" s="5">
        <v>0.544525</v>
      </c>
      <c r="O100" s="5">
        <v>0.151589</v>
      </c>
    </row>
    <row r="101">
      <c r="A101" s="12" t="str">
        <f>IFERROR(__xludf.DUMMYFUNCTION("""COMPUTED_VALUE"""),"Stefan Jovic")</f>
        <v>Stefan Jovic</v>
      </c>
      <c r="B101" s="13" t="str">
        <f>IFERROR(__xludf.DUMMYFUNCTION("""COMPUTED_VALUE"""),"BAY")</f>
        <v>BAY</v>
      </c>
      <c r="C101" s="14">
        <f>IFERROR(__xludf.DUMMYFUNCTION("""COMPUTED_VALUE"""),326.5)</f>
        <v>326.5</v>
      </c>
      <c r="D101" s="15">
        <f>IFERROR(__xludf.DUMMYFUNCTION("""COMPUTED_VALUE"""),0.09139827179151627)</f>
        <v>0.09139827179</v>
      </c>
      <c r="E101" s="15">
        <f>IFERROR(__xludf.DUMMYFUNCTION("""COMPUTED_VALUE"""),0.43750152318445323)</f>
        <v>0.4375015232</v>
      </c>
      <c r="F101" s="15">
        <f>IFERROR(__xludf.DUMMYFUNCTION("""COMPUTED_VALUE"""),0.5288997949759695)</f>
        <v>0.528899795</v>
      </c>
      <c r="G101" s="17">
        <f>IFERROR(__xludf.DUMMYFUNCTION("""COMPUTED_VALUE"""),0.2517334704450165)</f>
        <v>0.2517334704</v>
      </c>
      <c r="H101" s="4"/>
      <c r="I101" s="5" t="s">
        <v>678</v>
      </c>
      <c r="J101" s="5" t="s">
        <v>644</v>
      </c>
      <c r="K101" s="5">
        <v>327.0</v>
      </c>
      <c r="L101" s="5">
        <v>0.091398</v>
      </c>
      <c r="M101" s="5">
        <v>0.437502</v>
      </c>
      <c r="N101" s="5">
        <v>0.5289</v>
      </c>
      <c r="O101" s="5">
        <v>0.251733</v>
      </c>
    </row>
    <row r="102">
      <c r="A102" s="18" t="str">
        <f>IFERROR(__xludf.DUMMYFUNCTION("""COMPUTED_VALUE"""),"William Howard")</f>
        <v>William Howard</v>
      </c>
      <c r="B102" s="19" t="str">
        <f>IFERROR(__xludf.DUMMYFUNCTION("""COMPUTED_VALUE"""),"CSP")</f>
        <v>CSP</v>
      </c>
      <c r="C102" s="20">
        <f>IFERROR(__xludf.DUMMYFUNCTION("""COMPUTED_VALUE"""),384.5)</f>
        <v>384.5</v>
      </c>
      <c r="D102" s="21">
        <f>IFERROR(__xludf.DUMMYFUNCTION("""COMPUTED_VALUE"""),0.2829310183023701)</f>
        <v>0.2829310183</v>
      </c>
      <c r="E102" s="21">
        <f>IFERROR(__xludf.DUMMYFUNCTION("""COMPUTED_VALUE"""),0.22309008888030024)</f>
        <v>0.2230900889</v>
      </c>
      <c r="F102" s="21">
        <f>IFERROR(__xludf.DUMMYFUNCTION("""COMPUTED_VALUE"""),0.5060211071826703)</f>
        <v>0.5060211072</v>
      </c>
      <c r="G102" s="23">
        <f>IFERROR(__xludf.DUMMYFUNCTION("""COMPUTED_VALUE"""),0.2937882141145214)</f>
        <v>0.2937882141</v>
      </c>
      <c r="H102" s="4"/>
      <c r="I102" s="5" t="s">
        <v>1326</v>
      </c>
      <c r="J102" s="5" t="s">
        <v>1327</v>
      </c>
      <c r="K102" s="5">
        <v>385.0</v>
      </c>
      <c r="L102" s="5">
        <v>0.282931</v>
      </c>
      <c r="M102" s="5">
        <v>0.22309</v>
      </c>
      <c r="N102" s="5">
        <v>0.506021</v>
      </c>
      <c r="O102" s="5">
        <v>0.293788</v>
      </c>
    </row>
    <row r="103">
      <c r="A103" s="12" t="str">
        <f>IFERROR(__xludf.DUMMYFUNCTION("""COMPUTED_VALUE"""),"Riccardo Cervi")</f>
        <v>Riccardo Cervi</v>
      </c>
      <c r="B103" s="13" t="str">
        <f>IFERROR(__xludf.DUMMYFUNCTION("""COMPUTED_VALUE"""),"REG")</f>
        <v>REG</v>
      </c>
      <c r="C103" s="14">
        <f>IFERROR(__xludf.DUMMYFUNCTION("""COMPUTED_VALUE"""),126.9)</f>
        <v>126.9</v>
      </c>
      <c r="D103" s="15">
        <f>IFERROR(__xludf.DUMMYFUNCTION("""COMPUTED_VALUE"""),-0.2524497527659853)</f>
        <v>-0.2524497528</v>
      </c>
      <c r="E103" s="15">
        <f>IFERROR(__xludf.DUMMYFUNCTION("""COMPUTED_VALUE"""),0.7267193434138868)</f>
        <v>0.7267193434</v>
      </c>
      <c r="F103" s="15">
        <f>IFERROR(__xludf.DUMMYFUNCTION("""COMPUTED_VALUE"""),0.4742695906479015)</f>
        <v>0.4742695906</v>
      </c>
      <c r="G103" s="17">
        <f>IFERROR(__xludf.DUMMYFUNCTION("""COMPUTED_VALUE"""),0.09516289651129846)</f>
        <v>0.09516289651</v>
      </c>
      <c r="H103" s="4"/>
      <c r="I103" s="5" t="s">
        <v>2427</v>
      </c>
      <c r="J103" s="5" t="s">
        <v>2135</v>
      </c>
      <c r="K103" s="24">
        <v>127.0</v>
      </c>
      <c r="L103" s="5">
        <v>-0.25245</v>
      </c>
      <c r="M103" s="5">
        <v>0.726719</v>
      </c>
      <c r="N103" s="5">
        <v>0.47427</v>
      </c>
      <c r="O103" s="5">
        <v>0.095163</v>
      </c>
    </row>
    <row r="104">
      <c r="A104" s="18" t="str">
        <f>IFERROR(__xludf.DUMMYFUNCTION("""COMPUTED_VALUE"""),"Kartal Ozmizrak")</f>
        <v>Kartal Ozmizrak</v>
      </c>
      <c r="B104" s="19" t="str">
        <f>IFERROR(__xludf.DUMMYFUNCTION("""COMPUTED_VALUE"""),"DBI")</f>
        <v>DBI</v>
      </c>
      <c r="C104" s="20">
        <f>IFERROR(__xludf.DUMMYFUNCTION("""COMPUTED_VALUE"""),180.0)</f>
        <v>180</v>
      </c>
      <c r="D104" s="21">
        <f>IFERROR(__xludf.DUMMYFUNCTION("""COMPUTED_VALUE"""),-0.800084739176828)</f>
        <v>-0.8000847392</v>
      </c>
      <c r="E104" s="21">
        <f>IFERROR(__xludf.DUMMYFUNCTION("""COMPUTED_VALUE"""),1.2726768430953879)</f>
        <v>1.272676843</v>
      </c>
      <c r="F104" s="21">
        <f>IFERROR(__xludf.DUMMYFUNCTION("""COMPUTED_VALUE"""),0.47259210391855977)</f>
        <v>0.4725921039</v>
      </c>
      <c r="G104" s="23">
        <f>IFERROR(__xludf.DUMMYFUNCTION("""COMPUTED_VALUE"""),0.13416339686964418)</f>
        <v>0.1341633969</v>
      </c>
      <c r="H104" s="4"/>
      <c r="I104" s="5" t="s">
        <v>1937</v>
      </c>
      <c r="J104" s="5" t="s">
        <v>1884</v>
      </c>
      <c r="K104" s="5">
        <v>180.0</v>
      </c>
      <c r="L104" s="5">
        <v>-0.800085</v>
      </c>
      <c r="M104" s="5">
        <v>1.272677</v>
      </c>
      <c r="N104" s="5">
        <v>0.472592</v>
      </c>
      <c r="O104" s="5">
        <v>0.134163</v>
      </c>
    </row>
    <row r="105">
      <c r="A105" s="12" t="str">
        <f>IFERROR(__xludf.DUMMYFUNCTION("""COMPUTED_VALUE"""),"Evgeny Baburin")</f>
        <v>Evgeny Baburin</v>
      </c>
      <c r="B105" s="13" t="str">
        <f>IFERROR(__xludf.DUMMYFUNCTION("""COMPUTED_VALUE"""),"LOK")</f>
        <v>LOK</v>
      </c>
      <c r="C105" s="14">
        <f>IFERROR(__xludf.DUMMYFUNCTION("""COMPUTED_VALUE"""),40.6)</f>
        <v>40.6</v>
      </c>
      <c r="D105" s="15">
        <f>IFERROR(__xludf.DUMMYFUNCTION("""COMPUTED_VALUE"""),0.3310679402554231)</f>
        <v>0.3310679403</v>
      </c>
      <c r="E105" s="15">
        <f>IFERROR(__xludf.DUMMYFUNCTION("""COMPUTED_VALUE"""),0.11979306980042081)</f>
        <v>0.1197930698</v>
      </c>
      <c r="F105" s="15">
        <f>IFERROR(__xludf.DUMMYFUNCTION("""COMPUTED_VALUE"""),0.4508610100558439)</f>
        <v>0.4508610101</v>
      </c>
      <c r="G105" s="17">
        <f>IFERROR(__xludf.DUMMYFUNCTION("""COMPUTED_VALUE"""),0.029995339296045965)</f>
        <v>0.0299953393</v>
      </c>
      <c r="H105" s="4"/>
      <c r="I105" s="5" t="s">
        <v>2833</v>
      </c>
      <c r="J105" s="5" t="s">
        <v>2785</v>
      </c>
      <c r="K105" s="5">
        <v>41.0</v>
      </c>
      <c r="L105" s="5">
        <v>0.331068</v>
      </c>
      <c r="M105" s="5">
        <v>0.119793</v>
      </c>
      <c r="N105" s="5">
        <v>0.450861</v>
      </c>
      <c r="O105" s="5">
        <v>0.029995</v>
      </c>
    </row>
    <row r="106">
      <c r="A106" s="18" t="str">
        <f>IFERROR(__xludf.DUMMYFUNCTION("""COMPUTED_VALUE"""),"Anzejs Pasecniks")</f>
        <v>Anzejs Pasecniks</v>
      </c>
      <c r="B106" s="19" t="str">
        <f>IFERROR(__xludf.DUMMYFUNCTION("""COMPUTED_VALUE"""),"GCN")</f>
        <v>GCN</v>
      </c>
      <c r="C106" s="20">
        <f>IFERROR(__xludf.DUMMYFUNCTION("""COMPUTED_VALUE"""),312.5)</f>
        <v>312.5</v>
      </c>
      <c r="D106" s="21">
        <f>IFERROR(__xludf.DUMMYFUNCTION("""COMPUTED_VALUE"""),0.9393367370023831)</f>
        <v>0.939336737</v>
      </c>
      <c r="E106" s="21">
        <f>IFERROR(__xludf.DUMMYFUNCTION("""COMPUTED_VALUE"""),-0.5063516057051012)</f>
        <v>-0.5063516057</v>
      </c>
      <c r="F106" s="21">
        <f>IFERROR(__xludf.DUMMYFUNCTION("""COMPUTED_VALUE"""),0.4329851312972819)</f>
        <v>0.4329851313</v>
      </c>
      <c r="G106" s="23">
        <f>IFERROR(__xludf.DUMMYFUNCTION("""COMPUTED_VALUE"""),0.22705818172741243)</f>
        <v>0.2270581817</v>
      </c>
      <c r="H106" s="4"/>
      <c r="I106" s="5" t="s">
        <v>553</v>
      </c>
      <c r="J106" s="5" t="s">
        <v>97</v>
      </c>
      <c r="K106" s="5">
        <v>313.0</v>
      </c>
      <c r="L106" s="5">
        <v>0.939337</v>
      </c>
      <c r="M106" s="5">
        <v>-0.506352</v>
      </c>
      <c r="N106" s="5">
        <v>0.432985</v>
      </c>
      <c r="O106" s="5">
        <v>0.227058</v>
      </c>
    </row>
    <row r="107">
      <c r="A107" s="12" t="str">
        <f>IFERROR(__xludf.DUMMYFUNCTION("""COMPUTED_VALUE"""),"Maurice Ndour")</f>
        <v>Maurice Ndour</v>
      </c>
      <c r="B107" s="13" t="str">
        <f>IFERROR(__xludf.DUMMYFUNCTION("""COMPUTED_VALUE"""),"UNI")</f>
        <v>UNI</v>
      </c>
      <c r="C107" s="14">
        <f>IFERROR(__xludf.DUMMYFUNCTION("""COMPUTED_VALUE"""),211.0)</f>
        <v>211</v>
      </c>
      <c r="D107" s="15">
        <f>IFERROR(__xludf.DUMMYFUNCTION("""COMPUTED_VALUE"""),-2.7444934742545652)</f>
        <v>-2.744493474</v>
      </c>
      <c r="E107" s="15">
        <f>IFERROR(__xludf.DUMMYFUNCTION("""COMPUTED_VALUE"""),3.14536888421076)</f>
        <v>3.145368884</v>
      </c>
      <c r="F107" s="15">
        <f>IFERROR(__xludf.DUMMYFUNCTION("""COMPUTED_VALUE"""),0.4008754099561947)</f>
        <v>0.40087541</v>
      </c>
      <c r="G107" s="17">
        <f>IFERROR(__xludf.DUMMYFUNCTION("""COMPUTED_VALUE"""),0.1524407589248398)</f>
        <v>0.1524407589</v>
      </c>
      <c r="H107" s="4"/>
      <c r="I107" s="5" t="s">
        <v>2795</v>
      </c>
      <c r="J107" s="5" t="s">
        <v>22</v>
      </c>
      <c r="K107" s="5">
        <v>211.0</v>
      </c>
      <c r="L107" s="5">
        <v>-2.744493</v>
      </c>
      <c r="M107" s="5">
        <v>3.145369</v>
      </c>
      <c r="N107" s="5">
        <v>0.400875</v>
      </c>
      <c r="O107" s="5">
        <v>0.152441</v>
      </c>
    </row>
    <row r="108">
      <c r="A108" s="18" t="str">
        <f>IFERROR(__xludf.DUMMYFUNCTION("""COMPUTED_VALUE"""),"Marcell Pongo")</f>
        <v>Marcell Pongo</v>
      </c>
      <c r="B108" s="19" t="str">
        <f>IFERROR(__xludf.DUMMYFUNCTION("""COMPUTED_VALUE"""),"RUL")</f>
        <v>RUL</v>
      </c>
      <c r="C108" s="20">
        <f>IFERROR(__xludf.DUMMYFUNCTION("""COMPUTED_VALUE"""),12.1)</f>
        <v>12.1</v>
      </c>
      <c r="D108" s="21">
        <f>IFERROR(__xludf.DUMMYFUNCTION("""COMPUTED_VALUE"""),0.3706681891787402)</f>
        <v>0.3706681892</v>
      </c>
      <c r="E108" s="21">
        <f>IFERROR(__xludf.DUMMYFUNCTION("""COMPUTED_VALUE"""),0.028786707088202856)</f>
        <v>0.02878670709</v>
      </c>
      <c r="F108" s="21">
        <f>IFERROR(__xludf.DUMMYFUNCTION("""COMPUTED_VALUE"""),0.3994548962669431)</f>
        <v>0.3994548963</v>
      </c>
      <c r="G108" s="23">
        <f>IFERROR(__xludf.DUMMYFUNCTION("""COMPUTED_VALUE"""),0.008850762559362966)</f>
        <v>0.008850762559</v>
      </c>
      <c r="H108" s="4"/>
      <c r="I108" s="5" t="s">
        <v>1121</v>
      </c>
      <c r="J108" s="5" t="s">
        <v>693</v>
      </c>
      <c r="K108" s="5">
        <v>12.0</v>
      </c>
      <c r="L108" s="5">
        <v>0.370668</v>
      </c>
      <c r="M108" s="5">
        <v>0.028787</v>
      </c>
      <c r="N108" s="5">
        <v>0.399455</v>
      </c>
      <c r="O108" s="5">
        <v>0.008851</v>
      </c>
    </row>
    <row r="109">
      <c r="A109" s="12" t="str">
        <f>IFERROR(__xludf.DUMMYFUNCTION("""COMPUTED_VALUE"""),"Filip Barovic")</f>
        <v>Filip Barovic</v>
      </c>
      <c r="B109" s="13" t="str">
        <f>IFERROR(__xludf.DUMMYFUNCTION("""COMPUTED_VALUE"""),"BUD")</f>
        <v>BUD</v>
      </c>
      <c r="C109" s="14">
        <f>IFERROR(__xludf.DUMMYFUNCTION("""COMPUTED_VALUE"""),142.8)</f>
        <v>142.8</v>
      </c>
      <c r="D109" s="15">
        <f>IFERROR(__xludf.DUMMYFUNCTION("""COMPUTED_VALUE"""),-0.6467340141198893)</f>
        <v>-0.6467340141</v>
      </c>
      <c r="E109" s="15">
        <f>IFERROR(__xludf.DUMMYFUNCTION("""COMPUTED_VALUE"""),1.0305994370319072)</f>
        <v>1.030599437</v>
      </c>
      <c r="F109" s="15">
        <f>IFERROR(__xludf.DUMMYFUNCTION("""COMPUTED_VALUE"""),0.38386542291201775)</f>
        <v>0.3838654229</v>
      </c>
      <c r="G109" s="17">
        <f>IFERROR(__xludf.DUMMYFUNCTION("""COMPUTED_VALUE"""),0.10236925249250294)</f>
        <v>0.1023692525</v>
      </c>
      <c r="H109" s="4"/>
      <c r="I109" s="5" t="s">
        <v>1242</v>
      </c>
      <c r="J109" s="5" t="s">
        <v>914</v>
      </c>
      <c r="K109" s="5">
        <v>143.0</v>
      </c>
      <c r="L109" s="5">
        <v>-0.646734</v>
      </c>
      <c r="M109" s="5">
        <v>1.030599</v>
      </c>
      <c r="N109" s="5">
        <v>0.383865</v>
      </c>
      <c r="O109" s="5">
        <v>0.102369</v>
      </c>
    </row>
    <row r="110">
      <c r="A110" s="18" t="str">
        <f>IFERROR(__xludf.DUMMYFUNCTION("""COMPUTED_VALUE"""),"David Okeke")</f>
        <v>David Okeke</v>
      </c>
      <c r="B110" s="19" t="str">
        <f>IFERROR(__xludf.DUMMYFUNCTION("""COMPUTED_VALUE"""),"TOR")</f>
        <v>TOR</v>
      </c>
      <c r="C110" s="20">
        <f>IFERROR(__xludf.DUMMYFUNCTION("""COMPUTED_VALUE"""),204.3)</f>
        <v>204.3</v>
      </c>
      <c r="D110" s="21">
        <f>IFERROR(__xludf.DUMMYFUNCTION("""COMPUTED_VALUE"""),-0.10839419193875308)</f>
        <v>-0.1083941919</v>
      </c>
      <c r="E110" s="21">
        <f>IFERROR(__xludf.DUMMYFUNCTION("""COMPUTED_VALUE"""),0.4829895692252676)</f>
        <v>0.4829895692</v>
      </c>
      <c r="F110" s="21">
        <f>IFERROR(__xludf.DUMMYFUNCTION("""COMPUTED_VALUE"""),0.37459537728651454)</f>
        <v>0.3745953773</v>
      </c>
      <c r="G110" s="23">
        <f>IFERROR(__xludf.DUMMYFUNCTION("""COMPUTED_VALUE"""),0.1479146823443645)</f>
        <v>0.1479146823</v>
      </c>
      <c r="H110" s="4"/>
      <c r="I110" s="5" t="s">
        <v>2505</v>
      </c>
      <c r="J110" s="5" t="s">
        <v>2140</v>
      </c>
      <c r="K110" s="24">
        <v>204.0</v>
      </c>
      <c r="L110" s="5">
        <v>-0.108394</v>
      </c>
      <c r="M110" s="5">
        <v>0.48299</v>
      </c>
      <c r="N110" s="5">
        <v>0.374595</v>
      </c>
      <c r="O110" s="5">
        <v>0.147915</v>
      </c>
    </row>
    <row r="111">
      <c r="A111" s="12" t="str">
        <f>IFERROR(__xludf.DUMMYFUNCTION("""COMPUTED_VALUE"""),"Andres Pablo Forray")</f>
        <v>Andres Pablo Forray</v>
      </c>
      <c r="B111" s="13" t="str">
        <f>IFERROR(__xludf.DUMMYFUNCTION("""COMPUTED_VALUE"""),"TREN")</f>
        <v>TREN</v>
      </c>
      <c r="C111" s="14">
        <f>IFERROR(__xludf.DUMMYFUNCTION("""COMPUTED_VALUE"""),354.5)</f>
        <v>354.5</v>
      </c>
      <c r="D111" s="15">
        <f>IFERROR(__xludf.DUMMYFUNCTION("""COMPUTED_VALUE"""),-0.6824203230868718)</f>
        <v>-0.6824203231</v>
      </c>
      <c r="E111" s="15">
        <f>IFERROR(__xludf.DUMMYFUNCTION("""COMPUTED_VALUE"""),1.035602912002196)</f>
        <v>1.035602912</v>
      </c>
      <c r="F111" s="15">
        <f>IFERROR(__xludf.DUMMYFUNCTION("""COMPUTED_VALUE"""),0.35318258891532406)</f>
        <v>0.3531825889</v>
      </c>
      <c r="G111" s="17">
        <f>IFERROR(__xludf.DUMMYFUNCTION("""COMPUTED_VALUE"""),0.25039436592959374)</f>
        <v>0.2503943659</v>
      </c>
      <c r="H111" s="4"/>
      <c r="I111" s="5" t="s">
        <v>2151</v>
      </c>
      <c r="J111" s="5" t="s">
        <v>2143</v>
      </c>
      <c r="K111" s="5">
        <v>355.0</v>
      </c>
      <c r="L111" s="5">
        <v>-0.68242</v>
      </c>
      <c r="M111" s="5">
        <v>1.035603</v>
      </c>
      <c r="N111" s="5">
        <v>0.353183</v>
      </c>
      <c r="O111" s="5">
        <v>0.250394</v>
      </c>
    </row>
    <row r="112">
      <c r="A112" s="18" t="str">
        <f>IFERROR(__xludf.DUMMYFUNCTION("""COMPUTED_VALUE"""),"Spencer Butterfield")</f>
        <v>Spencer Butterfield</v>
      </c>
      <c r="B112" s="19" t="str">
        <f>IFERROR(__xludf.DUMMYFUNCTION("""COMPUTED_VALUE"""),"BER")</f>
        <v>BER</v>
      </c>
      <c r="C112" s="20">
        <f>IFERROR(__xludf.DUMMYFUNCTION("""COMPUTED_VALUE"""),270.9)</f>
        <v>270.9</v>
      </c>
      <c r="D112" s="21">
        <f>IFERROR(__xludf.DUMMYFUNCTION("""COMPUTED_VALUE"""),2.670311990037231)</f>
        <v>2.67031199</v>
      </c>
      <c r="E112" s="21">
        <f>IFERROR(__xludf.DUMMYFUNCTION("""COMPUTED_VALUE"""),-2.3201703547531096)</f>
        <v>-2.320170355</v>
      </c>
      <c r="F112" s="21">
        <f>IFERROR(__xludf.DUMMYFUNCTION("""COMPUTED_VALUE"""),0.35014163528412146)</f>
        <v>0.3501416353</v>
      </c>
      <c r="G112" s="23">
        <f>IFERROR(__xludf.DUMMYFUNCTION("""COMPUTED_VALUE"""),0.19333434122304805)</f>
        <v>0.1933343412</v>
      </c>
      <c r="H112" s="4"/>
      <c r="I112" s="5" t="s">
        <v>664</v>
      </c>
      <c r="J112" s="5" t="s">
        <v>634</v>
      </c>
      <c r="K112" s="24">
        <v>271.0</v>
      </c>
      <c r="L112" s="5">
        <v>2.670312</v>
      </c>
      <c r="M112" s="5">
        <v>-2.32017</v>
      </c>
      <c r="N112" s="5">
        <v>0.350142</v>
      </c>
      <c r="O112" s="5">
        <v>0.193334</v>
      </c>
    </row>
    <row r="113">
      <c r="A113" s="12" t="str">
        <f>IFERROR(__xludf.DUMMYFUNCTION("""COMPUTED_VALUE"""),"Ojars Silins")</f>
        <v>Ojars Silins</v>
      </c>
      <c r="B113" s="13" t="str">
        <f>IFERROR(__xludf.DUMMYFUNCTION("""COMPUTED_VALUE"""),"TREN")</f>
        <v>TREN</v>
      </c>
      <c r="C113" s="14">
        <f>IFERROR(__xludf.DUMMYFUNCTION("""COMPUTED_VALUE"""),267.5)</f>
        <v>267.5</v>
      </c>
      <c r="D113" s="15">
        <f>IFERROR(__xludf.DUMMYFUNCTION("""COMPUTED_VALUE"""),-0.6148371419999322)</f>
        <v>-0.614837142</v>
      </c>
      <c r="E113" s="15">
        <f>IFERROR(__xludf.DUMMYFUNCTION("""COMPUTED_VALUE"""),0.9088315934945606)</f>
        <v>0.9088315935</v>
      </c>
      <c r="F113" s="15">
        <f>IFERROR(__xludf.DUMMYFUNCTION("""COMPUTED_VALUE"""),0.29399445149462833)</f>
        <v>0.2939944515</v>
      </c>
      <c r="G113" s="17">
        <f>IFERROR(__xludf.DUMMYFUNCTION("""COMPUTED_VALUE"""),0.18419118258496608)</f>
        <v>0.1841911826</v>
      </c>
      <c r="H113" s="4"/>
      <c r="I113" s="5" t="s">
        <v>2144</v>
      </c>
      <c r="J113" s="5" t="s">
        <v>2143</v>
      </c>
      <c r="K113" s="5">
        <v>268.0</v>
      </c>
      <c r="L113" s="5">
        <v>-0.614837</v>
      </c>
      <c r="M113" s="5">
        <v>0.908832</v>
      </c>
      <c r="N113" s="5">
        <v>0.293994</v>
      </c>
      <c r="O113" s="5">
        <v>0.184191</v>
      </c>
    </row>
    <row r="114">
      <c r="A114" s="18" t="str">
        <f>IFERROR(__xludf.DUMMYFUNCTION("""COMPUTED_VALUE"""),"James Bell")</f>
        <v>James Bell</v>
      </c>
      <c r="B114" s="19" t="str">
        <f>IFERROR(__xludf.DUMMYFUNCTION("""COMPUTED_VALUE"""),"DBI")</f>
        <v>DBI</v>
      </c>
      <c r="C114" s="20">
        <f>IFERROR(__xludf.DUMMYFUNCTION("""COMPUTED_VALUE"""),393.6)</f>
        <v>393.6</v>
      </c>
      <c r="D114" s="21">
        <f>IFERROR(__xludf.DUMMYFUNCTION("""COMPUTED_VALUE"""),-1.1660421517601869)</f>
        <v>-1.166042152</v>
      </c>
      <c r="E114" s="21">
        <f>IFERROR(__xludf.DUMMYFUNCTION("""COMPUTED_VALUE"""),1.454882240629373)</f>
        <v>1.454882241</v>
      </c>
      <c r="F114" s="21">
        <f>IFERROR(__xludf.DUMMYFUNCTION("""COMPUTED_VALUE"""),0.2888400888691862)</f>
        <v>0.2888400889</v>
      </c>
      <c r="G114" s="23">
        <f>IFERROR(__xludf.DUMMYFUNCTION("""COMPUTED_VALUE"""),0.2715686314741086)</f>
        <v>0.2715686315</v>
      </c>
      <c r="H114" s="4"/>
      <c r="I114" s="5" t="s">
        <v>1955</v>
      </c>
      <c r="J114" s="5" t="s">
        <v>1884</v>
      </c>
      <c r="K114" s="5">
        <v>394.0</v>
      </c>
      <c r="L114" s="5">
        <v>-1.166042</v>
      </c>
      <c r="M114" s="5">
        <v>1.454882</v>
      </c>
      <c r="N114" s="5">
        <v>0.28884</v>
      </c>
      <c r="O114" s="5">
        <v>0.271569</v>
      </c>
    </row>
    <row r="115">
      <c r="A115" s="12" t="str">
        <f>IFERROR(__xludf.DUMMYFUNCTION("""COMPUTED_VALUE"""),"Grigori Shukhovtsov")</f>
        <v>Grigori Shukhovtsov</v>
      </c>
      <c r="B115" s="13" t="str">
        <f>IFERROR(__xludf.DUMMYFUNCTION("""COMPUTED_VALUE"""),"UNI")</f>
        <v>UNI</v>
      </c>
      <c r="C115" s="14">
        <f>IFERROR(__xludf.DUMMYFUNCTION("""COMPUTED_VALUE"""),23.4)</f>
        <v>23.4</v>
      </c>
      <c r="D115" s="15">
        <f>IFERROR(__xludf.DUMMYFUNCTION("""COMPUTED_VALUE"""),-0.04707430825004976)</f>
        <v>-0.04707430825</v>
      </c>
      <c r="E115" s="15">
        <f>IFERROR(__xludf.DUMMYFUNCTION("""COMPUTED_VALUE"""),0.3035360317419383)</f>
        <v>0.3035360317</v>
      </c>
      <c r="F115" s="15">
        <f>IFERROR(__xludf.DUMMYFUNCTION("""COMPUTED_VALUE"""),0.2564617234918885)</f>
        <v>0.2564617235</v>
      </c>
      <c r="G115" s="17">
        <f>IFERROR(__xludf.DUMMYFUNCTION("""COMPUTED_VALUE"""),0.015888864147362902)</f>
        <v>0.01588886415</v>
      </c>
      <c r="H115" s="4"/>
      <c r="I115" s="5" t="s">
        <v>2896</v>
      </c>
      <c r="J115" s="5" t="s">
        <v>22</v>
      </c>
      <c r="K115" s="24">
        <v>23.0</v>
      </c>
      <c r="L115" s="5">
        <v>-0.047074</v>
      </c>
      <c r="M115" s="5">
        <v>0.303536</v>
      </c>
      <c r="N115" s="5">
        <v>0.256462</v>
      </c>
      <c r="O115" s="5">
        <v>0.015889</v>
      </c>
    </row>
    <row r="116">
      <c r="A116" s="18" t="str">
        <f>IFERROR(__xludf.DUMMYFUNCTION("""COMPUTED_VALUE"""),"Muhsin Yasar")</f>
        <v>Muhsin Yasar</v>
      </c>
      <c r="B116" s="19" t="str">
        <f>IFERROR(__xludf.DUMMYFUNCTION("""COMPUTED_VALUE"""),"TOF")</f>
        <v>TOF</v>
      </c>
      <c r="C116" s="20">
        <f>IFERROR(__xludf.DUMMYFUNCTION("""COMPUTED_VALUE"""),33.4)</f>
        <v>33.4</v>
      </c>
      <c r="D116" s="21">
        <f>IFERROR(__xludf.DUMMYFUNCTION("""COMPUTED_VALUE"""),0.16415638966291027)</f>
        <v>0.1641563897</v>
      </c>
      <c r="E116" s="21">
        <f>IFERROR(__xludf.DUMMYFUNCTION("""COMPUTED_VALUE"""),0.08588673479978357)</f>
        <v>0.0858867348</v>
      </c>
      <c r="F116" s="21">
        <f>IFERROR(__xludf.DUMMYFUNCTION("""COMPUTED_VALUE"""),0.25004312446269383)</f>
        <v>0.2500431245</v>
      </c>
      <c r="G116" s="23">
        <f>IFERROR(__xludf.DUMMYFUNCTION("""COMPUTED_VALUE"""),0.02289370953147664)</f>
        <v>0.02289370953</v>
      </c>
      <c r="H116" s="4"/>
      <c r="I116" s="5" t="s">
        <v>1936</v>
      </c>
      <c r="J116" s="5" t="s">
        <v>1878</v>
      </c>
      <c r="K116" s="5">
        <v>33.0</v>
      </c>
      <c r="L116" s="5">
        <v>0.164156</v>
      </c>
      <c r="M116" s="5">
        <v>0.085887</v>
      </c>
      <c r="N116" s="5">
        <v>0.250043</v>
      </c>
      <c r="O116" s="5">
        <v>0.022894</v>
      </c>
    </row>
    <row r="117">
      <c r="A117" s="12" t="str">
        <f>IFERROR(__xludf.DUMMYFUNCTION("""COMPUTED_VALUE"""),"David Kramer")</f>
        <v>David Kramer</v>
      </c>
      <c r="B117" s="13" t="str">
        <f>IFERROR(__xludf.DUMMYFUNCTION("""COMPUTED_VALUE"""),"RUL")</f>
        <v>RUL</v>
      </c>
      <c r="C117" s="14">
        <f>IFERROR(__xludf.DUMMYFUNCTION("""COMPUTED_VALUE"""),77.7)</f>
        <v>77.7</v>
      </c>
      <c r="D117" s="15">
        <f>IFERROR(__xludf.DUMMYFUNCTION("""COMPUTED_VALUE"""),1.2110206820740945)</f>
        <v>1.211020682</v>
      </c>
      <c r="E117" s="15">
        <f>IFERROR(__xludf.DUMMYFUNCTION("""COMPUTED_VALUE"""),-0.9654131790636354)</f>
        <v>-0.9654131791</v>
      </c>
      <c r="F117" s="15">
        <f>IFERROR(__xludf.DUMMYFUNCTION("""COMPUTED_VALUE"""),0.24560750301045906)</f>
        <v>0.245607503</v>
      </c>
      <c r="G117" s="17">
        <f>IFERROR(__xludf.DUMMYFUNCTION("""COMPUTED_VALUE"""),0.053190931816547805)</f>
        <v>0.05319093182</v>
      </c>
      <c r="H117" s="4"/>
      <c r="I117" s="5" t="s">
        <v>1193</v>
      </c>
      <c r="J117" s="5" t="s">
        <v>693</v>
      </c>
      <c r="K117" s="5">
        <v>78.0</v>
      </c>
      <c r="L117" s="5">
        <v>1.211021</v>
      </c>
      <c r="M117" s="5">
        <v>-0.965413</v>
      </c>
      <c r="N117" s="5">
        <v>0.245608</v>
      </c>
      <c r="O117" s="5">
        <v>0.053191</v>
      </c>
    </row>
    <row r="118">
      <c r="A118" s="18" t="str">
        <f>IFERROR(__xludf.DUMMYFUNCTION("""COMPUTED_VALUE"""),"Arnas Butkevicius")</f>
        <v>Arnas Butkevicius</v>
      </c>
      <c r="B118" s="19" t="str">
        <f>IFERROR(__xludf.DUMMYFUNCTION("""COMPUTED_VALUE"""),"LIE")</f>
        <v>LIE</v>
      </c>
      <c r="C118" s="20">
        <f>IFERROR(__xludf.DUMMYFUNCTION("""COMPUTED_VALUE"""),93.7)</f>
        <v>93.7</v>
      </c>
      <c r="D118" s="21">
        <f>IFERROR(__xludf.DUMMYFUNCTION("""COMPUTED_VALUE"""),-0.017560142646557503)</f>
        <v>-0.01756014265</v>
      </c>
      <c r="E118" s="21">
        <f>IFERROR(__xludf.DUMMYFUNCTION("""COMPUTED_VALUE"""),0.26310646467941323)</f>
        <v>0.2631064647</v>
      </c>
      <c r="F118" s="21">
        <f>IFERROR(__xludf.DUMMYFUNCTION("""COMPUTED_VALUE"""),0.2455463220328557)</f>
        <v>0.245546322</v>
      </c>
      <c r="G118" s="23">
        <f>IFERROR(__xludf.DUMMYFUNCTION("""COMPUTED_VALUE"""),0.06364943582750804)</f>
        <v>0.06364943583</v>
      </c>
      <c r="H118" s="4"/>
      <c r="I118" s="5" t="s">
        <v>2355</v>
      </c>
      <c r="J118" s="5" t="s">
        <v>2352</v>
      </c>
      <c r="K118" s="24">
        <v>94.0</v>
      </c>
      <c r="L118" s="5">
        <v>-0.01756</v>
      </c>
      <c r="M118" s="5">
        <v>0.263106</v>
      </c>
      <c r="N118" s="5">
        <v>0.245546</v>
      </c>
      <c r="O118" s="5">
        <v>0.063649</v>
      </c>
    </row>
    <row r="119">
      <c r="A119" s="12" t="str">
        <f>IFERROR(__xludf.DUMMYFUNCTION("""COMPUTED_VALUE"""),"Tim Ohlbrecht")</f>
        <v>Tim Ohlbrecht</v>
      </c>
      <c r="B119" s="13" t="str">
        <f>IFERROR(__xludf.DUMMYFUNCTION("""COMPUTED_VALUE"""),"RUL")</f>
        <v>RUL</v>
      </c>
      <c r="C119" s="14">
        <f>IFERROR(__xludf.DUMMYFUNCTION("""COMPUTED_VALUE"""),16.4)</f>
        <v>16.4</v>
      </c>
      <c r="D119" s="15">
        <f>IFERROR(__xludf.DUMMYFUNCTION("""COMPUTED_VALUE"""),0.29998982998631657)</f>
        <v>0.29998983</v>
      </c>
      <c r="E119" s="15">
        <f>IFERROR(__xludf.DUMMYFUNCTION("""COMPUTED_VALUE"""),-0.08789420013553559)</f>
        <v>-0.08789420014</v>
      </c>
      <c r="F119" s="15">
        <f>IFERROR(__xludf.DUMMYFUNCTION("""COMPUTED_VALUE"""),0.21209562985078098)</f>
        <v>0.2120956299</v>
      </c>
      <c r="G119" s="17">
        <f>IFERROR(__xludf.DUMMYFUNCTION("""COMPUTED_VALUE"""),0.011059372212032698)</f>
        <v>0.01105937221</v>
      </c>
      <c r="H119" s="4"/>
      <c r="I119" s="5" t="s">
        <v>1130</v>
      </c>
      <c r="J119" s="5" t="s">
        <v>693</v>
      </c>
      <c r="K119" s="24">
        <v>16.0</v>
      </c>
      <c r="L119" s="5">
        <v>0.29999</v>
      </c>
      <c r="M119" s="5">
        <v>-0.087894</v>
      </c>
      <c r="N119" s="5">
        <v>0.212096</v>
      </c>
      <c r="O119" s="5">
        <v>0.011059</v>
      </c>
    </row>
    <row r="120">
      <c r="A120" s="18" t="str">
        <f>IFERROR(__xludf.DUMMYFUNCTION("""COMPUTED_VALUE"""),"Akeem Vargas")</f>
        <v>Akeem Vargas</v>
      </c>
      <c r="B120" s="19" t="str">
        <f>IFERROR(__xludf.DUMMYFUNCTION("""COMPUTED_VALUE"""),"BER")</f>
        <v>BER</v>
      </c>
      <c r="C120" s="20">
        <f>IFERROR(__xludf.DUMMYFUNCTION("""COMPUTED_VALUE"""),246.3)</f>
        <v>246.3</v>
      </c>
      <c r="D120" s="21">
        <f>IFERROR(__xludf.DUMMYFUNCTION("""COMPUTED_VALUE"""),0.7851194687972969)</f>
        <v>0.7851194688</v>
      </c>
      <c r="E120" s="21">
        <f>IFERROR(__xludf.DUMMYFUNCTION("""COMPUTED_VALUE"""),-0.5923401460073454)</f>
        <v>-0.592340146</v>
      </c>
      <c r="F120" s="21">
        <f>IFERROR(__xludf.DUMMYFUNCTION("""COMPUTED_VALUE"""),0.1927793227899514)</f>
        <v>0.1927793228</v>
      </c>
      <c r="G120" s="23">
        <f>IFERROR(__xludf.DUMMYFUNCTION("""COMPUTED_VALUE"""),0.16400810114223963)</f>
        <v>0.1640081011</v>
      </c>
      <c r="H120" s="4"/>
      <c r="I120" s="5" t="s">
        <v>919</v>
      </c>
      <c r="J120" s="5" t="s">
        <v>634</v>
      </c>
      <c r="K120" s="5">
        <v>246.0</v>
      </c>
      <c r="L120" s="5">
        <v>0.785119</v>
      </c>
      <c r="M120" s="5">
        <v>-0.59234</v>
      </c>
      <c r="N120" s="5">
        <v>0.192779</v>
      </c>
      <c r="O120" s="5">
        <v>0.164008</v>
      </c>
    </row>
    <row r="121">
      <c r="A121" s="12" t="str">
        <f>IFERROR(__xludf.DUMMYFUNCTION("""COMPUTED_VALUE"""),"Scotty Hopson")</f>
        <v>Scotty Hopson</v>
      </c>
      <c r="B121" s="13" t="str">
        <f>IFERROR(__xludf.DUMMYFUNCTION("""COMPUTED_VALUE"""),"GAL")</f>
        <v>GAL</v>
      </c>
      <c r="C121" s="14">
        <f>IFERROR(__xludf.DUMMYFUNCTION("""COMPUTED_VALUE"""),282.9)</f>
        <v>282.9</v>
      </c>
      <c r="D121" s="15">
        <f>IFERROR(__xludf.DUMMYFUNCTION("""COMPUTED_VALUE"""),0.7793163149438818)</f>
        <v>0.7793163149</v>
      </c>
      <c r="E121" s="15">
        <f>IFERROR(__xludf.DUMMYFUNCTION("""COMPUTED_VALUE"""),-0.5905187141591172)</f>
        <v>-0.5905187142</v>
      </c>
      <c r="F121" s="15">
        <f>IFERROR(__xludf.DUMMYFUNCTION("""COMPUTED_VALUE"""),0.1887976007847646)</f>
        <v>0.1887976008</v>
      </c>
      <c r="G121" s="17">
        <f>IFERROR(__xludf.DUMMYFUNCTION("""COMPUTED_VALUE"""),0.18176865888870014)</f>
        <v>0.1817686589</v>
      </c>
      <c r="H121" s="4"/>
      <c r="I121" s="5" t="s">
        <v>1930</v>
      </c>
      <c r="J121" s="5" t="s">
        <v>1592</v>
      </c>
      <c r="K121" s="5">
        <v>283.0</v>
      </c>
      <c r="L121" s="5">
        <v>0.779316</v>
      </c>
      <c r="M121" s="5">
        <v>-0.590519</v>
      </c>
      <c r="N121" s="5">
        <v>0.188798</v>
      </c>
      <c r="O121" s="5">
        <v>0.181769</v>
      </c>
    </row>
    <row r="122">
      <c r="A122" s="18" t="str">
        <f>IFERROR(__xludf.DUMMYFUNCTION("""COMPUTED_VALUE"""),"Jerrelle Benimon")</f>
        <v>Jerrelle Benimon</v>
      </c>
      <c r="B122" s="19" t="str">
        <f>IFERROR(__xludf.DUMMYFUNCTION("""COMPUTED_VALUE"""),"RUL")</f>
        <v>RUL</v>
      </c>
      <c r="C122" s="20">
        <f>IFERROR(__xludf.DUMMYFUNCTION("""COMPUTED_VALUE"""),122.5)</f>
        <v>122.5</v>
      </c>
      <c r="D122" s="21">
        <f>IFERROR(__xludf.DUMMYFUNCTION("""COMPUTED_VALUE"""),-0.4161947470628033)</f>
        <v>-0.4161947471</v>
      </c>
      <c r="E122" s="21">
        <f>IFERROR(__xludf.DUMMYFUNCTION("""COMPUTED_VALUE"""),0.6004085720582171)</f>
        <v>0.6004085721</v>
      </c>
      <c r="F122" s="21">
        <f>IFERROR(__xludf.DUMMYFUNCTION("""COMPUTED_VALUE"""),0.18421382499541375)</f>
        <v>0.184213825</v>
      </c>
      <c r="G122" s="23">
        <f>IFERROR(__xludf.DUMMYFUNCTION("""COMPUTED_VALUE"""),0.08156690232255376)</f>
        <v>0.08156690232</v>
      </c>
      <c r="H122" s="4"/>
      <c r="I122" s="5" t="s">
        <v>742</v>
      </c>
      <c r="J122" s="5" t="s">
        <v>693</v>
      </c>
      <c r="K122" s="24">
        <v>123.0</v>
      </c>
      <c r="L122" s="5">
        <v>-0.416195</v>
      </c>
      <c r="M122" s="5">
        <v>0.600409</v>
      </c>
      <c r="N122" s="5">
        <v>0.184214</v>
      </c>
      <c r="O122" s="5">
        <v>0.081567</v>
      </c>
    </row>
    <row r="123">
      <c r="A123" s="12" t="str">
        <f>IFERROR(__xludf.DUMMYFUNCTION("""COMPUTED_VALUE"""),"Gavin Ware")</f>
        <v>Gavin Ware</v>
      </c>
      <c r="B123" s="13" t="str">
        <f>IFERROR(__xludf.DUMMYFUNCTION("""COMPUTED_VALUE"""),"PLV")</f>
        <v>PLV</v>
      </c>
      <c r="C123" s="14">
        <f>IFERROR(__xludf.DUMMYFUNCTION("""COMPUTED_VALUE"""),195.9)</f>
        <v>195.9</v>
      </c>
      <c r="D123" s="15">
        <f>IFERROR(__xludf.DUMMYFUNCTION("""COMPUTED_VALUE"""),-0.6690792074051315)</f>
        <v>-0.6690792074</v>
      </c>
      <c r="E123" s="15">
        <f>IFERROR(__xludf.DUMMYFUNCTION("""COMPUTED_VALUE"""),0.8213230031453058)</f>
        <v>0.8213230031</v>
      </c>
      <c r="F123" s="15">
        <f>IFERROR(__xludf.DUMMYFUNCTION("""COMPUTED_VALUE"""),0.15224379574017438)</f>
        <v>0.1522437957</v>
      </c>
      <c r="G123" s="17">
        <f>IFERROR(__xludf.DUMMYFUNCTION("""COMPUTED_VALUE"""),0.1285569287372335)</f>
        <v>0.1285569287</v>
      </c>
      <c r="H123" s="4"/>
      <c r="I123" s="5" t="s">
        <v>1416</v>
      </c>
      <c r="J123" s="5" t="s">
        <v>1355</v>
      </c>
      <c r="K123" s="5">
        <v>196.0</v>
      </c>
      <c r="L123" s="5">
        <v>-0.669079</v>
      </c>
      <c r="M123" s="5">
        <v>0.821323</v>
      </c>
      <c r="N123" s="5">
        <v>0.152244</v>
      </c>
      <c r="O123" s="5">
        <v>0.128557</v>
      </c>
    </row>
    <row r="124">
      <c r="A124" s="18" t="str">
        <f>IFERROR(__xludf.DUMMYFUNCTION("""COMPUTED_VALUE"""),"Tim Kempton")</f>
        <v>Tim Kempton</v>
      </c>
      <c r="B124" s="19" t="str">
        <f>IFERROR(__xludf.DUMMYFUNCTION("""COMPUTED_VALUE"""),"BBB")</f>
        <v>BBB</v>
      </c>
      <c r="C124" s="20">
        <f>IFERROR(__xludf.DUMMYFUNCTION("""COMPUTED_VALUE"""),39.5)</f>
        <v>39.5</v>
      </c>
      <c r="D124" s="21">
        <f>IFERROR(__xludf.DUMMYFUNCTION("""COMPUTED_VALUE"""),0.5034514723448051)</f>
        <v>0.5034514723</v>
      </c>
      <c r="E124" s="21">
        <f>IFERROR(__xludf.DUMMYFUNCTION("""COMPUTED_VALUE"""),-0.3560642956932477)</f>
        <v>-0.3560642957</v>
      </c>
      <c r="F124" s="21">
        <f>IFERROR(__xludf.DUMMYFUNCTION("""COMPUTED_VALUE"""),0.14738717665155746)</f>
        <v>0.1473871767</v>
      </c>
      <c r="G124" s="23">
        <f>IFERROR(__xludf.DUMMYFUNCTION("""COMPUTED_VALUE"""),0.025859009939056866)</f>
        <v>0.02585900994</v>
      </c>
      <c r="H124" s="4"/>
      <c r="I124" s="5" t="s">
        <v>583</v>
      </c>
      <c r="J124" s="5" t="s">
        <v>113</v>
      </c>
      <c r="K124" s="5">
        <v>40.0</v>
      </c>
      <c r="L124" s="5">
        <v>0.503451</v>
      </c>
      <c r="M124" s="5">
        <v>-0.356064</v>
      </c>
      <c r="N124" s="5">
        <v>0.147387</v>
      </c>
      <c r="O124" s="5">
        <v>0.025859</v>
      </c>
    </row>
    <row r="125">
      <c r="A125" s="12" t="str">
        <f>IFERROR(__xludf.DUMMYFUNCTION("""COMPUTED_VALUE"""),"Serkan Aydin")</f>
        <v>Serkan Aydin</v>
      </c>
      <c r="B125" s="13" t="str">
        <f>IFERROR(__xludf.DUMMYFUNCTION("""COMPUTED_VALUE"""),"GAL")</f>
        <v>GAL</v>
      </c>
      <c r="C125" s="14">
        <f>IFERROR(__xludf.DUMMYFUNCTION("""COMPUTED_VALUE"""),9.9)</f>
        <v>9.9</v>
      </c>
      <c r="D125" s="15">
        <f>IFERROR(__xludf.DUMMYFUNCTION("""COMPUTED_VALUE"""),0.2606890843461579)</f>
        <v>0.2606890843</v>
      </c>
      <c r="E125" s="15">
        <f>IFERROR(__xludf.DUMMYFUNCTION("""COMPUTED_VALUE"""),-0.1436480389157401)</f>
        <v>-0.1436480389</v>
      </c>
      <c r="F125" s="15">
        <f>IFERROR(__xludf.DUMMYFUNCTION("""COMPUTED_VALUE"""),0.1170410454304178)</f>
        <v>0.1170410454</v>
      </c>
      <c r="G125" s="17">
        <f>IFERROR(__xludf.DUMMYFUNCTION("""COMPUTED_VALUE"""),0.006152405112083906)</f>
        <v>0.006152405112</v>
      </c>
      <c r="H125" s="4"/>
      <c r="I125" s="5" t="s">
        <v>1997</v>
      </c>
      <c r="J125" s="5" t="s">
        <v>1592</v>
      </c>
      <c r="K125" s="24">
        <v>10.0</v>
      </c>
      <c r="L125" s="5">
        <v>0.260689</v>
      </c>
      <c r="M125" s="5">
        <v>-0.143648</v>
      </c>
      <c r="N125" s="5">
        <v>0.117041</v>
      </c>
      <c r="O125" s="5">
        <v>0.006152</v>
      </c>
    </row>
    <row r="126">
      <c r="A126" s="18" t="str">
        <f>IFERROR(__xludf.DUMMYFUNCTION("""COMPUTED_VALUE"""),"Demonte Harper")</f>
        <v>Demonte Harper</v>
      </c>
      <c r="B126" s="19" t="str">
        <f>IFERROR(__xludf.DUMMYFUNCTION("""COMPUTED_VALUE"""),"ZEN")</f>
        <v>ZEN</v>
      </c>
      <c r="C126" s="20">
        <f>IFERROR(__xludf.DUMMYFUNCTION("""COMPUTED_VALUE"""),424.0)</f>
        <v>424</v>
      </c>
      <c r="D126" s="21">
        <f>IFERROR(__xludf.DUMMYFUNCTION("""COMPUTED_VALUE"""),0.06128799484847958)</f>
        <v>0.06128799485</v>
      </c>
      <c r="E126" s="21">
        <f>IFERROR(__xludf.DUMMYFUNCTION("""COMPUTED_VALUE"""),0.05199959453915082)</f>
        <v>0.05199959454</v>
      </c>
      <c r="F126" s="21">
        <f>IFERROR(__xludf.DUMMYFUNCTION("""COMPUTED_VALUE"""),0.1132875893876304)</f>
        <v>0.1132875894</v>
      </c>
      <c r="G126" s="23">
        <f>IFERROR(__xludf.DUMMYFUNCTION("""COMPUTED_VALUE"""),0.2731810786281571)</f>
        <v>0.2731810786</v>
      </c>
      <c r="H126" s="4"/>
      <c r="I126" s="5" t="s">
        <v>2867</v>
      </c>
      <c r="J126" s="5" t="s">
        <v>2816</v>
      </c>
      <c r="K126" s="5">
        <v>424.0</v>
      </c>
      <c r="L126" s="5">
        <v>0.061288</v>
      </c>
      <c r="M126" s="5">
        <v>0.052</v>
      </c>
      <c r="N126" s="5">
        <v>0.113288</v>
      </c>
      <c r="O126" s="5">
        <v>0.273181</v>
      </c>
    </row>
    <row r="127">
      <c r="A127" s="12" t="str">
        <f>IFERROR(__xludf.DUMMYFUNCTION("""COMPUTED_VALUE"""),"T.J. Carter")</f>
        <v>T.J. Carter</v>
      </c>
      <c r="B127" s="13" t="str">
        <f>IFERROR(__xludf.DUMMYFUNCTION("""COMPUTED_VALUE"""),"LIE")</f>
        <v>LIE</v>
      </c>
      <c r="C127" s="14">
        <f>IFERROR(__xludf.DUMMYFUNCTION("""COMPUTED_VALUE"""),80.9)</f>
        <v>80.9</v>
      </c>
      <c r="D127" s="15">
        <f>IFERROR(__xludf.DUMMYFUNCTION("""COMPUTED_VALUE"""),0.6975207072596193)</f>
        <v>0.6975207073</v>
      </c>
      <c r="E127" s="15">
        <f>IFERROR(__xludf.DUMMYFUNCTION("""COMPUTED_VALUE"""),-0.6081567146704018)</f>
        <v>-0.6081567147</v>
      </c>
      <c r="F127" s="15">
        <f>IFERROR(__xludf.DUMMYFUNCTION("""COMPUTED_VALUE"""),0.08936399258921754)</f>
        <v>0.08936399259</v>
      </c>
      <c r="G127" s="17">
        <f>IFERROR(__xludf.DUMMYFUNCTION("""COMPUTED_VALUE"""),0.05113232926805603)</f>
        <v>0.05113232927</v>
      </c>
      <c r="H127" s="4"/>
      <c r="I127" s="5" t="s">
        <v>2545</v>
      </c>
      <c r="J127" s="5" t="s">
        <v>2352</v>
      </c>
      <c r="K127" s="5">
        <v>81.0</v>
      </c>
      <c r="L127" s="5">
        <v>0.697521</v>
      </c>
      <c r="M127" s="5">
        <v>-0.608157</v>
      </c>
      <c r="N127" s="5">
        <v>0.089364</v>
      </c>
      <c r="O127" s="5">
        <v>0.051132</v>
      </c>
    </row>
    <row r="128">
      <c r="A128" s="18" t="str">
        <f>IFERROR(__xludf.DUMMYFUNCTION("""COMPUTED_VALUE"""),"Niels Giffey")</f>
        <v>Niels Giffey</v>
      </c>
      <c r="B128" s="19" t="str">
        <f>IFERROR(__xludf.DUMMYFUNCTION("""COMPUTED_VALUE"""),"BER")</f>
        <v>BER</v>
      </c>
      <c r="C128" s="20">
        <f>IFERROR(__xludf.DUMMYFUNCTION("""COMPUTED_VALUE"""),236.6)</f>
        <v>236.6</v>
      </c>
      <c r="D128" s="21">
        <f>IFERROR(__xludf.DUMMYFUNCTION("""COMPUTED_VALUE"""),0.6612443365184175)</f>
        <v>0.6612443365</v>
      </c>
      <c r="E128" s="21">
        <f>IFERROR(__xludf.DUMMYFUNCTION("""COMPUTED_VALUE"""),-0.5795962446353802)</f>
        <v>-0.5795962446</v>
      </c>
      <c r="F128" s="21">
        <f>IFERROR(__xludf.DUMMYFUNCTION("""COMPUTED_VALUE"""),0.08164809188303734)</f>
        <v>0.08164809188</v>
      </c>
      <c r="G128" s="23">
        <f>IFERROR(__xludf.DUMMYFUNCTION("""COMPUTED_VALUE"""),0.1495643246777543)</f>
        <v>0.1495643247</v>
      </c>
      <c r="H128" s="4"/>
      <c r="I128" s="5" t="s">
        <v>708</v>
      </c>
      <c r="J128" s="5" t="s">
        <v>634</v>
      </c>
      <c r="K128" s="5">
        <v>237.0</v>
      </c>
      <c r="L128" s="5">
        <v>0.661244</v>
      </c>
      <c r="M128" s="5">
        <v>-0.579596</v>
      </c>
      <c r="N128" s="5">
        <v>0.081648</v>
      </c>
      <c r="O128" s="5">
        <v>0.149564</v>
      </c>
    </row>
    <row r="129">
      <c r="A129" s="12" t="str">
        <f>IFERROR(__xludf.DUMMYFUNCTION("""COMPUTED_VALUE"""),"Diante Garrett")</f>
        <v>Diante Garrett</v>
      </c>
      <c r="B129" s="13" t="str">
        <f>IFERROR(__xludf.DUMMYFUNCTION("""COMPUTED_VALUE"""),"TOR")</f>
        <v>TOR</v>
      </c>
      <c r="C129" s="14">
        <f>IFERROR(__xludf.DUMMYFUNCTION("""COMPUTED_VALUE"""),472.9)</f>
        <v>472.9</v>
      </c>
      <c r="D129" s="15">
        <f>IFERROR(__xludf.DUMMYFUNCTION("""COMPUTED_VALUE"""),1.2607171962703538)</f>
        <v>1.260717196</v>
      </c>
      <c r="E129" s="15">
        <f>IFERROR(__xludf.DUMMYFUNCTION("""COMPUTED_VALUE"""),-1.1885912291364045)</f>
        <v>-1.188591229</v>
      </c>
      <c r="F129" s="15">
        <f>IFERROR(__xludf.DUMMYFUNCTION("""COMPUTED_VALUE"""),0.07212596713394936)</f>
        <v>0.07212596713</v>
      </c>
      <c r="G129" s="17">
        <f>IFERROR(__xludf.DUMMYFUNCTION("""COMPUTED_VALUE"""),0.298771224987429)</f>
        <v>0.298771225</v>
      </c>
      <c r="H129" s="4"/>
      <c r="I129" s="5" t="s">
        <v>2293</v>
      </c>
      <c r="J129" s="5" t="s">
        <v>2140</v>
      </c>
      <c r="K129" s="5">
        <v>473.0</v>
      </c>
      <c r="L129" s="5">
        <v>1.260717</v>
      </c>
      <c r="M129" s="5">
        <v>-1.188591</v>
      </c>
      <c r="N129" s="5">
        <v>0.072126</v>
      </c>
      <c r="O129" s="5">
        <v>0.298771</v>
      </c>
    </row>
    <row r="130">
      <c r="A130" s="18" t="str">
        <f>IFERROR(__xludf.DUMMYFUNCTION("""COMPUTED_VALUE"""),"Kevin Murphy")</f>
        <v>Kevin Murphy</v>
      </c>
      <c r="B130" s="19" t="str">
        <f>IFERROR(__xludf.DUMMYFUNCTION("""COMPUTED_VALUE"""),"CED")</f>
        <v>CED</v>
      </c>
      <c r="C130" s="20">
        <f>IFERROR(__xludf.DUMMYFUNCTION("""COMPUTED_VALUE"""),212.2)</f>
        <v>212.2</v>
      </c>
      <c r="D130" s="21">
        <f>IFERROR(__xludf.DUMMYFUNCTION("""COMPUTED_VALUE"""),1.7447477779990728)</f>
        <v>1.744747778</v>
      </c>
      <c r="E130" s="21">
        <f>IFERROR(__xludf.DUMMYFUNCTION("""COMPUTED_VALUE"""),-1.6752948000669903)</f>
        <v>-1.6752948</v>
      </c>
      <c r="F130" s="21">
        <f>IFERROR(__xludf.DUMMYFUNCTION("""COMPUTED_VALUE"""),0.06945297793208256)</f>
        <v>0.06945297793</v>
      </c>
      <c r="G130" s="23">
        <f>IFERROR(__xludf.DUMMYFUNCTION("""COMPUTED_VALUE"""),0.13283741811199848)</f>
        <v>0.1328374181</v>
      </c>
      <c r="H130" s="4"/>
      <c r="I130" s="5" t="s">
        <v>1318</v>
      </c>
      <c r="J130" s="5" t="s">
        <v>928</v>
      </c>
      <c r="K130" s="24">
        <v>212.0</v>
      </c>
      <c r="L130" s="5">
        <v>1.744748</v>
      </c>
      <c r="M130" s="5">
        <v>-1.675295</v>
      </c>
      <c r="N130" s="5">
        <v>0.069453</v>
      </c>
      <c r="O130" s="5">
        <v>0.132837</v>
      </c>
    </row>
    <row r="131">
      <c r="A131" s="12" t="str">
        <f>IFERROR(__xludf.DUMMYFUNCTION("""COMPUTED_VALUE"""),"Drew Gordon")</f>
        <v>Drew Gordon</v>
      </c>
      <c r="B131" s="13" t="str">
        <f>IFERROR(__xludf.DUMMYFUNCTION("""COMPUTED_VALUE"""),"ZEN")</f>
        <v>ZEN</v>
      </c>
      <c r="C131" s="14">
        <f>IFERROR(__xludf.DUMMYFUNCTION("""COMPUTED_VALUE"""),365.8)</f>
        <v>365.8</v>
      </c>
      <c r="D131" s="15">
        <f>IFERROR(__xludf.DUMMYFUNCTION("""COMPUTED_VALUE"""),-0.22030341338221437)</f>
        <v>-0.2203034134</v>
      </c>
      <c r="E131" s="15">
        <f>IFERROR(__xludf.DUMMYFUNCTION("""COMPUTED_VALUE"""),0.2688680241820538)</f>
        <v>0.2688680242</v>
      </c>
      <c r="F131" s="15">
        <f>IFERROR(__xludf.DUMMYFUNCTION("""COMPUTED_VALUE"""),0.048564610799839425)</f>
        <v>0.0485646108</v>
      </c>
      <c r="G131" s="17">
        <f>IFERROR(__xludf.DUMMYFUNCTION("""COMPUTED_VALUE"""),0.2284649190946894)</f>
        <v>0.2284649191</v>
      </c>
      <c r="H131" s="4"/>
      <c r="I131" s="5" t="s">
        <v>2842</v>
      </c>
      <c r="J131" s="5" t="s">
        <v>2816</v>
      </c>
      <c r="K131" s="5">
        <v>366.0</v>
      </c>
      <c r="L131" s="5">
        <v>-0.220303</v>
      </c>
      <c r="M131" s="5">
        <v>0.268868</v>
      </c>
      <c r="N131" s="5">
        <v>0.048565</v>
      </c>
      <c r="O131" s="5">
        <v>0.228465</v>
      </c>
    </row>
    <row r="132">
      <c r="A132" s="18" t="str">
        <f>IFERROR(__xludf.DUMMYFUNCTION("""COMPUTED_VALUE"""),"Sofiane Briki")</f>
        <v>Sofiane Briki</v>
      </c>
      <c r="B132" s="19" t="str">
        <f>IFERROR(__xludf.DUMMYFUNCTION("""COMPUTED_VALUE"""),"LYV")</f>
        <v>LYV</v>
      </c>
      <c r="C132" s="20">
        <f>IFERROR(__xludf.DUMMYFUNCTION("""COMPUTED_VALUE"""),5.5)</f>
        <v>5.5</v>
      </c>
      <c r="D132" s="21">
        <f>IFERROR(__xludf.DUMMYFUNCTION("""COMPUTED_VALUE"""),0.2654355407873203)</f>
        <v>0.2654355408</v>
      </c>
      <c r="E132" s="21">
        <f>IFERROR(__xludf.DUMMYFUNCTION("""COMPUTED_VALUE"""),-0.22494041374383636)</f>
        <v>-0.2249404137</v>
      </c>
      <c r="F132" s="21">
        <f>IFERROR(__xludf.DUMMYFUNCTION("""COMPUTED_VALUE"""),0.04049512704348394)</f>
        <v>0.04049512704</v>
      </c>
      <c r="G132" s="23">
        <f>IFERROR(__xludf.DUMMYFUNCTION("""COMPUTED_VALUE"""),0.00349852960208089)</f>
        <v>0.003498529602</v>
      </c>
      <c r="H132" s="4"/>
      <c r="I132" s="5" t="s">
        <v>1443</v>
      </c>
      <c r="J132" s="5" t="s">
        <v>1342</v>
      </c>
      <c r="K132" s="5">
        <v>6.0</v>
      </c>
      <c r="L132" s="5">
        <v>0.265436</v>
      </c>
      <c r="M132" s="5">
        <v>-0.22494</v>
      </c>
      <c r="N132" s="5">
        <v>0.040495</v>
      </c>
      <c r="O132" s="5">
        <v>0.003499</v>
      </c>
    </row>
    <row r="133">
      <c r="A133" s="12" t="str">
        <f>IFERROR(__xludf.DUMMYFUNCTION("""COMPUTED_VALUE"""),"Jovan Kljajic")</f>
        <v>Jovan Kljajic</v>
      </c>
      <c r="B133" s="13" t="str">
        <f>IFERROR(__xludf.DUMMYFUNCTION("""COMPUTED_VALUE"""),"GCN")</f>
        <v>GCN</v>
      </c>
      <c r="C133" s="14">
        <f>IFERROR(__xludf.DUMMYFUNCTION("""COMPUTED_VALUE"""),0.7)</f>
        <v>0.7</v>
      </c>
      <c r="D133" s="15">
        <f>IFERROR(__xludf.DUMMYFUNCTION("""COMPUTED_VALUE"""),0.06384087013289022)</f>
        <v>0.06384087013</v>
      </c>
      <c r="E133" s="15">
        <f>IFERROR(__xludf.DUMMYFUNCTION("""COMPUTED_VALUE"""),-0.03357074866060984)</f>
        <v>-0.03357074866</v>
      </c>
      <c r="F133" s="15">
        <f>IFERROR(__xludf.DUMMYFUNCTION("""COMPUTED_VALUE"""),0.030270121472280375)</f>
        <v>0.03027012147</v>
      </c>
      <c r="G133" s="17">
        <f>IFERROR(__xludf.DUMMYFUNCTION("""COMPUTED_VALUE"""),4.2442361740643186E-4)</f>
        <v>0.0004244236174</v>
      </c>
      <c r="H133" s="4"/>
      <c r="I133" s="5" t="s">
        <v>2934</v>
      </c>
      <c r="J133" s="5" t="s">
        <v>97</v>
      </c>
      <c r="K133" s="5">
        <v>1.0</v>
      </c>
      <c r="L133" s="5">
        <v>0.063841</v>
      </c>
      <c r="M133" s="5">
        <v>-0.033571</v>
      </c>
      <c r="N133" s="5">
        <v>0.03027</v>
      </c>
      <c r="O133" s="5">
        <v>4.24E-4</v>
      </c>
    </row>
    <row r="134">
      <c r="A134" s="18" t="str">
        <f>IFERROR(__xludf.DUMMYFUNCTION("""COMPUTED_VALUE"""),"Denis Levshin")</f>
        <v>Denis Levshin</v>
      </c>
      <c r="B134" s="19" t="str">
        <f>IFERROR(__xludf.DUMMYFUNCTION("""COMPUTED_VALUE"""),"LOK")</f>
        <v>LOK</v>
      </c>
      <c r="C134" s="20">
        <f>IFERROR(__xludf.DUMMYFUNCTION("""COMPUTED_VALUE"""),3.1)</f>
        <v>3.1</v>
      </c>
      <c r="D134" s="21">
        <f>IFERROR(__xludf.DUMMYFUNCTION("""COMPUTED_VALUE"""),-0.13337861867146267)</f>
        <v>-0.1333786187</v>
      </c>
      <c r="E134" s="21">
        <f>IFERROR(__xludf.DUMMYFUNCTION("""COMPUTED_VALUE"""),0.15437504947611058)</f>
        <v>0.1543750495</v>
      </c>
      <c r="F134" s="21">
        <f>IFERROR(__xludf.DUMMYFUNCTION("""COMPUTED_VALUE"""),0.020996430804647928)</f>
        <v>0.0209964308</v>
      </c>
      <c r="G134" s="23">
        <f>IFERROR(__xludf.DUMMYFUNCTION("""COMPUTED_VALUE"""),0.0018885839860665913)</f>
        <v>0.001888583986</v>
      </c>
      <c r="H134" s="4"/>
      <c r="I134" s="5" t="s">
        <v>2899</v>
      </c>
      <c r="J134" s="5" t="s">
        <v>2785</v>
      </c>
      <c r="K134" s="24">
        <v>3.0</v>
      </c>
      <c r="L134" s="5">
        <v>-0.133379</v>
      </c>
      <c r="M134" s="5">
        <v>0.154375</v>
      </c>
      <c r="N134" s="5">
        <v>0.020996</v>
      </c>
      <c r="O134" s="5">
        <v>0.001889</v>
      </c>
    </row>
    <row r="135">
      <c r="A135" s="12" t="str">
        <f>IFERROR(__xludf.DUMMYFUNCTION("""COMPUTED_VALUE"""),"Dwight Hardy")</f>
        <v>Dwight Hardy</v>
      </c>
      <c r="B135" s="13" t="str">
        <f>IFERROR(__xludf.DUMMYFUNCTION("""COMPUTED_VALUE"""),"GAL")</f>
        <v>GAL</v>
      </c>
      <c r="C135" s="14">
        <f>IFERROR(__xludf.DUMMYFUNCTION("""COMPUTED_VALUE"""),465.2)</f>
        <v>465.2</v>
      </c>
      <c r="D135" s="15">
        <f>IFERROR(__xludf.DUMMYFUNCTION("""COMPUTED_VALUE"""),3.0804687802405137)</f>
        <v>3.08046878</v>
      </c>
      <c r="E135" s="15">
        <f>IFERROR(__xludf.DUMMYFUNCTION("""COMPUTED_VALUE"""),-3.0708620338153847)</f>
        <v>-3.070862034</v>
      </c>
      <c r="F135" s="15">
        <f>IFERROR(__xludf.DUMMYFUNCTION("""COMPUTED_VALUE"""),0.009606746425128862)</f>
        <v>0.009606746425</v>
      </c>
      <c r="G135" s="17">
        <f>IFERROR(__xludf.DUMMYFUNCTION("""COMPUTED_VALUE"""),0.27442978007668084)</f>
        <v>0.2744297801</v>
      </c>
      <c r="H135" s="4"/>
      <c r="I135" s="5" t="s">
        <v>2013</v>
      </c>
      <c r="J135" s="5" t="s">
        <v>1592</v>
      </c>
      <c r="K135" s="5">
        <v>465.0</v>
      </c>
      <c r="L135" s="5">
        <v>3.080469</v>
      </c>
      <c r="M135" s="5">
        <v>-3.070862</v>
      </c>
      <c r="N135" s="5">
        <v>0.009607</v>
      </c>
      <c r="O135" s="5">
        <v>0.27443</v>
      </c>
    </row>
    <row r="136">
      <c r="A136" s="18" t="str">
        <f>IFERROR(__xludf.DUMMYFUNCTION("""COMPUTED_VALUE"""),"Nicolas Brussino")</f>
        <v>Nicolas Brussino</v>
      </c>
      <c r="B136" s="19" t="str">
        <f>IFERROR(__xludf.DUMMYFUNCTION("""COMPUTED_VALUE"""),"GCN")</f>
        <v>GCN</v>
      </c>
      <c r="C136" s="20">
        <f>IFERROR(__xludf.DUMMYFUNCTION("""COMPUTED_VALUE"""),114.7)</f>
        <v>114.7</v>
      </c>
      <c r="D136" s="21">
        <f>IFERROR(__xludf.DUMMYFUNCTION("""COMPUTED_VALUE"""),-0.850092923403709)</f>
        <v>-0.8500929234</v>
      </c>
      <c r="E136" s="21">
        <f>IFERROR(__xludf.DUMMYFUNCTION("""COMPUTED_VALUE"""),0.8525914587763903)</f>
        <v>0.8525914588</v>
      </c>
      <c r="F136" s="21">
        <f>IFERROR(__xludf.DUMMYFUNCTION("""COMPUTED_VALUE"""),0.00249853537268134)</f>
        <v>0.002498535373</v>
      </c>
      <c r="G136" s="23">
        <f>IFERROR(__xludf.DUMMYFUNCTION("""COMPUTED_VALUE"""),0.06859355382900083)</f>
        <v>0.06859355383</v>
      </c>
      <c r="H136" s="4"/>
      <c r="I136" s="5" t="s">
        <v>537</v>
      </c>
      <c r="J136" s="5" t="s">
        <v>97</v>
      </c>
      <c r="K136" s="24">
        <v>115.0</v>
      </c>
      <c r="L136" s="5">
        <v>-0.850093</v>
      </c>
      <c r="M136" s="5">
        <v>0.852591</v>
      </c>
      <c r="N136" s="5">
        <v>0.002499</v>
      </c>
      <c r="O136" s="5">
        <v>0.068594</v>
      </c>
    </row>
    <row r="137">
      <c r="A137" s="12" t="str">
        <f>IFERROR(__xludf.DUMMYFUNCTION("""COMPUTED_VALUE"""),"Berkan Durmaz")</f>
        <v>Berkan Durmaz</v>
      </c>
      <c r="B137" s="13" t="str">
        <f>IFERROR(__xludf.DUMMYFUNCTION("""COMPUTED_VALUE"""),"TOF")</f>
        <v>TOF</v>
      </c>
      <c r="C137" s="14">
        <f>IFERROR(__xludf.DUMMYFUNCTION("""COMPUTED_VALUE"""),0.0)</f>
        <v>0</v>
      </c>
      <c r="D137" s="15">
        <f>IFERROR(__xludf.DUMMYFUNCTION("""COMPUTED_VALUE"""),0.0)</f>
        <v>0</v>
      </c>
      <c r="E137" s="15">
        <f>IFERROR(__xludf.DUMMYFUNCTION("""COMPUTED_VALUE"""),0.0)</f>
        <v>0</v>
      </c>
      <c r="F137" s="15">
        <f>IFERROR(__xludf.DUMMYFUNCTION("""COMPUTED_VALUE"""),0.0)</f>
        <v>0</v>
      </c>
      <c r="G137" s="17">
        <f>IFERROR(__xludf.DUMMYFUNCTION("""COMPUTED_VALUE"""),0.0)</f>
        <v>0</v>
      </c>
      <c r="H137" s="4"/>
      <c r="I137" s="5" t="s">
        <v>1966</v>
      </c>
      <c r="J137" s="5" t="s">
        <v>1878</v>
      </c>
      <c r="K137" s="5">
        <v>0.0</v>
      </c>
      <c r="L137" s="5">
        <v>0.0</v>
      </c>
      <c r="M137" s="5">
        <v>0.0</v>
      </c>
      <c r="N137" s="5">
        <v>0.0</v>
      </c>
      <c r="O137" s="5">
        <v>0.0</v>
      </c>
    </row>
    <row r="138">
      <c r="A138" s="18" t="str">
        <f>IFERROR(__xludf.DUMMYFUNCTION("""COMPUTED_VALUE"""),"Adas Juskevicius")</f>
        <v>Adas Juskevicius</v>
      </c>
      <c r="B138" s="19" t="str">
        <f>IFERROR(__xludf.DUMMYFUNCTION("""COMPUTED_VALUE"""),"GAL")</f>
        <v>GAL</v>
      </c>
      <c r="C138" s="20">
        <f>IFERROR(__xludf.DUMMYFUNCTION("""COMPUTED_VALUE"""),177.5)</f>
        <v>177.5</v>
      </c>
      <c r="D138" s="21">
        <f>IFERROR(__xludf.DUMMYFUNCTION("""COMPUTED_VALUE"""),0.5558257151629495)</f>
        <v>0.5558257152</v>
      </c>
      <c r="E138" s="21">
        <f>IFERROR(__xludf.DUMMYFUNCTION("""COMPUTED_VALUE"""),-0.5685393525787658)</f>
        <v>-0.5685393526</v>
      </c>
      <c r="F138" s="21">
        <f>IFERROR(__xludf.DUMMYFUNCTION("""COMPUTED_VALUE"""),-0.01271363741581617)</f>
        <v>-0.01271363742</v>
      </c>
      <c r="G138" s="23">
        <f>IFERROR(__xludf.DUMMYFUNCTION("""COMPUTED_VALUE"""),0.10354741493024694)</f>
        <v>0.1035474149</v>
      </c>
      <c r="H138" s="4"/>
      <c r="I138" s="5" t="s">
        <v>1920</v>
      </c>
      <c r="J138" s="5" t="s">
        <v>1592</v>
      </c>
      <c r="K138" s="5">
        <v>178.0</v>
      </c>
      <c r="L138" s="5">
        <v>0.555826</v>
      </c>
      <c r="M138" s="5">
        <v>-0.568539</v>
      </c>
      <c r="N138" s="5">
        <v>-0.012714</v>
      </c>
      <c r="O138" s="5">
        <v>0.103547</v>
      </c>
    </row>
    <row r="139">
      <c r="A139" s="12" t="str">
        <f>IFERROR(__xludf.DUMMYFUNCTION("""COMPUTED_VALUE"""),"Timofei Gerasimov")</f>
        <v>Timofei Gerasimov</v>
      </c>
      <c r="B139" s="13" t="str">
        <f>IFERROR(__xludf.DUMMYFUNCTION("""COMPUTED_VALUE"""),"LOK")</f>
        <v>LOK</v>
      </c>
      <c r="C139" s="14">
        <f>IFERROR(__xludf.DUMMYFUNCTION("""COMPUTED_VALUE"""),2.2)</f>
        <v>2.2</v>
      </c>
      <c r="D139" s="15">
        <f>IFERROR(__xludf.DUMMYFUNCTION("""COMPUTED_VALUE"""),-0.03479644229470566)</f>
        <v>-0.03479644229</v>
      </c>
      <c r="E139" s="15">
        <f>IFERROR(__xludf.DUMMYFUNCTION("""COMPUTED_VALUE"""),0.020173787590582762)</f>
        <v>0.02017378759</v>
      </c>
      <c r="F139" s="15">
        <f>IFERROR(__xludf.DUMMYFUNCTION("""COMPUTED_VALUE"""),-0.014622654704122896)</f>
        <v>-0.0146226547</v>
      </c>
      <c r="G139" s="17">
        <f>IFERROR(__xludf.DUMMYFUNCTION("""COMPUTED_VALUE"""),0.0013166635267763298)</f>
        <v>0.001316663527</v>
      </c>
      <c r="H139" s="4"/>
      <c r="I139" s="5" t="s">
        <v>2938</v>
      </c>
      <c r="J139" s="5" t="s">
        <v>2785</v>
      </c>
      <c r="K139" s="5">
        <v>2.0</v>
      </c>
      <c r="L139" s="5">
        <v>-0.034796</v>
      </c>
      <c r="M139" s="5">
        <v>0.020174</v>
      </c>
      <c r="N139" s="5">
        <v>-0.014623</v>
      </c>
      <c r="O139" s="5">
        <v>0.001317</v>
      </c>
    </row>
    <row r="140">
      <c r="A140" s="18" t="str">
        <f>IFERROR(__xludf.DUMMYFUNCTION("""COMPUTED_VALUE"""),"Martins Meiers")</f>
        <v>Martins Meiers</v>
      </c>
      <c r="B140" s="19" t="str">
        <f>IFERROR(__xludf.DUMMYFUNCTION("""COMPUTED_VALUE"""),"UNI")</f>
        <v>UNI</v>
      </c>
      <c r="C140" s="20">
        <f>IFERROR(__xludf.DUMMYFUNCTION("""COMPUTED_VALUE"""),37.9)</f>
        <v>37.9</v>
      </c>
      <c r="D140" s="21">
        <f>IFERROR(__xludf.DUMMYFUNCTION("""COMPUTED_VALUE"""),-0.33488886017447)</f>
        <v>-0.3348888602</v>
      </c>
      <c r="E140" s="21">
        <f>IFERROR(__xludf.DUMMYFUNCTION("""COMPUTED_VALUE"""),0.29305124868705745)</f>
        <v>0.2930512487</v>
      </c>
      <c r="F140" s="21">
        <f>IFERROR(__xludf.DUMMYFUNCTION("""COMPUTED_VALUE"""),-0.041837611487412524)</f>
        <v>-0.04183761149</v>
      </c>
      <c r="G140" s="23">
        <f>IFERROR(__xludf.DUMMYFUNCTION("""COMPUTED_VALUE"""),0.022332479188595412)</f>
        <v>0.02233247919</v>
      </c>
      <c r="H140" s="4"/>
      <c r="I140" s="5" t="s">
        <v>2939</v>
      </c>
      <c r="J140" s="5" t="s">
        <v>22</v>
      </c>
      <c r="K140" s="5">
        <v>38.0</v>
      </c>
      <c r="L140" s="5">
        <v>-0.334889</v>
      </c>
      <c r="M140" s="5">
        <v>0.293051</v>
      </c>
      <c r="N140" s="5">
        <v>-0.041838</v>
      </c>
      <c r="O140" s="5">
        <v>0.022332</v>
      </c>
    </row>
    <row r="141">
      <c r="A141" s="12" t="str">
        <f>IFERROR(__xludf.DUMMYFUNCTION("""COMPUTED_VALUE"""),"Lamar Patterson")</f>
        <v>Lamar Patterson</v>
      </c>
      <c r="B141" s="13" t="str">
        <f>IFERROR(__xludf.DUMMYFUNCTION("""COMPUTED_VALUE"""),"TOR")</f>
        <v>TOR</v>
      </c>
      <c r="C141" s="14">
        <f>IFERROR(__xludf.DUMMYFUNCTION("""COMPUTED_VALUE"""),473.9)</f>
        <v>473.9</v>
      </c>
      <c r="D141" s="15">
        <f>IFERROR(__xludf.DUMMYFUNCTION("""COMPUTED_VALUE"""),-0.18770871244897613)</f>
        <v>-0.1877087124</v>
      </c>
      <c r="E141" s="15">
        <f>IFERROR(__xludf.DUMMYFUNCTION("""COMPUTED_VALUE"""),0.14323748132975522)</f>
        <v>0.1432374813</v>
      </c>
      <c r="F141" s="15">
        <f>IFERROR(__xludf.DUMMYFUNCTION("""COMPUTED_VALUE"""),-0.04447123111922091)</f>
        <v>-0.04447123112</v>
      </c>
      <c r="G141" s="17">
        <f>IFERROR(__xludf.DUMMYFUNCTION("""COMPUTED_VALUE"""),0.2825557949727349)</f>
        <v>0.282555795</v>
      </c>
      <c r="H141" s="4"/>
      <c r="I141" s="5" t="s">
        <v>2163</v>
      </c>
      <c r="J141" s="5" t="s">
        <v>2140</v>
      </c>
      <c r="K141" s="5">
        <v>474.0</v>
      </c>
      <c r="L141" s="5">
        <v>-0.187709</v>
      </c>
      <c r="M141" s="5">
        <v>0.143237</v>
      </c>
      <c r="N141" s="5">
        <v>-0.044471</v>
      </c>
      <c r="O141" s="5">
        <v>0.282556</v>
      </c>
    </row>
    <row r="142">
      <c r="A142" s="18" t="str">
        <f>IFERROR(__xludf.DUMMYFUNCTION("""COMPUTED_VALUE"""),"Olek Balcerowski")</f>
        <v>Olek Balcerowski</v>
      </c>
      <c r="B142" s="19" t="str">
        <f>IFERROR(__xludf.DUMMYFUNCTION("""COMPUTED_VALUE"""),"GCN")</f>
        <v>GCN</v>
      </c>
      <c r="C142" s="20">
        <f>IFERROR(__xludf.DUMMYFUNCTION("""COMPUTED_VALUE"""),6.7)</f>
        <v>6.7</v>
      </c>
      <c r="D142" s="21">
        <f>IFERROR(__xludf.DUMMYFUNCTION("""COMPUTED_VALUE"""),-0.2831913616314233)</f>
        <v>-0.2831913616</v>
      </c>
      <c r="E142" s="21">
        <f>IFERROR(__xludf.DUMMYFUNCTION("""COMPUTED_VALUE"""),0.23428677989706)</f>
        <v>0.2342867799</v>
      </c>
      <c r="F142" s="21">
        <f>IFERROR(__xludf.DUMMYFUNCTION("""COMPUTED_VALUE"""),-0.04890458173436326)</f>
        <v>-0.04890458173</v>
      </c>
      <c r="G142" s="23">
        <f>IFERROR(__xludf.DUMMYFUNCTION("""COMPUTED_VALUE"""),0.0039039207330816557)</f>
        <v>0.003903920733</v>
      </c>
      <c r="H142" s="4"/>
      <c r="I142" s="5" t="s">
        <v>413</v>
      </c>
      <c r="J142" s="5" t="s">
        <v>97</v>
      </c>
      <c r="K142" s="24">
        <v>7.0</v>
      </c>
      <c r="L142" s="5">
        <v>-0.283191</v>
      </c>
      <c r="M142" s="5">
        <v>0.234287</v>
      </c>
      <c r="N142" s="5">
        <v>-0.048905</v>
      </c>
      <c r="O142" s="5">
        <v>0.003904</v>
      </c>
    </row>
    <row r="143">
      <c r="A143" s="12" t="str">
        <f>IFERROR(__xludf.DUMMYFUNCTION("""COMPUTED_VALUE"""),"Shaquielle McKissic")</f>
        <v>Shaquielle McKissic</v>
      </c>
      <c r="B143" s="13" t="str">
        <f>IFERROR(__xludf.DUMMYFUNCTION("""COMPUTED_VALUE"""),"GCN")</f>
        <v>GCN</v>
      </c>
      <c r="C143" s="14">
        <f>IFERROR(__xludf.DUMMYFUNCTION("""COMPUTED_VALUE"""),86.7)</f>
        <v>86.7</v>
      </c>
      <c r="D143" s="15">
        <f>IFERROR(__xludf.DUMMYFUNCTION("""COMPUTED_VALUE"""),0.45127671321137974)</f>
        <v>0.4512767132</v>
      </c>
      <c r="E143" s="15">
        <f>IFERROR(__xludf.DUMMYFUNCTION("""COMPUTED_VALUE"""),-0.514766790930067)</f>
        <v>-0.5147667909</v>
      </c>
      <c r="F143" s="15">
        <f>IFERROR(__xludf.DUMMYFUNCTION("""COMPUTED_VALUE"""),-0.06349007771868725)</f>
        <v>-0.06349007772</v>
      </c>
      <c r="G143" s="17">
        <f>IFERROR(__xludf.DUMMYFUNCTION("""COMPUTED_VALUE"""),0.05014025094888178)</f>
        <v>0.05014025095</v>
      </c>
      <c r="H143" s="4"/>
      <c r="I143" s="5" t="s">
        <v>434</v>
      </c>
      <c r="J143" s="5" t="s">
        <v>97</v>
      </c>
      <c r="K143" s="5">
        <v>87.0</v>
      </c>
      <c r="L143" s="5">
        <v>0.451277</v>
      </c>
      <c r="M143" s="5">
        <v>-0.514767</v>
      </c>
      <c r="N143" s="5">
        <v>-0.06349</v>
      </c>
      <c r="O143" s="5">
        <v>0.05014</v>
      </c>
    </row>
    <row r="144">
      <c r="A144" s="18" t="str">
        <f>IFERROR(__xludf.DUMMYFUNCTION("""COMPUTED_VALUE"""),"Marvin Ogunsipe")</f>
        <v>Marvin Ogunsipe</v>
      </c>
      <c r="B144" s="19" t="str">
        <f>IFERROR(__xludf.DUMMYFUNCTION("""COMPUTED_VALUE"""),"BAY")</f>
        <v>BAY</v>
      </c>
      <c r="C144" s="20">
        <f>IFERROR(__xludf.DUMMYFUNCTION("""COMPUTED_VALUE"""),3.4)</f>
        <v>3.4</v>
      </c>
      <c r="D144" s="21">
        <f>IFERROR(__xludf.DUMMYFUNCTION("""COMPUTED_VALUE"""),0.06072652276027939)</f>
        <v>0.06072652276</v>
      </c>
      <c r="E144" s="21">
        <f>IFERROR(__xludf.DUMMYFUNCTION("""COMPUTED_VALUE"""),-0.1294294176647824)</f>
        <v>-0.1294294177</v>
      </c>
      <c r="F144" s="21">
        <f>IFERROR(__xludf.DUMMYFUNCTION("""COMPUTED_VALUE"""),-0.068702894904503)</f>
        <v>-0.0687028949</v>
      </c>
      <c r="G144" s="23">
        <f>IFERROR(__xludf.DUMMYFUNCTION("""COMPUTED_VALUE"""),0.0020019543162575273)</f>
        <v>0.002001954316</v>
      </c>
      <c r="H144" s="4"/>
      <c r="I144" s="5" t="s">
        <v>889</v>
      </c>
      <c r="J144" s="5" t="s">
        <v>644</v>
      </c>
      <c r="K144" s="5">
        <v>3.0</v>
      </c>
      <c r="L144" s="5">
        <v>0.060727</v>
      </c>
      <c r="M144" s="5">
        <v>-0.129429</v>
      </c>
      <c r="N144" s="5">
        <v>-0.068703</v>
      </c>
      <c r="O144" s="5">
        <v>0.002002</v>
      </c>
    </row>
    <row r="145">
      <c r="A145" s="12" t="str">
        <f>IFERROR(__xludf.DUMMYFUNCTION("""COMPUTED_VALUE"""),"Tim Eboh")</f>
        <v>Tim Eboh</v>
      </c>
      <c r="B145" s="13" t="str">
        <f>IFERROR(__xludf.DUMMYFUNCTION("""COMPUTED_VALUE"""),"CSP")</f>
        <v>CSP</v>
      </c>
      <c r="C145" s="14">
        <f>IFERROR(__xludf.DUMMYFUNCTION("""COMPUTED_VALUE"""),2.8)</f>
        <v>2.8</v>
      </c>
      <c r="D145" s="15">
        <f>IFERROR(__xludf.DUMMYFUNCTION("""COMPUTED_VALUE"""),0.017189418349380287)</f>
        <v>0.01718941835</v>
      </c>
      <c r="E145" s="15">
        <f>IFERROR(__xludf.DUMMYFUNCTION("""COMPUTED_VALUE"""),-0.08854255105435328)</f>
        <v>-0.08854255105</v>
      </c>
      <c r="F145" s="15">
        <f>IFERROR(__xludf.DUMMYFUNCTION("""COMPUTED_VALUE"""),-0.071353132704973)</f>
        <v>-0.0713531327</v>
      </c>
      <c r="G145" s="17">
        <f>IFERROR(__xludf.DUMMYFUNCTION("""COMPUTED_VALUE"""),0.0016465087691230932)</f>
        <v>0.001646508769</v>
      </c>
      <c r="H145" s="4"/>
      <c r="I145" s="5" t="s">
        <v>1478</v>
      </c>
      <c r="J145" s="5" t="s">
        <v>1327</v>
      </c>
      <c r="K145" s="5">
        <v>3.0</v>
      </c>
      <c r="L145" s="5">
        <v>0.017189</v>
      </c>
      <c r="M145" s="5">
        <v>-0.088543</v>
      </c>
      <c r="N145" s="5">
        <v>-0.071353</v>
      </c>
      <c r="O145" s="5">
        <v>0.001647</v>
      </c>
    </row>
    <row r="146">
      <c r="A146" s="18" t="str">
        <f>IFERROR(__xludf.DUMMYFUNCTION("""COMPUTED_VALUE"""),"Caner Topaloglu")</f>
        <v>Caner Topaloglu</v>
      </c>
      <c r="B146" s="19" t="str">
        <f>IFERROR(__xludf.DUMMYFUNCTION("""COMPUTED_VALUE"""),"TOF")</f>
        <v>TOF</v>
      </c>
      <c r="C146" s="20">
        <f>IFERROR(__xludf.DUMMYFUNCTION("""COMPUTED_VALUE"""),1.9)</f>
        <v>1.9</v>
      </c>
      <c r="D146" s="21">
        <f>IFERROR(__xludf.DUMMYFUNCTION("""COMPUTED_VALUE"""),-0.06812988630054127)</f>
        <v>-0.0681298863</v>
      </c>
      <c r="E146" s="21">
        <f>IFERROR(__xludf.DUMMYFUNCTION("""COMPUTED_VALUE"""),-0.01890429410011045)</f>
        <v>-0.0189042941</v>
      </c>
      <c r="F146" s="21">
        <f>IFERROR(__xludf.DUMMYFUNCTION("""COMPUTED_VALUE"""),-0.08703418040065172)</f>
        <v>-0.0870341804</v>
      </c>
      <c r="G146" s="23">
        <f>IFERROR(__xludf.DUMMYFUNCTION("""COMPUTED_VALUE"""),0.0011072346565548664)</f>
        <v>0.001107234657</v>
      </c>
      <c r="H146" s="4"/>
      <c r="I146" s="5" t="s">
        <v>2002</v>
      </c>
      <c r="J146" s="5" t="s">
        <v>1878</v>
      </c>
      <c r="K146" s="5">
        <v>2.0</v>
      </c>
      <c r="L146" s="5">
        <v>-0.06813</v>
      </c>
      <c r="M146" s="5">
        <v>-0.018904</v>
      </c>
      <c r="N146" s="5">
        <v>-0.087034</v>
      </c>
      <c r="O146" s="5">
        <v>0.001107</v>
      </c>
    </row>
    <row r="147">
      <c r="A147" s="12" t="str">
        <f>IFERROR(__xludf.DUMMYFUNCTION("""COMPUTED_VALUE"""),"Khadim Sow")</f>
        <v>Khadim Sow</v>
      </c>
      <c r="B147" s="13" t="str">
        <f>IFERROR(__xludf.DUMMYFUNCTION("""COMPUTED_VALUE"""),"LYV")</f>
        <v>LYV</v>
      </c>
      <c r="C147" s="14">
        <f>IFERROR(__xludf.DUMMYFUNCTION("""COMPUTED_VALUE"""),3.5)</f>
        <v>3.5</v>
      </c>
      <c r="D147" s="15">
        <f>IFERROR(__xludf.DUMMYFUNCTION("""COMPUTED_VALUE"""),-0.08863826921878581)</f>
        <v>-0.08863826922</v>
      </c>
      <c r="E147" s="15">
        <f>IFERROR(__xludf.DUMMYFUNCTION("""COMPUTED_VALUE"""),-0.007545430348850676)</f>
        <v>-0.007545430349</v>
      </c>
      <c r="F147" s="15">
        <f>IFERROR(__xludf.DUMMYFUNCTION("""COMPUTED_VALUE"""),-0.09618369956763649)</f>
        <v>-0.09618369957</v>
      </c>
      <c r="G147" s="17">
        <f>IFERROR(__xludf.DUMMYFUNCTION("""COMPUTED_VALUE"""),0.0020772099143078434)</f>
        <v>0.002077209914</v>
      </c>
      <c r="H147" s="4"/>
      <c r="I147" s="5" t="s">
        <v>1451</v>
      </c>
      <c r="J147" s="5" t="s">
        <v>1342</v>
      </c>
      <c r="K147" s="5">
        <v>4.0</v>
      </c>
      <c r="L147" s="5">
        <v>-0.088638</v>
      </c>
      <c r="M147" s="5">
        <v>-0.007545</v>
      </c>
      <c r="N147" s="5">
        <v>-0.096184</v>
      </c>
      <c r="O147" s="5">
        <v>0.002077</v>
      </c>
    </row>
    <row r="148">
      <c r="A148" s="18" t="str">
        <f>IFERROR(__xludf.DUMMYFUNCTION("""COMPUTED_VALUE"""),"Moussa Diagne")</f>
        <v>Moussa Diagne</v>
      </c>
      <c r="B148" s="19" t="str">
        <f>IFERROR(__xludf.DUMMYFUNCTION("""COMPUTED_VALUE"""),"AND")</f>
        <v>AND</v>
      </c>
      <c r="C148" s="20">
        <f>IFERROR(__xludf.DUMMYFUNCTION("""COMPUTED_VALUE"""),170.1)</f>
        <v>170.1</v>
      </c>
      <c r="D148" s="21">
        <f>IFERROR(__xludf.DUMMYFUNCTION("""COMPUTED_VALUE"""),0.20001563882756523)</f>
        <v>0.2000156388</v>
      </c>
      <c r="E148" s="21">
        <f>IFERROR(__xludf.DUMMYFUNCTION("""COMPUTED_VALUE"""),-0.29745639703204635)</f>
        <v>-0.297456397</v>
      </c>
      <c r="F148" s="21">
        <f>IFERROR(__xludf.DUMMYFUNCTION("""COMPUTED_VALUE"""),-0.09744075820448111)</f>
        <v>-0.0974407582</v>
      </c>
      <c r="G148" s="23">
        <f>IFERROR(__xludf.DUMMYFUNCTION("""COMPUTED_VALUE"""),0.09867119180026615)</f>
        <v>0.0986711918</v>
      </c>
      <c r="H148" s="4"/>
      <c r="I148" s="5" t="s">
        <v>446</v>
      </c>
      <c r="J148" s="5" t="s">
        <v>89</v>
      </c>
      <c r="K148" s="5">
        <v>170.0</v>
      </c>
      <c r="L148" s="5">
        <v>0.200016</v>
      </c>
      <c r="M148" s="5">
        <v>-0.297456</v>
      </c>
      <c r="N148" s="5">
        <v>-0.097441</v>
      </c>
      <c r="O148" s="5">
        <v>0.098671</v>
      </c>
    </row>
    <row r="149">
      <c r="A149" s="12" t="str">
        <f>IFERROR(__xludf.DUMMYFUNCTION("""COMPUTED_VALUE"""),"Julian Wright")</f>
        <v>Julian Wright</v>
      </c>
      <c r="B149" s="13" t="str">
        <f>IFERROR(__xludf.DUMMYFUNCTION("""COMPUTED_VALUE"""),"REG")</f>
        <v>REG</v>
      </c>
      <c r="C149" s="14">
        <f>IFERROR(__xludf.DUMMYFUNCTION("""COMPUTED_VALUE"""),496.6)</f>
        <v>496.6</v>
      </c>
      <c r="D149" s="15">
        <f>IFERROR(__xludf.DUMMYFUNCTION("""COMPUTED_VALUE"""),-2.2739269969572584)</f>
        <v>-2.273926997</v>
      </c>
      <c r="E149" s="15">
        <f>IFERROR(__xludf.DUMMYFUNCTION("""COMPUTED_VALUE"""),2.117287822635735)</f>
        <v>2.117287823</v>
      </c>
      <c r="F149" s="15">
        <f>IFERROR(__xludf.DUMMYFUNCTION("""COMPUTED_VALUE"""),-0.1566391743215234)</f>
        <v>-0.1566391743</v>
      </c>
      <c r="G149" s="17">
        <f>IFERROR(__xludf.DUMMYFUNCTION("""COMPUTED_VALUE"""),0.27744447561856794)</f>
        <v>0.2774444756</v>
      </c>
      <c r="H149" s="4"/>
      <c r="I149" s="5" t="s">
        <v>2134</v>
      </c>
      <c r="J149" s="5" t="s">
        <v>2135</v>
      </c>
      <c r="K149" s="24">
        <v>497.0</v>
      </c>
      <c r="L149" s="5">
        <v>-2.273927</v>
      </c>
      <c r="M149" s="5">
        <v>2.117288</v>
      </c>
      <c r="N149" s="5">
        <v>-0.156639</v>
      </c>
      <c r="O149" s="5">
        <v>0.277444</v>
      </c>
    </row>
    <row r="150">
      <c r="A150" s="18" t="str">
        <f>IFERROR(__xludf.DUMMYFUNCTION("""COMPUTED_VALUE"""),"Nicolas Bretzel")</f>
        <v>Nicolas Bretzel</v>
      </c>
      <c r="B150" s="19" t="str">
        <f>IFERROR(__xludf.DUMMYFUNCTION("""COMPUTED_VALUE"""),"RUL")</f>
        <v>RUL</v>
      </c>
      <c r="C150" s="20">
        <f>IFERROR(__xludf.DUMMYFUNCTION("""COMPUTED_VALUE"""),1.9)</f>
        <v>1.9</v>
      </c>
      <c r="D150" s="21">
        <f>IFERROR(__xludf.DUMMYFUNCTION("""COMPUTED_VALUE"""),-0.16512266366085182)</f>
        <v>-0.1651226637</v>
      </c>
      <c r="E150" s="21">
        <f>IFERROR(__xludf.DUMMYFUNCTION("""COMPUTED_VALUE"""),-0.012629761453287036)</f>
        <v>-0.01262976145</v>
      </c>
      <c r="F150" s="21">
        <f>IFERROR(__xludf.DUMMYFUNCTION("""COMPUTED_VALUE"""),-0.17775242511413886)</f>
        <v>-0.1777524251</v>
      </c>
      <c r="G150" s="23">
        <f>IFERROR(__xludf.DUMMYFUNCTION("""COMPUTED_VALUE"""),0.0010554646950802283)</f>
        <v>0.001055464695</v>
      </c>
      <c r="H150" s="4"/>
      <c r="I150" s="5" t="s">
        <v>868</v>
      </c>
      <c r="J150" s="5" t="s">
        <v>693</v>
      </c>
      <c r="K150" s="24">
        <v>2.0</v>
      </c>
      <c r="L150" s="5">
        <v>-0.165123</v>
      </c>
      <c r="M150" s="5">
        <v>-0.01263</v>
      </c>
      <c r="N150" s="5">
        <v>-0.177752</v>
      </c>
      <c r="O150" s="5">
        <v>0.001055</v>
      </c>
    </row>
    <row r="151">
      <c r="A151" s="12" t="str">
        <f>IFERROR(__xludf.DUMMYFUNCTION("""COMPUTED_VALUE"""),"Jorge Gutierrez")</f>
        <v>Jorge Gutierrez</v>
      </c>
      <c r="B151" s="13" t="str">
        <f>IFERROR(__xludf.DUMMYFUNCTION("""COMPUTED_VALUE"""),"TREN")</f>
        <v>TREN</v>
      </c>
      <c r="C151" s="14">
        <f>IFERROR(__xludf.DUMMYFUNCTION("""COMPUTED_VALUE"""),366.1)</f>
        <v>366.1</v>
      </c>
      <c r="D151" s="15">
        <f>IFERROR(__xludf.DUMMYFUNCTION("""COMPUTED_VALUE"""),-0.6628111963744509)</f>
        <v>-0.6628111964</v>
      </c>
      <c r="E151" s="15">
        <f>IFERROR(__xludf.DUMMYFUNCTION("""COMPUTED_VALUE"""),0.4802271293117135)</f>
        <v>0.4802271293</v>
      </c>
      <c r="F151" s="15">
        <f>IFERROR(__xludf.DUMMYFUNCTION("""COMPUTED_VALUE"""),-0.18258406706273733)</f>
        <v>-0.1825840671</v>
      </c>
      <c r="G151" s="17">
        <f>IFERROR(__xludf.DUMMYFUNCTION("""COMPUTED_VALUE"""),0.1997131891160011)</f>
        <v>0.1997131891</v>
      </c>
      <c r="H151" s="4"/>
      <c r="I151" s="5" t="s">
        <v>2394</v>
      </c>
      <c r="J151" s="5" t="s">
        <v>2143</v>
      </c>
      <c r="K151" s="24">
        <v>366.0</v>
      </c>
      <c r="L151" s="5">
        <v>-0.662811</v>
      </c>
      <c r="M151" s="5">
        <v>0.480227</v>
      </c>
      <c r="N151" s="5">
        <v>-0.182584</v>
      </c>
      <c r="O151" s="5">
        <v>0.199713</v>
      </c>
    </row>
    <row r="152">
      <c r="A152" s="18" t="str">
        <f>IFERROR(__xludf.DUMMYFUNCTION("""COMPUTED_VALUE"""),"T.J. Cline")</f>
        <v>T.J. Cline</v>
      </c>
      <c r="B152" s="19" t="str">
        <f>IFERROR(__xludf.DUMMYFUNCTION("""COMPUTED_VALUE"""),"GAL")</f>
        <v>GAL</v>
      </c>
      <c r="C152" s="20">
        <f>IFERROR(__xludf.DUMMYFUNCTION("""COMPUTED_VALUE"""),37.9)</f>
        <v>37.9</v>
      </c>
      <c r="D152" s="21">
        <f>IFERROR(__xludf.DUMMYFUNCTION("""COMPUTED_VALUE"""),0.08056914063425043)</f>
        <v>0.08056914063</v>
      </c>
      <c r="E152" s="21">
        <f>IFERROR(__xludf.DUMMYFUNCTION("""COMPUTED_VALUE"""),-0.2685930994818884)</f>
        <v>-0.2685930995</v>
      </c>
      <c r="F152" s="21">
        <f>IFERROR(__xludf.DUMMYFUNCTION("""COMPUTED_VALUE"""),-0.18802395884763798)</f>
        <v>-0.1880239588</v>
      </c>
      <c r="G152" s="23">
        <f>IFERROR(__xludf.DUMMYFUNCTION("""COMPUTED_VALUE"""),0.020159145173777135)</f>
        <v>0.02015914517</v>
      </c>
      <c r="H152" s="4"/>
      <c r="I152" s="5" t="s">
        <v>1791</v>
      </c>
      <c r="J152" s="5" t="s">
        <v>1592</v>
      </c>
      <c r="K152" s="5">
        <v>38.0</v>
      </c>
      <c r="L152" s="5">
        <v>0.080569</v>
      </c>
      <c r="M152" s="5">
        <v>-0.268593</v>
      </c>
      <c r="N152" s="5">
        <v>-0.188024</v>
      </c>
      <c r="O152" s="5">
        <v>0.020159</v>
      </c>
    </row>
    <row r="153">
      <c r="A153" s="12" t="str">
        <f>IFERROR(__xludf.DUMMYFUNCTION("""COMPUTED_VALUE"""),"Ivan Nelyubov")</f>
        <v>Ivan Nelyubov</v>
      </c>
      <c r="B153" s="13" t="str">
        <f>IFERROR(__xludf.DUMMYFUNCTION("""COMPUTED_VALUE"""),"LOK")</f>
        <v>LOK</v>
      </c>
      <c r="C153" s="14">
        <f>IFERROR(__xludf.DUMMYFUNCTION("""COMPUTED_VALUE"""),6.2)</f>
        <v>6.2</v>
      </c>
      <c r="D153" s="15">
        <f>IFERROR(__xludf.DUMMYFUNCTION("""COMPUTED_VALUE"""),-0.13361413953530235)</f>
        <v>-0.1336141395</v>
      </c>
      <c r="E153" s="15">
        <f>IFERROR(__xludf.DUMMYFUNCTION("""COMPUTED_VALUE"""),-0.06805993015304626)</f>
        <v>-0.06805993015</v>
      </c>
      <c r="F153" s="15">
        <f>IFERROR(__xludf.DUMMYFUNCTION("""COMPUTED_VALUE"""),-0.2016740696883486)</f>
        <v>-0.2016740697</v>
      </c>
      <c r="G153" s="17">
        <f>IFERROR(__xludf.DUMMYFUNCTION("""COMPUTED_VALUE"""),0.0033610049992643257)</f>
        <v>0.003361004999</v>
      </c>
      <c r="H153" s="4"/>
      <c r="I153" s="5" t="s">
        <v>2902</v>
      </c>
      <c r="J153" s="5" t="s">
        <v>2785</v>
      </c>
      <c r="K153" s="24">
        <v>6.0</v>
      </c>
      <c r="L153" s="5">
        <v>-0.133614</v>
      </c>
      <c r="M153" s="5">
        <v>-0.06806</v>
      </c>
      <c r="N153" s="5">
        <v>-0.201674</v>
      </c>
      <c r="O153" s="5">
        <v>0.003361</v>
      </c>
    </row>
    <row r="154">
      <c r="A154" s="18" t="str">
        <f>IFERROR(__xludf.DUMMYFUNCTION("""COMPUTED_VALUE"""),"Dogus Ozdemiroglu")</f>
        <v>Dogus Ozdemiroglu</v>
      </c>
      <c r="B154" s="19" t="str">
        <f>IFERROR(__xludf.DUMMYFUNCTION("""COMPUTED_VALUE"""),"DBI")</f>
        <v>DBI</v>
      </c>
      <c r="C154" s="20">
        <f>IFERROR(__xludf.DUMMYFUNCTION("""COMPUTED_VALUE"""),93.9)</f>
        <v>93.9</v>
      </c>
      <c r="D154" s="21">
        <f>IFERROR(__xludf.DUMMYFUNCTION("""COMPUTED_VALUE"""),-1.7245056405432246)</f>
        <v>-1.724505641</v>
      </c>
      <c r="E154" s="21">
        <f>IFERROR(__xludf.DUMMYFUNCTION("""COMPUTED_VALUE"""),1.5177955994388195)</f>
        <v>1.517795599</v>
      </c>
      <c r="F154" s="21">
        <f>IFERROR(__xludf.DUMMYFUNCTION("""COMPUTED_VALUE"""),-0.20671004110440527)</f>
        <v>-0.2067100411</v>
      </c>
      <c r="G154" s="23">
        <f>IFERROR(__xludf.DUMMYFUNCTION("""COMPUTED_VALUE"""),0.05076041586742255)</f>
        <v>0.05076041587</v>
      </c>
      <c r="H154" s="4"/>
      <c r="I154" s="5" t="s">
        <v>2021</v>
      </c>
      <c r="J154" s="5" t="s">
        <v>1884</v>
      </c>
      <c r="K154" s="5">
        <v>94.0</v>
      </c>
      <c r="L154" s="5">
        <v>-1.724506</v>
      </c>
      <c r="M154" s="5">
        <v>1.517796</v>
      </c>
      <c r="N154" s="5">
        <v>-0.20671</v>
      </c>
      <c r="O154" s="5">
        <v>0.05076</v>
      </c>
    </row>
    <row r="155">
      <c r="A155" s="12" t="str">
        <f>IFERROR(__xludf.DUMMYFUNCTION("""COMPUTED_VALUE"""),"Bogdan Bojic")</f>
        <v>Bogdan Bojic</v>
      </c>
      <c r="B155" s="13" t="str">
        <f>IFERROR(__xludf.DUMMYFUNCTION("""COMPUTED_VALUE"""),"BUD")</f>
        <v>BUD</v>
      </c>
      <c r="C155" s="14">
        <f>IFERROR(__xludf.DUMMYFUNCTION("""COMPUTED_VALUE"""),10.1)</f>
        <v>10.1</v>
      </c>
      <c r="D155" s="15">
        <f>IFERROR(__xludf.DUMMYFUNCTION("""COMPUTED_VALUE"""),-0.3080414036021926)</f>
        <v>-0.3080414036</v>
      </c>
      <c r="E155" s="15">
        <f>IFERROR(__xludf.DUMMYFUNCTION("""COMPUTED_VALUE"""),0.10043024954109611)</f>
        <v>0.1004302495</v>
      </c>
      <c r="F155" s="15">
        <f>IFERROR(__xludf.DUMMYFUNCTION("""COMPUTED_VALUE"""),-0.2076111540610965)</f>
        <v>-0.2076111541</v>
      </c>
      <c r="G155" s="17">
        <f>IFERROR(__xludf.DUMMYFUNCTION("""COMPUTED_VALUE"""),0.005443938327921955)</f>
        <v>0.005443938328</v>
      </c>
      <c r="H155" s="4"/>
      <c r="I155" s="5" t="s">
        <v>1142</v>
      </c>
      <c r="J155" s="5" t="s">
        <v>914</v>
      </c>
      <c r="K155" s="5">
        <v>10.0</v>
      </c>
      <c r="L155" s="5">
        <v>-0.308041</v>
      </c>
      <c r="M155" s="5">
        <v>0.10043</v>
      </c>
      <c r="N155" s="5">
        <v>-0.207611</v>
      </c>
      <c r="O155" s="5">
        <v>0.005444</v>
      </c>
    </row>
    <row r="156">
      <c r="A156" s="18" t="str">
        <f>IFERROR(__xludf.DUMMYFUNCTION("""COMPUTED_VALUE"""),"Georg Beyschlag")</f>
        <v>Georg Beyschlag</v>
      </c>
      <c r="B156" s="19" t="str">
        <f>IFERROR(__xludf.DUMMYFUNCTION("""COMPUTED_VALUE"""),"BAY")</f>
        <v>BAY</v>
      </c>
      <c r="C156" s="20">
        <f>IFERROR(__xludf.DUMMYFUNCTION("""COMPUTED_VALUE"""),2.7)</f>
        <v>2.7</v>
      </c>
      <c r="D156" s="21">
        <f>IFERROR(__xludf.DUMMYFUNCTION("""COMPUTED_VALUE"""),-0.1650218510427745)</f>
        <v>-0.165021851</v>
      </c>
      <c r="E156" s="21">
        <f>IFERROR(__xludf.DUMMYFUNCTION("""COMPUTED_VALUE"""),-0.07657570389361812)</f>
        <v>-0.07657570389</v>
      </c>
      <c r="F156" s="21">
        <f>IFERROR(__xludf.DUMMYFUNCTION("""COMPUTED_VALUE"""),-0.24159755493639262)</f>
        <v>-0.2415975549</v>
      </c>
      <c r="G156" s="23">
        <f>IFERROR(__xludf.DUMMYFUNCTION("""COMPUTED_VALUE"""),0.001447465427338945)</f>
        <v>0.001447465427</v>
      </c>
      <c r="H156" s="4"/>
      <c r="I156" s="5" t="s">
        <v>968</v>
      </c>
      <c r="J156" s="5" t="s">
        <v>644</v>
      </c>
      <c r="K156" s="5">
        <v>3.0</v>
      </c>
      <c r="L156" s="5">
        <v>-0.165022</v>
      </c>
      <c r="M156" s="5">
        <v>-0.076576</v>
      </c>
      <c r="N156" s="5">
        <v>-0.241598</v>
      </c>
      <c r="O156" s="5">
        <v>0.001447</v>
      </c>
    </row>
    <row r="157">
      <c r="A157" s="12" t="str">
        <f>IFERROR(__xludf.DUMMYFUNCTION("""COMPUTED_VALUE"""),"Danilo Nikolic")</f>
        <v>Danilo Nikolic</v>
      </c>
      <c r="B157" s="13" t="str">
        <f>IFERROR(__xludf.DUMMYFUNCTION("""COMPUTED_VALUE"""),"BUD")</f>
        <v>BUD</v>
      </c>
      <c r="C157" s="14">
        <f>IFERROR(__xludf.DUMMYFUNCTION("""COMPUTED_VALUE"""),308.3)</f>
        <v>308.3</v>
      </c>
      <c r="D157" s="15">
        <f>IFERROR(__xludf.DUMMYFUNCTION("""COMPUTED_VALUE"""),-0.9392421372353619)</f>
        <v>-0.9392421372</v>
      </c>
      <c r="E157" s="15">
        <f>IFERROR(__xludf.DUMMYFUNCTION("""COMPUTED_VALUE"""),0.6941909139302029)</f>
        <v>0.6941909139</v>
      </c>
      <c r="F157" s="15">
        <f>IFERROR(__xludf.DUMMYFUNCTION("""COMPUTED_VALUE"""),-0.24505122330515894)</f>
        <v>-0.2450512233</v>
      </c>
      <c r="G157" s="17">
        <f>IFERROR(__xludf.DUMMYFUNCTION("""COMPUTED_VALUE"""),0.1627037489089003)</f>
        <v>0.1627037489</v>
      </c>
      <c r="H157" s="4"/>
      <c r="I157" s="5" t="s">
        <v>1016</v>
      </c>
      <c r="J157" s="5" t="s">
        <v>914</v>
      </c>
      <c r="K157" s="5">
        <v>308.0</v>
      </c>
      <c r="L157" s="5">
        <v>-0.939242</v>
      </c>
      <c r="M157" s="5">
        <v>0.694191</v>
      </c>
      <c r="N157" s="5">
        <v>-0.245051</v>
      </c>
      <c r="O157" s="5">
        <v>0.162704</v>
      </c>
    </row>
    <row r="158">
      <c r="A158" s="18" t="str">
        <f>IFERROR(__xludf.DUMMYFUNCTION("""COMPUTED_VALUE"""),"Deividas Sirvydis")</f>
        <v>Deividas Sirvydis</v>
      </c>
      <c r="B158" s="19" t="str">
        <f>IFERROR(__xludf.DUMMYFUNCTION("""COMPUTED_VALUE"""),"LIE")</f>
        <v>LIE</v>
      </c>
      <c r="C158" s="20">
        <f>IFERROR(__xludf.DUMMYFUNCTION("""COMPUTED_VALUE"""),5.1)</f>
        <v>5.1</v>
      </c>
      <c r="D158" s="21">
        <f>IFERROR(__xludf.DUMMYFUNCTION("""COMPUTED_VALUE"""),-0.20226999040949203)</f>
        <v>-0.2022699904</v>
      </c>
      <c r="E158" s="21">
        <f>IFERROR(__xludf.DUMMYFUNCTION("""COMPUTED_VALUE"""),-0.04650555598755157)</f>
        <v>-0.04650555599</v>
      </c>
      <c r="F158" s="21">
        <f>IFERROR(__xludf.DUMMYFUNCTION("""COMPUTED_VALUE"""),-0.2487755463970436)</f>
        <v>-0.2487755464</v>
      </c>
      <c r="G158" s="23">
        <f>IFERROR(__xludf.DUMMYFUNCTION("""COMPUTED_VALUE"""),0.002701748620651605)</f>
        <v>0.002701748621</v>
      </c>
      <c r="H158" s="4"/>
      <c r="I158" s="5" t="s">
        <v>2533</v>
      </c>
      <c r="J158" s="5" t="s">
        <v>2352</v>
      </c>
      <c r="K158" s="5">
        <v>5.0</v>
      </c>
      <c r="L158" s="5">
        <v>-0.20227</v>
      </c>
      <c r="M158" s="5">
        <v>-0.046506</v>
      </c>
      <c r="N158" s="5">
        <v>-0.248776</v>
      </c>
      <c r="O158" s="5">
        <v>0.002702</v>
      </c>
    </row>
    <row r="159">
      <c r="A159" s="12" t="str">
        <f>IFERROR(__xludf.DUMMYFUNCTION("""COMPUTED_VALUE"""),"Sead Sehovic")</f>
        <v>Sead Sehovic</v>
      </c>
      <c r="B159" s="13" t="str">
        <f>IFERROR(__xludf.DUMMYFUNCTION("""COMPUTED_VALUE"""),"BUD")</f>
        <v>BUD</v>
      </c>
      <c r="C159" s="14">
        <f>IFERROR(__xludf.DUMMYFUNCTION("""COMPUTED_VALUE"""),215.1)</f>
        <v>215.1</v>
      </c>
      <c r="D159" s="15">
        <f>IFERROR(__xludf.DUMMYFUNCTION("""COMPUTED_VALUE"""),-1.7411051333793648)</f>
        <v>-1.741105133</v>
      </c>
      <c r="E159" s="15">
        <f>IFERROR(__xludf.DUMMYFUNCTION("""COMPUTED_VALUE"""),1.4538383629942557)</f>
        <v>1.453838363</v>
      </c>
      <c r="F159" s="15">
        <f>IFERROR(__xludf.DUMMYFUNCTION("""COMPUTED_VALUE"""),-0.2872667703851091)</f>
        <v>-0.2872667704</v>
      </c>
      <c r="G159" s="17">
        <f>IFERROR(__xludf.DUMMYFUNCTION("""COMPUTED_VALUE"""),0.11078723522476565)</f>
        <v>0.1107872352</v>
      </c>
      <c r="H159" s="4"/>
      <c r="I159" s="5" t="s">
        <v>1300</v>
      </c>
      <c r="J159" s="5" t="s">
        <v>914</v>
      </c>
      <c r="K159" s="5">
        <v>215.0</v>
      </c>
      <c r="L159" s="5">
        <v>-1.741105</v>
      </c>
      <c r="M159" s="5">
        <v>1.453838</v>
      </c>
      <c r="N159" s="5">
        <v>-0.287267</v>
      </c>
      <c r="O159" s="5">
        <v>0.110787</v>
      </c>
    </row>
    <row r="160">
      <c r="A160" s="18" t="str">
        <f>IFERROR(__xludf.DUMMYFUNCTION("""COMPUTED_VALUE"""),"Alex King")</f>
        <v>Alex King</v>
      </c>
      <c r="B160" s="19" t="str">
        <f>IFERROR(__xludf.DUMMYFUNCTION("""COMPUTED_VALUE"""),"BAY")</f>
        <v>BAY</v>
      </c>
      <c r="C160" s="20">
        <f>IFERROR(__xludf.DUMMYFUNCTION("""COMPUTED_VALUE"""),110.4)</f>
        <v>110.4</v>
      </c>
      <c r="D160" s="21">
        <f>IFERROR(__xludf.DUMMYFUNCTION("""COMPUTED_VALUE"""),-0.2950152425218283)</f>
        <v>-0.2950152425</v>
      </c>
      <c r="E160" s="21">
        <f>IFERROR(__xludf.DUMMYFUNCTION("""COMPUTED_VALUE"""),-0.00926286988163516)</f>
        <v>-0.009262869882</v>
      </c>
      <c r="F160" s="21">
        <f>IFERROR(__xludf.DUMMYFUNCTION("""COMPUTED_VALUE"""),-0.3042781124034635)</f>
        <v>-0.3042781124</v>
      </c>
      <c r="G160" s="23">
        <f>IFERROR(__xludf.DUMMYFUNCTION("""COMPUTED_VALUE"""),0.05707551719227367)</f>
        <v>0.05707551719</v>
      </c>
      <c r="H160" s="4"/>
      <c r="I160" s="5" t="s">
        <v>1116</v>
      </c>
      <c r="J160" s="5" t="s">
        <v>644</v>
      </c>
      <c r="K160" s="24">
        <v>110.0</v>
      </c>
      <c r="L160" s="5">
        <v>-0.295015</v>
      </c>
      <c r="M160" s="5">
        <v>-0.009263</v>
      </c>
      <c r="N160" s="5">
        <v>-0.304278</v>
      </c>
      <c r="O160" s="5">
        <v>0.057076</v>
      </c>
    </row>
    <row r="161">
      <c r="A161" s="12" t="str">
        <f>IFERROR(__xludf.DUMMYFUNCTION("""COMPUTED_VALUE"""),"Toure' Murry")</f>
        <v>Toure' Murry</v>
      </c>
      <c r="B161" s="13" t="str">
        <f>IFERROR(__xludf.DUMMYFUNCTION("""COMPUTED_VALUE"""),"RUL")</f>
        <v>RUL</v>
      </c>
      <c r="C161" s="14">
        <f>IFERROR(__xludf.DUMMYFUNCTION("""COMPUTED_VALUE"""),229.6)</f>
        <v>229.6</v>
      </c>
      <c r="D161" s="15">
        <f>IFERROR(__xludf.DUMMYFUNCTION("""COMPUTED_VALUE"""),-0.7916609333873116)</f>
        <v>-0.7916609334</v>
      </c>
      <c r="E161" s="15">
        <f>IFERROR(__xludf.DUMMYFUNCTION("""COMPUTED_VALUE"""),0.4866035488848276)</f>
        <v>0.4866035489</v>
      </c>
      <c r="F161" s="15">
        <f>IFERROR(__xludf.DUMMYFUNCTION("""COMPUTED_VALUE"""),-0.305057384502484)</f>
        <v>-0.3050573845</v>
      </c>
      <c r="G161" s="17">
        <f>IFERROR(__xludf.DUMMYFUNCTION("""COMPUTED_VALUE"""),0.11863411967285879)</f>
        <v>0.1186341197</v>
      </c>
      <c r="H161" s="4"/>
      <c r="I161" s="5" t="s">
        <v>795</v>
      </c>
      <c r="J161" s="5" t="s">
        <v>693</v>
      </c>
      <c r="K161" s="5">
        <v>230.0</v>
      </c>
      <c r="L161" s="5">
        <v>-0.791661</v>
      </c>
      <c r="M161" s="5">
        <v>0.486604</v>
      </c>
      <c r="N161" s="5">
        <v>-0.305057</v>
      </c>
      <c r="O161" s="5">
        <v>0.118634</v>
      </c>
    </row>
    <row r="162">
      <c r="A162" s="18" t="str">
        <f>IFERROR(__xludf.DUMMYFUNCTION("""COMPUTED_VALUE"""),"Sylvain Francisco")</f>
        <v>Sylvain Francisco</v>
      </c>
      <c r="B162" s="19" t="str">
        <f>IFERROR(__xludf.DUMMYFUNCTION("""COMPUTED_VALUE"""),"PLV")</f>
        <v>PLV</v>
      </c>
      <c r="C162" s="20">
        <f>IFERROR(__xludf.DUMMYFUNCTION("""COMPUTED_VALUE"""),166.0)</f>
        <v>166</v>
      </c>
      <c r="D162" s="21">
        <f>IFERROR(__xludf.DUMMYFUNCTION("""COMPUTED_VALUE"""),0.7780918573150143)</f>
        <v>0.7780918573</v>
      </c>
      <c r="E162" s="21">
        <f>IFERROR(__xludf.DUMMYFUNCTION("""COMPUTED_VALUE"""),-1.093005470972384)</f>
        <v>-1.093005471</v>
      </c>
      <c r="F162" s="21">
        <f>IFERROR(__xludf.DUMMYFUNCTION("""COMPUTED_VALUE"""),-0.3149136136573696)</f>
        <v>-0.3149136137</v>
      </c>
      <c r="G162" s="23">
        <f>IFERROR(__xludf.DUMMYFUNCTION("""COMPUTED_VALUE"""),0.08529034005012594)</f>
        <v>0.08529034005</v>
      </c>
      <c r="H162" s="4"/>
      <c r="I162" s="5" t="s">
        <v>1651</v>
      </c>
      <c r="J162" s="5" t="s">
        <v>1355</v>
      </c>
      <c r="K162" s="24">
        <v>166.0</v>
      </c>
      <c r="L162" s="5">
        <v>0.778092</v>
      </c>
      <c r="M162" s="5">
        <v>-1.093005</v>
      </c>
      <c r="N162" s="5">
        <v>-0.314914</v>
      </c>
      <c r="O162" s="5">
        <v>0.08529</v>
      </c>
    </row>
    <row r="163">
      <c r="A163" s="12" t="str">
        <f>IFERROR(__xludf.DUMMYFUNCTION("""COMPUTED_VALUE"""),"Jared Cunningham")</f>
        <v>Jared Cunningham</v>
      </c>
      <c r="B163" s="13" t="str">
        <f>IFERROR(__xludf.DUMMYFUNCTION("""COMPUTED_VALUE"""),"BAY")</f>
        <v>BAY</v>
      </c>
      <c r="C163" s="14">
        <f>IFERROR(__xludf.DUMMYFUNCTION("""COMPUTED_VALUE"""),498.1)</f>
        <v>498.1</v>
      </c>
      <c r="D163" s="15">
        <f>IFERROR(__xludf.DUMMYFUNCTION("""COMPUTED_VALUE"""),-0.50078099824356)</f>
        <v>-0.5007809982</v>
      </c>
      <c r="E163" s="15">
        <f>IFERROR(__xludf.DUMMYFUNCTION("""COMPUTED_VALUE"""),0.16984013112628427)</f>
        <v>0.1698401311</v>
      </c>
      <c r="F163" s="15">
        <f>IFERROR(__xludf.DUMMYFUNCTION("""COMPUTED_VALUE"""),-0.33094086711727577)</f>
        <v>-0.3309408671</v>
      </c>
      <c r="G163" s="17">
        <f>IFERROR(__xludf.DUMMYFUNCTION("""COMPUTED_VALUE"""),0.2534629128319771)</f>
        <v>0.2534629128</v>
      </c>
      <c r="H163" s="4"/>
      <c r="I163" s="5" t="s">
        <v>787</v>
      </c>
      <c r="J163" s="5" t="s">
        <v>644</v>
      </c>
      <c r="K163" s="5">
        <v>498.0</v>
      </c>
      <c r="L163" s="5">
        <v>-0.500781</v>
      </c>
      <c r="M163" s="5">
        <v>0.16984</v>
      </c>
      <c r="N163" s="5">
        <v>-0.330941</v>
      </c>
      <c r="O163" s="5">
        <v>0.253463</v>
      </c>
    </row>
    <row r="164">
      <c r="A164" s="18" t="str">
        <f>IFERROR(__xludf.DUMMYFUNCTION("""COMPUTED_VALUE"""),"Demetris Nichols")</f>
        <v>Demetris Nichols</v>
      </c>
      <c r="B164" s="19" t="str">
        <f>IFERROR(__xludf.DUMMYFUNCTION("""COMPUTED_VALUE"""),"CED")</f>
        <v>CED</v>
      </c>
      <c r="C164" s="20">
        <f>IFERROR(__xludf.DUMMYFUNCTION("""COMPUTED_VALUE"""),424.9)</f>
        <v>424.9</v>
      </c>
      <c r="D164" s="21">
        <f>IFERROR(__xludf.DUMMYFUNCTION("""COMPUTED_VALUE"""),-1.4123007094692044)</f>
        <v>-1.412300709</v>
      </c>
      <c r="E164" s="21">
        <f>IFERROR(__xludf.DUMMYFUNCTION("""COMPUTED_VALUE"""),1.0676819914927203)</f>
        <v>1.067681991</v>
      </c>
      <c r="F164" s="21">
        <f>IFERROR(__xludf.DUMMYFUNCTION("""COMPUTED_VALUE"""),-0.344618717976484)</f>
        <v>-0.344618718</v>
      </c>
      <c r="G164" s="23">
        <f>IFERROR(__xludf.DUMMYFUNCTION("""COMPUTED_VALUE"""),0.2127669924744442)</f>
        <v>0.2127669925</v>
      </c>
      <c r="H164" s="4"/>
      <c r="I164" s="5" t="s">
        <v>927</v>
      </c>
      <c r="J164" s="5" t="s">
        <v>928</v>
      </c>
      <c r="K164" s="24">
        <v>425.0</v>
      </c>
      <c r="L164" s="5">
        <v>-1.412301</v>
      </c>
      <c r="M164" s="5">
        <v>1.067682</v>
      </c>
      <c r="N164" s="5">
        <v>-0.344619</v>
      </c>
      <c r="O164" s="5">
        <v>0.212767</v>
      </c>
    </row>
    <row r="165">
      <c r="A165" s="12" t="str">
        <f>IFERROR(__xludf.DUMMYFUNCTION("""COMPUTED_VALUE"""),"Joschka Ferner")</f>
        <v>Joschka Ferner</v>
      </c>
      <c r="B165" s="13" t="str">
        <f>IFERROR(__xludf.DUMMYFUNCTION("""COMPUTED_VALUE"""),"RUL")</f>
        <v>RUL</v>
      </c>
      <c r="C165" s="14">
        <f>IFERROR(__xludf.DUMMYFUNCTION("""COMPUTED_VALUE"""),73.7)</f>
        <v>73.7</v>
      </c>
      <c r="D165" s="15">
        <f>IFERROR(__xludf.DUMMYFUNCTION("""COMPUTED_VALUE"""),0.9245531419561733)</f>
        <v>0.924553142</v>
      </c>
      <c r="E165" s="15">
        <f>IFERROR(__xludf.DUMMYFUNCTION("""COMPUTED_VALUE"""),-1.2751147283848883)</f>
        <v>-1.275114728</v>
      </c>
      <c r="F165" s="15">
        <f>IFERROR(__xludf.DUMMYFUNCTION("""COMPUTED_VALUE"""),-0.3505615864287149)</f>
        <v>-0.3505615864</v>
      </c>
      <c r="G165" s="17">
        <f>IFERROR(__xludf.DUMMYFUNCTION("""COMPUTED_VALUE"""),0.03705837071177141)</f>
        <v>0.03705837071</v>
      </c>
      <c r="H165" s="4"/>
      <c r="I165" s="5" t="s">
        <v>843</v>
      </c>
      <c r="J165" s="5" t="s">
        <v>693</v>
      </c>
      <c r="K165" s="5">
        <v>74.0</v>
      </c>
      <c r="L165" s="5">
        <v>0.924553</v>
      </c>
      <c r="M165" s="5">
        <v>-1.275115</v>
      </c>
      <c r="N165" s="5">
        <v>-0.350562</v>
      </c>
      <c r="O165" s="5">
        <v>0.037058</v>
      </c>
    </row>
    <row r="166">
      <c r="A166" s="18" t="str">
        <f>IFERROR(__xludf.DUMMYFUNCTION("""COMPUTED_VALUE"""),"Sandro Gacic")</f>
        <v>Sandro Gacic</v>
      </c>
      <c r="B166" s="19" t="str">
        <f>IFERROR(__xludf.DUMMYFUNCTION("""COMPUTED_VALUE"""),"AND")</f>
        <v>AND</v>
      </c>
      <c r="C166" s="20">
        <f>IFERROR(__xludf.DUMMYFUNCTION("""COMPUTED_VALUE"""),3.8)</f>
        <v>3.8</v>
      </c>
      <c r="D166" s="21">
        <f>IFERROR(__xludf.DUMMYFUNCTION("""COMPUTED_VALUE"""),-0.23734483094483153)</f>
        <v>-0.2373448309</v>
      </c>
      <c r="E166" s="21">
        <f>IFERROR(__xludf.DUMMYFUNCTION("""COMPUTED_VALUE"""),-0.11498955065440422)</f>
        <v>-0.1149895507</v>
      </c>
      <c r="F166" s="21">
        <f>IFERROR(__xludf.DUMMYFUNCTION("""COMPUTED_VALUE"""),-0.35233438159923575)</f>
        <v>-0.3523343816</v>
      </c>
      <c r="G166" s="23">
        <f>IFERROR(__xludf.DUMMYFUNCTION("""COMPUTED_VALUE"""),0.0019089763481841481)</f>
        <v>0.001908976348</v>
      </c>
      <c r="H166" s="4"/>
      <c r="I166" s="5" t="s">
        <v>2960</v>
      </c>
      <c r="J166" s="5" t="s">
        <v>89</v>
      </c>
      <c r="K166" s="5">
        <v>4.0</v>
      </c>
      <c r="L166" s="5">
        <v>-0.237345</v>
      </c>
      <c r="M166" s="5">
        <v>-0.11499</v>
      </c>
      <c r="N166" s="5">
        <v>-0.352334</v>
      </c>
      <c r="O166" s="5">
        <v>0.001909</v>
      </c>
    </row>
    <row r="167">
      <c r="A167" s="12" t="str">
        <f>IFERROR(__xludf.DUMMYFUNCTION("""COMPUTED_VALUE"""),"Steve Vasturia")</f>
        <v>Steve Vasturia</v>
      </c>
      <c r="B167" s="13" t="str">
        <f>IFERROR(__xludf.DUMMYFUNCTION("""COMPUTED_VALUE"""),"BER")</f>
        <v>BER</v>
      </c>
      <c r="C167" s="14">
        <f>IFERROR(__xludf.DUMMYFUNCTION("""COMPUTED_VALUE"""),7.9)</f>
        <v>7.9</v>
      </c>
      <c r="D167" s="15">
        <f>IFERROR(__xludf.DUMMYFUNCTION("""COMPUTED_VALUE"""),-0.1614670856839793)</f>
        <v>-0.1614670857</v>
      </c>
      <c r="E167" s="15">
        <f>IFERROR(__xludf.DUMMYFUNCTION("""COMPUTED_VALUE"""),-0.19142578500013904)</f>
        <v>-0.191425785</v>
      </c>
      <c r="F167" s="15">
        <f>IFERROR(__xludf.DUMMYFUNCTION("""COMPUTED_VALUE"""),-0.35289287068411834)</f>
        <v>-0.3528928707</v>
      </c>
      <c r="G167" s="17">
        <f>IFERROR(__xludf.DUMMYFUNCTION("""COMPUTED_VALUE"""),0.003951435521249269)</f>
        <v>0.003951435521</v>
      </c>
      <c r="H167" s="4"/>
      <c r="I167" s="5" t="s">
        <v>873</v>
      </c>
      <c r="J167" s="5" t="s">
        <v>634</v>
      </c>
      <c r="K167" s="5">
        <v>8.0</v>
      </c>
      <c r="L167" s="5">
        <v>-0.161467</v>
      </c>
      <c r="M167" s="5">
        <v>-0.191426</v>
      </c>
      <c r="N167" s="5">
        <v>-0.352893</v>
      </c>
      <c r="O167" s="5">
        <v>0.003951</v>
      </c>
    </row>
    <row r="168">
      <c r="A168" s="18" t="str">
        <f>IFERROR(__xludf.DUMMYFUNCTION("""COMPUTED_VALUE"""),"Frederic Loubaki")</f>
        <v>Frederic Loubaki</v>
      </c>
      <c r="B168" s="19" t="str">
        <f>IFERROR(__xludf.DUMMYFUNCTION("""COMPUTED_VALUE"""),"PLV")</f>
        <v>PLV</v>
      </c>
      <c r="C168" s="20">
        <f>IFERROR(__xludf.DUMMYFUNCTION("""COMPUTED_VALUE"""),6.7)</f>
        <v>6.7</v>
      </c>
      <c r="D168" s="21">
        <f>IFERROR(__xludf.DUMMYFUNCTION("""COMPUTED_VALUE"""),-0.2581991830090566)</f>
        <v>-0.258199183</v>
      </c>
      <c r="E168" s="21">
        <f>IFERROR(__xludf.DUMMYFUNCTION("""COMPUTED_VALUE"""),-0.09526332346129118)</f>
        <v>-0.09526332346</v>
      </c>
      <c r="F168" s="21">
        <f>IFERROR(__xludf.DUMMYFUNCTION("""COMPUTED_VALUE"""),-0.35346250647034777)</f>
        <v>-0.3534625065</v>
      </c>
      <c r="G168" s="23">
        <f>IFERROR(__xludf.DUMMYFUNCTION("""COMPUTED_VALUE"""),0.0033636903954568226)</f>
        <v>0.003363690395</v>
      </c>
      <c r="H168" s="4"/>
      <c r="I168" s="5" t="s">
        <v>1448</v>
      </c>
      <c r="J168" s="5" t="s">
        <v>1355</v>
      </c>
      <c r="K168" s="5">
        <v>7.0</v>
      </c>
      <c r="L168" s="5">
        <v>-0.258199</v>
      </c>
      <c r="M168" s="5">
        <v>-0.095263</v>
      </c>
      <c r="N168" s="5">
        <v>-0.353463</v>
      </c>
      <c r="O168" s="5">
        <v>0.003364</v>
      </c>
    </row>
    <row r="169">
      <c r="A169" s="12" t="str">
        <f>IFERROR(__xludf.DUMMYFUNCTION("""COMPUTED_VALUE"""),"Trevor Mbakwe")</f>
        <v>Trevor Mbakwe</v>
      </c>
      <c r="B169" s="13" t="str">
        <f>IFERROR(__xludf.DUMMYFUNCTION("""COMPUTED_VALUE"""),"TOR")</f>
        <v>TOR</v>
      </c>
      <c r="C169" s="14">
        <f>IFERROR(__xludf.DUMMYFUNCTION("""COMPUTED_VALUE"""),257.1)</f>
        <v>257.1</v>
      </c>
      <c r="D169" s="15">
        <f>IFERROR(__xludf.DUMMYFUNCTION("""COMPUTED_VALUE"""),-1.746770282608038)</f>
        <v>-1.746770283</v>
      </c>
      <c r="E169" s="15">
        <f>IFERROR(__xludf.DUMMYFUNCTION("""COMPUTED_VALUE"""),1.3890460427371705)</f>
        <v>1.389046043</v>
      </c>
      <c r="F169" s="15">
        <f>IFERROR(__xludf.DUMMYFUNCTION("""COMPUTED_VALUE"""),-0.35772423987086754)</f>
        <v>-0.3577242399</v>
      </c>
      <c r="G169" s="17">
        <f>IFERROR(__xludf.DUMMYFUNCTION("""COMPUTED_VALUE"""),0.12873642954184636)</f>
        <v>0.1287364295</v>
      </c>
      <c r="H169" s="4"/>
      <c r="I169" s="5" t="s">
        <v>2139</v>
      </c>
      <c r="J169" s="5" t="s">
        <v>2140</v>
      </c>
      <c r="K169" s="5">
        <v>257.0</v>
      </c>
      <c r="L169" s="5">
        <v>-1.74677</v>
      </c>
      <c r="M169" s="5">
        <v>1.389046</v>
      </c>
      <c r="N169" s="5">
        <v>-0.357724</v>
      </c>
      <c r="O169" s="5">
        <v>0.128736</v>
      </c>
    </row>
    <row r="170">
      <c r="A170" s="18" t="str">
        <f>IFERROR(__xludf.DUMMYFUNCTION("""COMPUTED_VALUE"""),"Federico Bonacini")</f>
        <v>Federico Bonacini</v>
      </c>
      <c r="B170" s="19" t="str">
        <f>IFERROR(__xludf.DUMMYFUNCTION("""COMPUTED_VALUE"""),"REG")</f>
        <v>REG</v>
      </c>
      <c r="C170" s="20">
        <f>IFERROR(__xludf.DUMMYFUNCTION("""COMPUTED_VALUE"""),9.8)</f>
        <v>9.8</v>
      </c>
      <c r="D170" s="21">
        <f>IFERROR(__xludf.DUMMYFUNCTION("""COMPUTED_VALUE"""),-0.2940985447087648)</f>
        <v>-0.2940985447</v>
      </c>
      <c r="E170" s="21">
        <f>IFERROR(__xludf.DUMMYFUNCTION("""COMPUTED_VALUE"""),-0.06761491900722327)</f>
        <v>-0.06761491901</v>
      </c>
      <c r="F170" s="21">
        <f>IFERROR(__xludf.DUMMYFUNCTION("""COMPUTED_VALUE"""),-0.36171346371598806)</f>
        <v>-0.3617134637</v>
      </c>
      <c r="G170" s="23">
        <f>IFERROR(__xludf.DUMMYFUNCTION("""COMPUTED_VALUE"""),0.004866031887134428)</f>
        <v>0.004866031887</v>
      </c>
      <c r="H170" s="4"/>
      <c r="I170" s="5" t="s">
        <v>2451</v>
      </c>
      <c r="J170" s="5" t="s">
        <v>2135</v>
      </c>
      <c r="K170" s="5">
        <v>10.0</v>
      </c>
      <c r="L170" s="5">
        <v>-0.294099</v>
      </c>
      <c r="M170" s="5">
        <v>-0.067615</v>
      </c>
      <c r="N170" s="5">
        <v>-0.361713</v>
      </c>
      <c r="O170" s="5">
        <v>0.004866</v>
      </c>
    </row>
    <row r="171">
      <c r="A171" s="12" t="str">
        <f>IFERROR(__xludf.DUMMYFUNCTION("""COMPUTED_VALUE"""),"Bjorn Rohwer")</f>
        <v>Bjorn Rohwer</v>
      </c>
      <c r="B171" s="13" t="str">
        <f>IFERROR(__xludf.DUMMYFUNCTION("""COMPUTED_VALUE"""),"RUL")</f>
        <v>RUL</v>
      </c>
      <c r="C171" s="14">
        <f>IFERROR(__xludf.DUMMYFUNCTION("""COMPUTED_VALUE"""),10.9)</f>
        <v>10.9</v>
      </c>
      <c r="D171" s="15">
        <f>IFERROR(__xludf.DUMMYFUNCTION("""COMPUTED_VALUE"""),0.12285979357312816)</f>
        <v>0.1228597936</v>
      </c>
      <c r="E171" s="15">
        <f>IFERROR(__xludf.DUMMYFUNCTION("""COMPUTED_VALUE"""),-0.48898946561630563)</f>
        <v>-0.4889894656</v>
      </c>
      <c r="F171" s="15">
        <f>IFERROR(__xludf.DUMMYFUNCTION("""COMPUTED_VALUE"""),-0.3661296720431775)</f>
        <v>-0.366129672</v>
      </c>
      <c r="G171" s="17">
        <f>IFERROR(__xludf.DUMMYFUNCTION("""COMPUTED_VALUE"""),0.005429087144556691)</f>
        <v>0.005429087145</v>
      </c>
      <c r="H171" s="4"/>
      <c r="I171" s="5" t="s">
        <v>987</v>
      </c>
      <c r="J171" s="5" t="s">
        <v>693</v>
      </c>
      <c r="K171" s="5">
        <v>11.0</v>
      </c>
      <c r="L171" s="5">
        <v>0.12286</v>
      </c>
      <c r="M171" s="5">
        <v>-0.488989</v>
      </c>
      <c r="N171" s="5">
        <v>-0.36613</v>
      </c>
      <c r="O171" s="5">
        <v>0.005429</v>
      </c>
    </row>
    <row r="172">
      <c r="A172" s="18" t="str">
        <f>IFERROR(__xludf.DUMMYFUNCTION("""COMPUTED_VALUE"""),"Justin Doellman")</f>
        <v>Justin Doellman</v>
      </c>
      <c r="B172" s="19" t="str">
        <f>IFERROR(__xludf.DUMMYFUNCTION("""COMPUTED_VALUE"""),"BUD")</f>
        <v>BUD</v>
      </c>
      <c r="C172" s="20">
        <f>IFERROR(__xludf.DUMMYFUNCTION("""COMPUTED_VALUE"""),87.2)</f>
        <v>87.2</v>
      </c>
      <c r="D172" s="21">
        <f>IFERROR(__xludf.DUMMYFUNCTION("""COMPUTED_VALUE"""),-0.7715213790803614)</f>
        <v>-0.7715213791</v>
      </c>
      <c r="E172" s="21">
        <f>IFERROR(__xludf.DUMMYFUNCTION("""COMPUTED_VALUE"""),0.38620246477464515)</f>
        <v>0.3862024648</v>
      </c>
      <c r="F172" s="21">
        <f>IFERROR(__xludf.DUMMYFUNCTION("""COMPUTED_VALUE"""),-0.3853189143057163)</f>
        <v>-0.3853189143</v>
      </c>
      <c r="G172" s="23">
        <f>IFERROR(__xludf.DUMMYFUNCTION("""COMPUTED_VALUE"""),0.0423411679107333)</f>
        <v>0.04234116791</v>
      </c>
      <c r="H172" s="4"/>
      <c r="I172" s="5" t="s">
        <v>431</v>
      </c>
      <c r="J172" s="5" t="s">
        <v>914</v>
      </c>
      <c r="K172" s="5">
        <v>87.0</v>
      </c>
      <c r="L172" s="5">
        <v>-0.771521</v>
      </c>
      <c r="M172" s="5">
        <v>0.386202</v>
      </c>
      <c r="N172" s="5">
        <v>-0.385319</v>
      </c>
      <c r="O172" s="5">
        <v>0.042341</v>
      </c>
    </row>
    <row r="173">
      <c r="A173" s="12" t="str">
        <f>IFERROR(__xludf.DUMMYFUNCTION("""COMPUTED_VALUE"""),"Will Cummings")</f>
        <v>Will Cummings</v>
      </c>
      <c r="B173" s="13" t="str">
        <f>IFERROR(__xludf.DUMMYFUNCTION("""COMPUTED_VALUE"""),"DBI")</f>
        <v>DBI</v>
      </c>
      <c r="C173" s="14">
        <f>IFERROR(__xludf.DUMMYFUNCTION("""COMPUTED_VALUE"""),397.7)</f>
        <v>397.7</v>
      </c>
      <c r="D173" s="15">
        <f>IFERROR(__xludf.DUMMYFUNCTION("""COMPUTED_VALUE"""),-1.2553531259780615)</f>
        <v>-1.255353126</v>
      </c>
      <c r="E173" s="15">
        <f>IFERROR(__xludf.DUMMYFUNCTION("""COMPUTED_VALUE"""),0.8611628314311235)</f>
        <v>0.8611628314</v>
      </c>
      <c r="F173" s="15">
        <f>IFERROR(__xludf.DUMMYFUNCTION("""COMPUTED_VALUE"""),-0.394190294546938)</f>
        <v>-0.3941902945</v>
      </c>
      <c r="G173" s="17">
        <f>IFERROR(__xludf.DUMMYFUNCTION("""COMPUTED_VALUE"""),0.19251241047599127)</f>
        <v>0.1925124105</v>
      </c>
      <c r="H173" s="4"/>
      <c r="I173" s="5" t="s">
        <v>2099</v>
      </c>
      <c r="J173" s="5" t="s">
        <v>1884</v>
      </c>
      <c r="K173" s="5">
        <v>398.0</v>
      </c>
      <c r="L173" s="5">
        <v>-1.255353</v>
      </c>
      <c r="M173" s="5">
        <v>0.861163</v>
      </c>
      <c r="N173" s="5">
        <v>-0.39419</v>
      </c>
      <c r="O173" s="5">
        <v>0.192512</v>
      </c>
    </row>
    <row r="174">
      <c r="A174" s="18" t="str">
        <f>IFERROR(__xludf.DUMMYFUNCTION("""COMPUTED_VALUE"""),"Dennis Clifford")</f>
        <v>Dennis Clifford</v>
      </c>
      <c r="B174" s="19" t="str">
        <f>IFERROR(__xludf.DUMMYFUNCTION("""COMPUTED_VALUE"""),"BER")</f>
        <v>BER</v>
      </c>
      <c r="C174" s="20">
        <f>IFERROR(__xludf.DUMMYFUNCTION("""COMPUTED_VALUE"""),355.0)</f>
        <v>355</v>
      </c>
      <c r="D174" s="21">
        <f>IFERROR(__xludf.DUMMYFUNCTION("""COMPUTED_VALUE"""),-0.3610675433993973)</f>
        <v>-0.3610675434</v>
      </c>
      <c r="E174" s="21">
        <f>IFERROR(__xludf.DUMMYFUNCTION("""COMPUTED_VALUE"""),-0.04080589866024553)</f>
        <v>-0.04080589866</v>
      </c>
      <c r="F174" s="21">
        <f>IFERROR(__xludf.DUMMYFUNCTION("""COMPUTED_VALUE"""),-0.4018734420596428)</f>
        <v>-0.4018734421</v>
      </c>
      <c r="G174" s="23">
        <f>IFERROR(__xludf.DUMMYFUNCTION("""COMPUTED_VALUE"""),0.1722842129046769)</f>
        <v>0.1722842129</v>
      </c>
      <c r="H174" s="4"/>
      <c r="I174" s="5" t="s">
        <v>744</v>
      </c>
      <c r="J174" s="5" t="s">
        <v>634</v>
      </c>
      <c r="K174" s="5">
        <v>355.0</v>
      </c>
      <c r="L174" s="5">
        <v>-0.361068</v>
      </c>
      <c r="M174" s="5">
        <v>-0.040806</v>
      </c>
      <c r="N174" s="5">
        <v>-0.401873</v>
      </c>
      <c r="O174" s="5">
        <v>0.172284</v>
      </c>
    </row>
    <row r="175">
      <c r="A175" s="12" t="str">
        <f>IFERROR(__xludf.DUMMYFUNCTION("""COMPUTED_VALUE"""),"Tadija Tadic")</f>
        <v>Tadija Tadic</v>
      </c>
      <c r="B175" s="13" t="str">
        <f>IFERROR(__xludf.DUMMYFUNCTION("""COMPUTED_VALUE"""),"PAR")</f>
        <v>PAR</v>
      </c>
      <c r="C175" s="14">
        <f>IFERROR(__xludf.DUMMYFUNCTION("""COMPUTED_VALUE"""),5.0)</f>
        <v>5</v>
      </c>
      <c r="D175" s="15">
        <f>IFERROR(__xludf.DUMMYFUNCTION("""COMPUTED_VALUE"""),-0.2682904346012027)</f>
        <v>-0.2682904346</v>
      </c>
      <c r="E175" s="15">
        <f>IFERROR(__xludf.DUMMYFUNCTION("""COMPUTED_VALUE"""),-0.13749596953222426)</f>
        <v>-0.1374959695</v>
      </c>
      <c r="F175" s="15">
        <f>IFERROR(__xludf.DUMMYFUNCTION("""COMPUTED_VALUE"""),-0.405786404133427)</f>
        <v>-0.4057864041</v>
      </c>
      <c r="G175" s="17">
        <f>IFERROR(__xludf.DUMMYFUNCTION("""COMPUTED_VALUE"""),0.0024305682374712507)</f>
        <v>0.002430568237</v>
      </c>
      <c r="H175" s="4"/>
      <c r="I175" s="5" t="s">
        <v>1150</v>
      </c>
      <c r="J175" s="5" t="s">
        <v>962</v>
      </c>
      <c r="K175" s="24">
        <v>5.0</v>
      </c>
      <c r="L175" s="5">
        <v>-0.26829</v>
      </c>
      <c r="M175" s="5">
        <v>-0.137496</v>
      </c>
      <c r="N175" s="5">
        <v>-0.405786</v>
      </c>
      <c r="O175" s="5">
        <v>0.002431</v>
      </c>
    </row>
    <row r="176">
      <c r="A176" s="18" t="str">
        <f>IFERROR(__xludf.DUMMYFUNCTION("""COMPUTED_VALUE"""),"Pavel Sergeev")</f>
        <v>Pavel Sergeev</v>
      </c>
      <c r="B176" s="19" t="str">
        <f>IFERROR(__xludf.DUMMYFUNCTION("""COMPUTED_VALUE"""),"UNI")</f>
        <v>UNI</v>
      </c>
      <c r="C176" s="20">
        <f>IFERROR(__xludf.DUMMYFUNCTION("""COMPUTED_VALUE"""),19.3)</f>
        <v>19.3</v>
      </c>
      <c r="D176" s="21">
        <f>IFERROR(__xludf.DUMMYFUNCTION("""COMPUTED_VALUE"""),-0.5050387653101656)</f>
        <v>-0.5050387653</v>
      </c>
      <c r="E176" s="21">
        <f>IFERROR(__xludf.DUMMYFUNCTION("""COMPUTED_VALUE"""),0.0966415012246441)</f>
        <v>0.09664150122</v>
      </c>
      <c r="F176" s="21">
        <f>IFERROR(__xludf.DUMMYFUNCTION("""COMPUTED_VALUE"""),-0.40839726408552146)</f>
        <v>-0.4083972641</v>
      </c>
      <c r="G176" s="23">
        <f>IFERROR(__xludf.DUMMYFUNCTION("""COMPUTED_VALUE"""),0.00924359713746974)</f>
        <v>0.009243597137</v>
      </c>
      <c r="H176" s="4"/>
      <c r="I176" s="5" t="s">
        <v>2866</v>
      </c>
      <c r="J176" s="5" t="s">
        <v>22</v>
      </c>
      <c r="K176" s="5">
        <v>19.0</v>
      </c>
      <c r="L176" s="5">
        <v>-0.505039</v>
      </c>
      <c r="M176" s="5">
        <v>0.096642</v>
      </c>
      <c r="N176" s="5">
        <v>-0.408397</v>
      </c>
      <c r="O176" s="5">
        <v>0.009244</v>
      </c>
    </row>
    <row r="177">
      <c r="A177" s="12" t="str">
        <f>IFERROR(__xludf.DUMMYFUNCTION("""COMPUTED_VALUE"""),"Donatas Tarolis")</f>
        <v>Donatas Tarolis</v>
      </c>
      <c r="B177" s="13" t="str">
        <f>IFERROR(__xludf.DUMMYFUNCTION("""COMPUTED_VALUE"""),"TEC")</f>
        <v>TEC</v>
      </c>
      <c r="C177" s="14">
        <f>IFERROR(__xludf.DUMMYFUNCTION("""COMPUTED_VALUE"""),85.9)</f>
        <v>85.9</v>
      </c>
      <c r="D177" s="15">
        <f>IFERROR(__xludf.DUMMYFUNCTION("""COMPUTED_VALUE"""),-0.8519279499094784)</f>
        <v>-0.8519279499</v>
      </c>
      <c r="E177" s="15">
        <f>IFERROR(__xludf.DUMMYFUNCTION("""COMPUTED_VALUE"""),0.4350520135693554)</f>
        <v>0.4350520136</v>
      </c>
      <c r="F177" s="15">
        <f>IFERROR(__xludf.DUMMYFUNCTION("""COMPUTED_VALUE"""),-0.416875936340123)</f>
        <v>-0.4168759363</v>
      </c>
      <c r="G177" s="17">
        <f>IFERROR(__xludf.DUMMYFUNCTION("""COMPUTED_VALUE"""),0.0475164457234205)</f>
        <v>0.04751644572</v>
      </c>
      <c r="H177" s="4"/>
      <c r="I177" s="5" t="s">
        <v>2418</v>
      </c>
      <c r="J177" s="5" t="s">
        <v>2400</v>
      </c>
      <c r="K177" s="24">
        <v>86.0</v>
      </c>
      <c r="L177" s="5">
        <v>-0.851928</v>
      </c>
      <c r="M177" s="5">
        <v>0.435052</v>
      </c>
      <c r="N177" s="5">
        <v>-0.416876</v>
      </c>
      <c r="O177" s="5">
        <v>0.047516</v>
      </c>
    </row>
    <row r="178">
      <c r="A178" s="18" t="str">
        <f>IFERROR(__xludf.DUMMYFUNCTION("""COMPUTED_VALUE"""),"Luca Conti")</f>
        <v>Luca Conti</v>
      </c>
      <c r="B178" s="19" t="str">
        <f>IFERROR(__xludf.DUMMYFUNCTION("""COMPUTED_VALUE"""),"TREN")</f>
        <v>TREN</v>
      </c>
      <c r="C178" s="20">
        <f>IFERROR(__xludf.DUMMYFUNCTION("""COMPUTED_VALUE"""),5.6)</f>
        <v>5.6</v>
      </c>
      <c r="D178" s="21">
        <f>IFERROR(__xludf.DUMMYFUNCTION("""COMPUTED_VALUE"""),-0.30977683865481326)</f>
        <v>-0.3097768387</v>
      </c>
      <c r="E178" s="21">
        <f>IFERROR(__xludf.DUMMYFUNCTION("""COMPUTED_VALUE"""),-0.13074688015434915)</f>
        <v>-0.1307468802</v>
      </c>
      <c r="F178" s="21">
        <f>IFERROR(__xludf.DUMMYFUNCTION("""COMPUTED_VALUE"""),-0.4405237188091624)</f>
        <v>-0.4405237188</v>
      </c>
      <c r="G178" s="23">
        <f>IFERROR(__xludf.DUMMYFUNCTION("""COMPUTED_VALUE"""),0.0026213166588506098)</f>
        <v>0.002621316659</v>
      </c>
      <c r="H178" s="4"/>
      <c r="I178" s="5" t="s">
        <v>2260</v>
      </c>
      <c r="J178" s="5" t="s">
        <v>2143</v>
      </c>
      <c r="K178" s="5">
        <v>6.0</v>
      </c>
      <c r="L178" s="5">
        <v>-0.309777</v>
      </c>
      <c r="M178" s="5">
        <v>-0.130747</v>
      </c>
      <c r="N178" s="5">
        <v>-0.440524</v>
      </c>
      <c r="O178" s="5">
        <v>0.002621</v>
      </c>
    </row>
    <row r="179">
      <c r="A179" s="12" t="str">
        <f>IFERROR(__xludf.DUMMYFUNCTION("""COMPUTED_VALUE"""),"Stanislav Ilnitskiy")</f>
        <v>Stanislav Ilnitskiy</v>
      </c>
      <c r="B179" s="13" t="str">
        <f>IFERROR(__xludf.DUMMYFUNCTION("""COMPUTED_VALUE"""),"LOK")</f>
        <v>LOK</v>
      </c>
      <c r="C179" s="14">
        <f>IFERROR(__xludf.DUMMYFUNCTION("""COMPUTED_VALUE"""),90.6)</f>
        <v>90.6</v>
      </c>
      <c r="D179" s="15">
        <f>IFERROR(__xludf.DUMMYFUNCTION("""COMPUTED_VALUE"""),-0.6247797017412595)</f>
        <v>-0.6247797017</v>
      </c>
      <c r="E179" s="15">
        <f>IFERROR(__xludf.DUMMYFUNCTION("""COMPUTED_VALUE"""),0.15714599604919444)</f>
        <v>0.157145996</v>
      </c>
      <c r="F179" s="15">
        <f>IFERROR(__xludf.DUMMYFUNCTION("""COMPUTED_VALUE"""),-0.4676337056920651)</f>
        <v>-0.4676337057</v>
      </c>
      <c r="G179" s="17">
        <f>IFERROR(__xludf.DUMMYFUNCTION("""COMPUTED_VALUE"""),0.041850422898342336)</f>
        <v>0.0418504229</v>
      </c>
      <c r="H179" s="4"/>
      <c r="I179" s="5" t="s">
        <v>2855</v>
      </c>
      <c r="J179" s="5" t="s">
        <v>2785</v>
      </c>
      <c r="K179" s="5">
        <v>91.0</v>
      </c>
      <c r="L179" s="5">
        <v>-0.62478</v>
      </c>
      <c r="M179" s="5">
        <v>0.157146</v>
      </c>
      <c r="N179" s="5">
        <v>-0.467634</v>
      </c>
      <c r="O179" s="5">
        <v>0.04185</v>
      </c>
    </row>
    <row r="180">
      <c r="A180" s="18" t="str">
        <f>IFERROR(__xludf.DUMMYFUNCTION("""COMPUTED_VALUE"""),"Theo Maledon")</f>
        <v>Theo Maledon</v>
      </c>
      <c r="B180" s="19" t="str">
        <f>IFERROR(__xludf.DUMMYFUNCTION("""COMPUTED_VALUE"""),"LYV")</f>
        <v>LYV</v>
      </c>
      <c r="C180" s="20">
        <f>IFERROR(__xludf.DUMMYFUNCTION("""COMPUTED_VALUE"""),11.0)</f>
        <v>11</v>
      </c>
      <c r="D180" s="21">
        <f>IFERROR(__xludf.DUMMYFUNCTION("""COMPUTED_VALUE"""),-0.30756122101669975)</f>
        <v>-0.307561221</v>
      </c>
      <c r="E180" s="21">
        <f>IFERROR(__xludf.DUMMYFUNCTION("""COMPUTED_VALUE"""),-0.17685781649068016)</f>
        <v>-0.1768578165</v>
      </c>
      <c r="F180" s="21">
        <f>IFERROR(__xludf.DUMMYFUNCTION("""COMPUTED_VALUE"""),-0.4844190375073799)</f>
        <v>-0.4844190375</v>
      </c>
      <c r="G180" s="23">
        <f>IFERROR(__xludf.DUMMYFUNCTION("""COMPUTED_VALUE"""),0.005197076720602905)</f>
        <v>0.005197076721</v>
      </c>
      <c r="H180" s="4"/>
      <c r="I180" s="5" t="s">
        <v>1514</v>
      </c>
      <c r="J180" s="5" t="s">
        <v>1342</v>
      </c>
      <c r="K180" s="5">
        <v>11.0</v>
      </c>
      <c r="L180" s="5">
        <v>-0.307561</v>
      </c>
      <c r="M180" s="5">
        <v>-0.176858</v>
      </c>
      <c r="N180" s="5">
        <v>-0.484419</v>
      </c>
      <c r="O180" s="5">
        <v>0.005197</v>
      </c>
    </row>
    <row r="181">
      <c r="A181" s="12" t="str">
        <f>IFERROR(__xludf.DUMMYFUNCTION("""COMPUTED_VALUE"""),"Novica Velickovic")</f>
        <v>Novica Velickovic</v>
      </c>
      <c r="B181" s="13" t="str">
        <f>IFERROR(__xludf.DUMMYFUNCTION("""COMPUTED_VALUE"""),"PAR")</f>
        <v>PAR</v>
      </c>
      <c r="C181" s="14">
        <f>IFERROR(__xludf.DUMMYFUNCTION("""COMPUTED_VALUE"""),107.4)</f>
        <v>107.4</v>
      </c>
      <c r="D181" s="15">
        <f>IFERROR(__xludf.DUMMYFUNCTION("""COMPUTED_VALUE"""),0.7861809326447149)</f>
        <v>0.7861809326</v>
      </c>
      <c r="E181" s="15">
        <f>IFERROR(__xludf.DUMMYFUNCTION("""COMPUTED_VALUE"""),-1.2727187668171782)</f>
        <v>-1.272718767</v>
      </c>
      <c r="F181" s="15">
        <f>IFERROR(__xludf.DUMMYFUNCTION("""COMPUTED_VALUE"""),-0.4865378341724633)</f>
        <v>-0.4865378342</v>
      </c>
      <c r="G181" s="17">
        <f>IFERROR(__xludf.DUMMYFUNCTION("""COMPUTED_VALUE"""),0.04956409211682893)</f>
        <v>0.04956409212</v>
      </c>
      <c r="H181" s="4"/>
      <c r="I181" s="5" t="s">
        <v>961</v>
      </c>
      <c r="J181" s="5" t="s">
        <v>962</v>
      </c>
      <c r="K181" s="5">
        <v>107.0</v>
      </c>
      <c r="L181" s="5">
        <v>0.786181</v>
      </c>
      <c r="M181" s="5">
        <v>-1.272719</v>
      </c>
      <c r="N181" s="5">
        <v>-0.486538</v>
      </c>
      <c r="O181" s="5">
        <v>0.049564</v>
      </c>
    </row>
    <row r="182">
      <c r="A182" s="18" t="str">
        <f>IFERROR(__xludf.DUMMYFUNCTION("""COMPUTED_VALUE"""),"Anton Gavel")</f>
        <v>Anton Gavel</v>
      </c>
      <c r="B182" s="19" t="str">
        <f>IFERROR(__xludf.DUMMYFUNCTION("""COMPUTED_VALUE"""),"BAY")</f>
        <v>BAY</v>
      </c>
      <c r="C182" s="20">
        <f>IFERROR(__xludf.DUMMYFUNCTION("""COMPUTED_VALUE"""),314.6)</f>
        <v>314.6</v>
      </c>
      <c r="D182" s="21">
        <f>IFERROR(__xludf.DUMMYFUNCTION("""COMPUTED_VALUE"""),-1.209195167965942)</f>
        <v>-1.209195168</v>
      </c>
      <c r="E182" s="21">
        <f>IFERROR(__xludf.DUMMYFUNCTION("""COMPUTED_VALUE"""),0.7191278085422546)</f>
        <v>0.7191278085</v>
      </c>
      <c r="F182" s="21">
        <f>IFERROR(__xludf.DUMMYFUNCTION("""COMPUTED_VALUE"""),-0.4900673594236875)</f>
        <v>-0.4900673594</v>
      </c>
      <c r="G182" s="23">
        <f>IFERROR(__xludf.DUMMYFUNCTION("""COMPUTED_VALUE"""),0.14482463680649632)</f>
        <v>0.1448246368</v>
      </c>
      <c r="H182" s="4"/>
      <c r="I182" s="5" t="s">
        <v>1102</v>
      </c>
      <c r="J182" s="5" t="s">
        <v>644</v>
      </c>
      <c r="K182" s="5">
        <v>315.0</v>
      </c>
      <c r="L182" s="5">
        <v>-1.209195</v>
      </c>
      <c r="M182" s="5">
        <v>0.719128</v>
      </c>
      <c r="N182" s="5">
        <v>-0.490067</v>
      </c>
      <c r="O182" s="5">
        <v>0.144825</v>
      </c>
    </row>
    <row r="183">
      <c r="A183" s="12" t="str">
        <f>IFERROR(__xludf.DUMMYFUNCTION("""COMPUTED_VALUE"""),"Davide Parente")</f>
        <v>Davide Parente</v>
      </c>
      <c r="B183" s="13" t="str">
        <f>IFERROR(__xludf.DUMMYFUNCTION("""COMPUTED_VALUE"""),"TOR")</f>
        <v>TOR</v>
      </c>
      <c r="C183" s="14">
        <f>IFERROR(__xludf.DUMMYFUNCTION("""COMPUTED_VALUE"""),4.8)</f>
        <v>4.8</v>
      </c>
      <c r="D183" s="15">
        <f>IFERROR(__xludf.DUMMYFUNCTION("""COMPUTED_VALUE"""),-0.3452738242242015)</f>
        <v>-0.3452738242</v>
      </c>
      <c r="E183" s="15">
        <f>IFERROR(__xludf.DUMMYFUNCTION("""COMPUTED_VALUE"""),-0.14649840923228025)</f>
        <v>-0.1464984092</v>
      </c>
      <c r="F183" s="15">
        <f>IFERROR(__xludf.DUMMYFUNCTION("""COMPUTED_VALUE"""),-0.49177223345648174)</f>
        <v>-0.4917722335</v>
      </c>
      <c r="G183" s="17">
        <f>IFERROR(__xludf.DUMMYFUNCTION("""COMPUTED_VALUE"""),0.0022073005414694783)</f>
        <v>0.002207300541</v>
      </c>
      <c r="H183" s="4"/>
      <c r="I183" s="5" t="s">
        <v>2306</v>
      </c>
      <c r="J183" s="5" t="s">
        <v>2140</v>
      </c>
      <c r="K183" s="5">
        <v>5.0</v>
      </c>
      <c r="L183" s="5">
        <v>-0.345274</v>
      </c>
      <c r="M183" s="5">
        <v>-0.146498</v>
      </c>
      <c r="N183" s="5">
        <v>-0.491772</v>
      </c>
      <c r="O183" s="5">
        <v>0.002207</v>
      </c>
    </row>
    <row r="184">
      <c r="A184" s="18" t="str">
        <f>IFERROR(__xludf.DUMMYFUNCTION("""COMPUTED_VALUE"""),"Ram Elias-Pour")</f>
        <v>Ram Elias-Pour</v>
      </c>
      <c r="B184" s="19" t="str">
        <f>IFERROR(__xludf.DUMMYFUNCTION("""COMPUTED_VALUE"""),"HAPJ")</f>
        <v>HAPJ</v>
      </c>
      <c r="C184" s="20">
        <f>IFERROR(__xludf.DUMMYFUNCTION("""COMPUTED_VALUE"""),18.4)</f>
        <v>18.4</v>
      </c>
      <c r="D184" s="21">
        <f>IFERROR(__xludf.DUMMYFUNCTION("""COMPUTED_VALUE"""),-0.20613753639270532)</f>
        <v>-0.2061375364</v>
      </c>
      <c r="E184" s="21">
        <f>IFERROR(__xludf.DUMMYFUNCTION("""COMPUTED_VALUE"""),-0.29298438264113386)</f>
        <v>-0.2929843826</v>
      </c>
      <c r="F184" s="21">
        <f>IFERROR(__xludf.DUMMYFUNCTION("""COMPUTED_VALUE"""),-0.4991219190338392)</f>
        <v>-0.499121919</v>
      </c>
      <c r="G184" s="23">
        <f>IFERROR(__xludf.DUMMYFUNCTION("""COMPUTED_VALUE"""),0.008422507844140984)</f>
        <v>0.008422507844</v>
      </c>
      <c r="H184" s="4"/>
      <c r="I184" s="5" t="s">
        <v>1879</v>
      </c>
      <c r="J184" s="5" t="s">
        <v>1572</v>
      </c>
      <c r="K184" s="5">
        <v>18.0</v>
      </c>
      <c r="L184" s="5">
        <v>-0.206138</v>
      </c>
      <c r="M184" s="5">
        <v>-0.292984</v>
      </c>
      <c r="N184" s="5">
        <v>-0.499122</v>
      </c>
      <c r="O184" s="5">
        <v>0.008423</v>
      </c>
    </row>
    <row r="185">
      <c r="A185" s="12" t="str">
        <f>IFERROR(__xludf.DUMMYFUNCTION("""COMPUTED_VALUE"""),"Srdan Kocic")</f>
        <v>Srdan Kocic</v>
      </c>
      <c r="B185" s="13" t="str">
        <f>IFERROR(__xludf.DUMMYFUNCTION("""COMPUTED_VALUE"""),"BUD")</f>
        <v>BUD</v>
      </c>
      <c r="C185" s="14">
        <f>IFERROR(__xludf.DUMMYFUNCTION("""COMPUTED_VALUE"""),8.0)</f>
        <v>8</v>
      </c>
      <c r="D185" s="15">
        <f>IFERROR(__xludf.DUMMYFUNCTION("""COMPUTED_VALUE"""),-0.49328192178440855)</f>
        <v>-0.4932819218</v>
      </c>
      <c r="E185" s="15">
        <f>IFERROR(__xludf.DUMMYFUNCTION("""COMPUTED_VALUE"""),-0.030438806156216636)</f>
        <v>-0.03043880616</v>
      </c>
      <c r="F185" s="15">
        <f>IFERROR(__xludf.DUMMYFUNCTION("""COMPUTED_VALUE"""),-0.5237207279406252)</f>
        <v>-0.5237207279</v>
      </c>
      <c r="G185" s="17">
        <f>IFERROR(__xludf.DUMMYFUNCTION("""COMPUTED_VALUE"""),0.0035515513575844117)</f>
        <v>0.003551551358</v>
      </c>
      <c r="H185" s="4"/>
      <c r="I185" s="5" t="s">
        <v>1170</v>
      </c>
      <c r="J185" s="5" t="s">
        <v>914</v>
      </c>
      <c r="K185" s="24">
        <v>8.0</v>
      </c>
      <c r="L185" s="5">
        <v>-0.493282</v>
      </c>
      <c r="M185" s="5">
        <v>-0.030439</v>
      </c>
      <c r="N185" s="5">
        <v>-0.523721</v>
      </c>
      <c r="O185" s="5">
        <v>0.003552</v>
      </c>
    </row>
    <row r="186">
      <c r="A186" s="18" t="str">
        <f>IFERROR(__xludf.DUMMYFUNCTION("""COMPUTED_VALUE"""),"Tony Crocker")</f>
        <v>Tony Crocker</v>
      </c>
      <c r="B186" s="19" t="str">
        <f>IFERROR(__xludf.DUMMYFUNCTION("""COMPUTED_VALUE"""),"TOF")</f>
        <v>TOF</v>
      </c>
      <c r="C186" s="20">
        <f>IFERROR(__xludf.DUMMYFUNCTION("""COMPUTED_VALUE"""),203.0)</f>
        <v>203</v>
      </c>
      <c r="D186" s="21">
        <f>IFERROR(__xludf.DUMMYFUNCTION("""COMPUTED_VALUE"""),1.8939847769647338)</f>
        <v>1.893984777</v>
      </c>
      <c r="E186" s="21">
        <f>IFERROR(__xludf.DUMMYFUNCTION("""COMPUTED_VALUE"""),-2.418680941817273)</f>
        <v>-2.418680942</v>
      </c>
      <c r="F186" s="21">
        <f>IFERROR(__xludf.DUMMYFUNCTION("""COMPUTED_VALUE"""),-0.5246961648525389)</f>
        <v>-0.5246961649</v>
      </c>
      <c r="G186" s="23">
        <f>IFERROR(__xludf.DUMMYFUNCTION("""COMPUTED_VALUE"""),0.0912339270458434)</f>
        <v>0.09123392705</v>
      </c>
      <c r="H186" s="4"/>
      <c r="I186" s="5" t="s">
        <v>1906</v>
      </c>
      <c r="J186" s="5" t="s">
        <v>1878</v>
      </c>
      <c r="K186" s="5">
        <v>203.0</v>
      </c>
      <c r="L186" s="5">
        <v>1.893985</v>
      </c>
      <c r="M186" s="5">
        <v>-2.418681</v>
      </c>
      <c r="N186" s="5">
        <v>-0.524696</v>
      </c>
      <c r="O186" s="5">
        <v>0.091234</v>
      </c>
    </row>
    <row r="187">
      <c r="A187" s="12" t="str">
        <f>IFERROR(__xludf.DUMMYFUNCTION("""COMPUTED_VALUE"""),"Tautvydas Lydeka")</f>
        <v>Tautvydas Lydeka</v>
      </c>
      <c r="B187" s="13" t="str">
        <f>IFERROR(__xludf.DUMMYFUNCTION("""COMPUTED_VALUE"""),"CSP")</f>
        <v>CSP</v>
      </c>
      <c r="C187" s="14">
        <f>IFERROR(__xludf.DUMMYFUNCTION("""COMPUTED_VALUE"""),168.7)</f>
        <v>168.7</v>
      </c>
      <c r="D187" s="15">
        <f>IFERROR(__xludf.DUMMYFUNCTION("""COMPUTED_VALUE"""),0.3188728140151878)</f>
        <v>0.318872814</v>
      </c>
      <c r="E187" s="15">
        <f>IFERROR(__xludf.DUMMYFUNCTION("""COMPUTED_VALUE"""),-0.8500744819173978)</f>
        <v>-0.8500744819</v>
      </c>
      <c r="F187" s="15">
        <f>IFERROR(__xludf.DUMMYFUNCTION("""COMPUTED_VALUE"""),-0.53120166790221)</f>
        <v>-0.5312016679</v>
      </c>
      <c r="G187" s="17">
        <f>IFERROR(__xludf.DUMMYFUNCTION("""COMPUTED_VALUE"""),0.07554931897417282)</f>
        <v>0.07554931897</v>
      </c>
      <c r="H187" s="4"/>
      <c r="I187" s="5" t="s">
        <v>1561</v>
      </c>
      <c r="J187" s="5" t="s">
        <v>1327</v>
      </c>
      <c r="K187" s="5">
        <v>169.0</v>
      </c>
      <c r="L187" s="5">
        <v>0.318873</v>
      </c>
      <c r="M187" s="5">
        <v>-0.850074</v>
      </c>
      <c r="N187" s="5">
        <v>-0.531202</v>
      </c>
      <c r="O187" s="5">
        <v>0.075549</v>
      </c>
    </row>
    <row r="188">
      <c r="A188" s="18" t="str">
        <f>IFERROR(__xludf.DUMMYFUNCTION("""COMPUTED_VALUE"""),"Amar Gegic")</f>
        <v>Amar Gegic</v>
      </c>
      <c r="B188" s="19" t="str">
        <f>IFERROR(__xludf.DUMMYFUNCTION("""COMPUTED_VALUE"""),"BAY")</f>
        <v>BAY</v>
      </c>
      <c r="C188" s="20">
        <f>IFERROR(__xludf.DUMMYFUNCTION("""COMPUTED_VALUE"""),5.8)</f>
        <v>5.8</v>
      </c>
      <c r="D188" s="21">
        <f>IFERROR(__xludf.DUMMYFUNCTION("""COMPUTED_VALUE"""),-0.25821692646177585)</f>
        <v>-0.2582169265</v>
      </c>
      <c r="E188" s="21">
        <f>IFERROR(__xludf.DUMMYFUNCTION("""COMPUTED_VALUE"""),-0.2809939081029984)</f>
        <v>-0.2809939081</v>
      </c>
      <c r="F188" s="21">
        <f>IFERROR(__xludf.DUMMYFUNCTION("""COMPUTED_VALUE"""),-0.5392108345647743)</f>
        <v>-0.5392108346</v>
      </c>
      <c r="G188" s="23">
        <f>IFERROR(__xludf.DUMMYFUNCTION("""COMPUTED_VALUE"""),0.0025831027925378993)</f>
        <v>0.002583102793</v>
      </c>
      <c r="H188" s="4"/>
      <c r="I188" s="5" t="s">
        <v>926</v>
      </c>
      <c r="J188" s="5" t="s">
        <v>644</v>
      </c>
      <c r="K188" s="5">
        <v>6.0</v>
      </c>
      <c r="L188" s="5">
        <v>-0.258217</v>
      </c>
      <c r="M188" s="5">
        <v>-0.280994</v>
      </c>
      <c r="N188" s="5">
        <v>-0.539211</v>
      </c>
      <c r="O188" s="5">
        <v>0.002583</v>
      </c>
    </row>
    <row r="189">
      <c r="A189" s="12" t="str">
        <f>IFERROR(__xludf.DUMMYFUNCTION("""COMPUTED_VALUE"""),"Ivan Lazarev")</f>
        <v>Ivan Lazarev</v>
      </c>
      <c r="B189" s="13" t="str">
        <f>IFERROR(__xludf.DUMMYFUNCTION("""COMPUTED_VALUE"""),"ZEN")</f>
        <v>ZEN</v>
      </c>
      <c r="C189" s="14">
        <f>IFERROR(__xludf.DUMMYFUNCTION("""COMPUTED_VALUE"""),84.7)</f>
        <v>84.7</v>
      </c>
      <c r="D189" s="15">
        <f>IFERROR(__xludf.DUMMYFUNCTION("""COMPUTED_VALUE"""),-0.9721703543344263)</f>
        <v>-0.9721703543</v>
      </c>
      <c r="E189" s="15">
        <f>IFERROR(__xludf.DUMMYFUNCTION("""COMPUTED_VALUE"""),0.3988264777025534)</f>
        <v>0.3988264777</v>
      </c>
      <c r="F189" s="15">
        <f>IFERROR(__xludf.DUMMYFUNCTION("""COMPUTED_VALUE"""),-0.5733438766318729)</f>
        <v>-0.5733438766</v>
      </c>
      <c r="G189" s="17">
        <f>IFERROR(__xludf.DUMMYFUNCTION("""COMPUTED_VALUE"""),0.03684078464917085)</f>
        <v>0.03684078465</v>
      </c>
      <c r="H189" s="4"/>
      <c r="I189" s="5" t="s">
        <v>2858</v>
      </c>
      <c r="J189" s="5" t="s">
        <v>2816</v>
      </c>
      <c r="K189" s="5">
        <v>85.0</v>
      </c>
      <c r="L189" s="5">
        <v>-0.97217</v>
      </c>
      <c r="M189" s="5">
        <v>0.398826</v>
      </c>
      <c r="N189" s="5">
        <v>-0.573344</v>
      </c>
      <c r="O189" s="5">
        <v>0.036841</v>
      </c>
    </row>
    <row r="190">
      <c r="A190" s="18" t="str">
        <f>IFERROR(__xludf.DUMMYFUNCTION("""COMPUTED_VALUE"""),"Ivan Ramljak")</f>
        <v>Ivan Ramljak</v>
      </c>
      <c r="B190" s="19" t="str">
        <f>IFERROR(__xludf.DUMMYFUNCTION("""COMPUTED_VALUE"""),"CED")</f>
        <v>CED</v>
      </c>
      <c r="C190" s="20">
        <f>IFERROR(__xludf.DUMMYFUNCTION("""COMPUTED_VALUE"""),92.9)</f>
        <v>92.9</v>
      </c>
      <c r="D190" s="21">
        <f>IFERROR(__xludf.DUMMYFUNCTION("""COMPUTED_VALUE"""),-1.5509027037116492)</f>
        <v>-1.550902704</v>
      </c>
      <c r="E190" s="21">
        <f>IFERROR(__xludf.DUMMYFUNCTION("""COMPUTED_VALUE"""),0.9757733349041829)</f>
        <v>0.9757733349</v>
      </c>
      <c r="F190" s="21">
        <f>IFERROR(__xludf.DUMMYFUNCTION("""COMPUTED_VALUE"""),-0.5751293688074662)</f>
        <v>-0.5751293688</v>
      </c>
      <c r="G190" s="23">
        <f>IFERROR(__xludf.DUMMYFUNCTION("""COMPUTED_VALUE"""),0.04004152713169957)</f>
        <v>0.04004152713</v>
      </c>
      <c r="H190" s="4"/>
      <c r="I190" s="5" t="s">
        <v>1200</v>
      </c>
      <c r="J190" s="5" t="s">
        <v>928</v>
      </c>
      <c r="K190" s="5">
        <v>93.0</v>
      </c>
      <c r="L190" s="5">
        <v>-1.550903</v>
      </c>
      <c r="M190" s="5">
        <v>0.975773</v>
      </c>
      <c r="N190" s="5">
        <v>-0.575129</v>
      </c>
      <c r="O190" s="5">
        <v>0.040042</v>
      </c>
    </row>
    <row r="191">
      <c r="A191" s="12" t="str">
        <f>IFERROR(__xludf.DUMMYFUNCTION("""COMPUTED_VALUE"""),"Emircan Kosut")</f>
        <v>Emircan Kosut</v>
      </c>
      <c r="B191" s="13" t="str">
        <f>IFERROR(__xludf.DUMMYFUNCTION("""COMPUTED_VALUE"""),"DBI")</f>
        <v>DBI</v>
      </c>
      <c r="C191" s="14">
        <f>IFERROR(__xludf.DUMMYFUNCTION("""COMPUTED_VALUE"""),58.5)</f>
        <v>58.5</v>
      </c>
      <c r="D191" s="15">
        <f>IFERROR(__xludf.DUMMYFUNCTION("""COMPUTED_VALUE"""),-1.451646736062462)</f>
        <v>-1.451646736</v>
      </c>
      <c r="E191" s="15">
        <f>IFERROR(__xludf.DUMMYFUNCTION("""COMPUTED_VALUE"""),0.8762452679403072)</f>
        <v>0.8762452679</v>
      </c>
      <c r="F191" s="15">
        <f>IFERROR(__xludf.DUMMYFUNCTION("""COMPUTED_VALUE"""),-0.5754014681221549)</f>
        <v>-0.5754014681</v>
      </c>
      <c r="G191" s="17">
        <f>IFERROR(__xludf.DUMMYFUNCTION("""COMPUTED_VALUE"""),0.025122185669255816)</f>
        <v>0.02512218567</v>
      </c>
      <c r="H191" s="4"/>
      <c r="I191" s="5" t="s">
        <v>1967</v>
      </c>
      <c r="J191" s="5" t="s">
        <v>1884</v>
      </c>
      <c r="K191" s="5">
        <v>59.0</v>
      </c>
      <c r="L191" s="5">
        <v>-1.451647</v>
      </c>
      <c r="M191" s="5">
        <v>0.876245</v>
      </c>
      <c r="N191" s="5">
        <v>-0.575401</v>
      </c>
      <c r="O191" s="5">
        <v>0.025122</v>
      </c>
    </row>
    <row r="192">
      <c r="A192" s="18" t="str">
        <f>IFERROR(__xludf.DUMMYFUNCTION("""COMPUTED_VALUE"""),"Toni Perkovic")</f>
        <v>Toni Perkovic</v>
      </c>
      <c r="B192" s="19" t="str">
        <f>IFERROR(__xludf.DUMMYFUNCTION("""COMPUTED_VALUE"""),"CED")</f>
        <v>CED</v>
      </c>
      <c r="C192" s="20">
        <f>IFERROR(__xludf.DUMMYFUNCTION("""COMPUTED_VALUE"""),31.8)</f>
        <v>31.8</v>
      </c>
      <c r="D192" s="21">
        <f>IFERROR(__xludf.DUMMYFUNCTION("""COMPUTED_VALUE"""),-0.38724925068103533)</f>
        <v>-0.3872492507</v>
      </c>
      <c r="E192" s="21">
        <f>IFERROR(__xludf.DUMMYFUNCTION("""COMPUTED_VALUE"""),-0.1982975986623401)</f>
        <v>-0.1982975987</v>
      </c>
      <c r="F192" s="21">
        <f>IFERROR(__xludf.DUMMYFUNCTION("""COMPUTED_VALUE"""),-0.5855468493433754)</f>
        <v>-0.5855468493</v>
      </c>
      <c r="G192" s="23">
        <f>IFERROR(__xludf.DUMMYFUNCTION("""COMPUTED_VALUE"""),0.013606147379290726)</f>
        <v>0.01360614738</v>
      </c>
      <c r="H192" s="4"/>
      <c r="I192" s="5" t="s">
        <v>1233</v>
      </c>
      <c r="J192" s="5" t="s">
        <v>928</v>
      </c>
      <c r="K192" s="5">
        <v>32.0</v>
      </c>
      <c r="L192" s="5">
        <v>-0.387249</v>
      </c>
      <c r="M192" s="5">
        <v>-0.198298</v>
      </c>
      <c r="N192" s="5">
        <v>-0.585547</v>
      </c>
      <c r="O192" s="5">
        <v>0.013606</v>
      </c>
    </row>
    <row r="193">
      <c r="A193" s="12" t="str">
        <f>IFERROR(__xludf.DUMMYFUNCTION("""COMPUTED_VALUE"""),"Vladislav Trushkin")</f>
        <v>Vladislav Trushkin</v>
      </c>
      <c r="B193" s="13" t="str">
        <f>IFERROR(__xludf.DUMMYFUNCTION("""COMPUTED_VALUE"""),"UNI")</f>
        <v>UNI</v>
      </c>
      <c r="C193" s="14">
        <f>IFERROR(__xludf.DUMMYFUNCTION("""COMPUTED_VALUE"""),163.1)</f>
        <v>163.1</v>
      </c>
      <c r="D193" s="15">
        <f>IFERROR(__xludf.DUMMYFUNCTION("""COMPUTED_VALUE"""),-1.0368073807246418)</f>
        <v>-1.036807381</v>
      </c>
      <c r="E193" s="15">
        <f>IFERROR(__xludf.DUMMYFUNCTION("""COMPUTED_VALUE"""),0.449755632143246)</f>
        <v>0.4497556321</v>
      </c>
      <c r="F193" s="15">
        <f>IFERROR(__xludf.DUMMYFUNCTION("""COMPUTED_VALUE"""),-0.5870517485813959)</f>
        <v>-0.5870517486</v>
      </c>
      <c r="G193" s="17">
        <f>IFERROR(__xludf.DUMMYFUNCTION("""COMPUTED_VALUE"""),0.06934724954578893)</f>
        <v>0.06934724955</v>
      </c>
      <c r="H193" s="4"/>
      <c r="I193" s="5" t="s">
        <v>2806</v>
      </c>
      <c r="J193" s="5" t="s">
        <v>22</v>
      </c>
      <c r="K193" s="5">
        <v>163.0</v>
      </c>
      <c r="L193" s="5">
        <v>-1.036807</v>
      </c>
      <c r="M193" s="5">
        <v>0.449756</v>
      </c>
      <c r="N193" s="5">
        <v>-0.587052</v>
      </c>
      <c r="O193" s="5">
        <v>0.069347</v>
      </c>
    </row>
    <row r="194">
      <c r="A194" s="18" t="str">
        <f>IFERROR(__xludf.DUMMYFUNCTION("""COMPUTED_VALUE"""),"Andrija Stipanovic")</f>
        <v>Andrija Stipanovic</v>
      </c>
      <c r="B194" s="19" t="str">
        <f>IFERROR(__xludf.DUMMYFUNCTION("""COMPUTED_VALUE"""),"CED")</f>
        <v>CED</v>
      </c>
      <c r="C194" s="20">
        <f>IFERROR(__xludf.DUMMYFUNCTION("""COMPUTED_VALUE"""),376.0)</f>
        <v>376</v>
      </c>
      <c r="D194" s="21">
        <f>IFERROR(__xludf.DUMMYFUNCTION("""COMPUTED_VALUE"""),-2.2952280700345824)</f>
        <v>-2.29522807</v>
      </c>
      <c r="E194" s="21">
        <f>IFERROR(__xludf.DUMMYFUNCTION("""COMPUTED_VALUE"""),1.7019486152763776)</f>
        <v>1.701948615</v>
      </c>
      <c r="F194" s="21">
        <f>IFERROR(__xludf.DUMMYFUNCTION("""COMPUTED_VALUE"""),-0.5932794547582046)</f>
        <v>-0.5932794548</v>
      </c>
      <c r="G194" s="23">
        <f>IFERROR(__xludf.DUMMYFUNCTION("""COMPUTED_VALUE"""),0.15999822283992676)</f>
        <v>0.1599982228</v>
      </c>
      <c r="H194" s="4"/>
      <c r="I194" s="5" t="s">
        <v>972</v>
      </c>
      <c r="J194" s="5" t="s">
        <v>928</v>
      </c>
      <c r="K194" s="5">
        <v>376.0</v>
      </c>
      <c r="L194" s="5">
        <v>-2.295228</v>
      </c>
      <c r="M194" s="5">
        <v>1.701949</v>
      </c>
      <c r="N194" s="5">
        <v>-0.593279</v>
      </c>
      <c r="O194" s="5">
        <v>0.159998</v>
      </c>
    </row>
    <row r="195">
      <c r="A195" s="12" t="str">
        <f>IFERROR(__xludf.DUMMYFUNCTION("""COMPUTED_VALUE"""),"Oliver Stevic")</f>
        <v>Oliver Stevic</v>
      </c>
      <c r="B195" s="13" t="str">
        <f>IFERROR(__xludf.DUMMYFUNCTION("""COMPUTED_VALUE"""),"AND")</f>
        <v>AND</v>
      </c>
      <c r="C195" s="14">
        <f>IFERROR(__xludf.DUMMYFUNCTION("""COMPUTED_VALUE"""),181.0)</f>
        <v>181</v>
      </c>
      <c r="D195" s="15">
        <f>IFERROR(__xludf.DUMMYFUNCTION("""COMPUTED_VALUE"""),-1.936856333105534)</f>
        <v>-1.936856333</v>
      </c>
      <c r="E195" s="15">
        <f>IFERROR(__xludf.DUMMYFUNCTION("""COMPUTED_VALUE"""),1.3435520282081836)</f>
        <v>1.343552028</v>
      </c>
      <c r="F195" s="15">
        <f>IFERROR(__xludf.DUMMYFUNCTION("""COMPUTED_VALUE"""),-0.5933043048973503)</f>
        <v>-0.5933043049</v>
      </c>
      <c r="G195" s="17">
        <f>IFERROR(__xludf.DUMMYFUNCTION("""COMPUTED_VALUE"""),0.07762946708725058)</f>
        <v>0.07762946709</v>
      </c>
      <c r="H195" s="4"/>
      <c r="I195" s="5" t="s">
        <v>176</v>
      </c>
      <c r="J195" s="5" t="s">
        <v>89</v>
      </c>
      <c r="K195" s="5">
        <v>181.0</v>
      </c>
      <c r="L195" s="5">
        <v>-1.936856</v>
      </c>
      <c r="M195" s="5">
        <v>1.343552</v>
      </c>
      <c r="N195" s="5">
        <v>-0.593304</v>
      </c>
      <c r="O195" s="5">
        <v>0.077629</v>
      </c>
    </row>
    <row r="196">
      <c r="A196" s="18" t="str">
        <f>IFERROR(__xludf.DUMMYFUNCTION("""COMPUTED_VALUE"""),"Ege Arar")</f>
        <v>Ege Arar</v>
      </c>
      <c r="B196" s="19" t="str">
        <f>IFERROR(__xludf.DUMMYFUNCTION("""COMPUTED_VALUE"""),"GAL")</f>
        <v>GAL</v>
      </c>
      <c r="C196" s="20">
        <f>IFERROR(__xludf.DUMMYFUNCTION("""COMPUTED_VALUE"""),208.9)</f>
        <v>208.9</v>
      </c>
      <c r="D196" s="21">
        <f>IFERROR(__xludf.DUMMYFUNCTION("""COMPUTED_VALUE"""),-1.6509388489965284)</f>
        <v>-1.650938849</v>
      </c>
      <c r="E196" s="21">
        <f>IFERROR(__xludf.DUMMYFUNCTION("""COMPUTED_VALUE"""),1.0344060606098429)</f>
        <v>1.034406061</v>
      </c>
      <c r="F196" s="21">
        <f>IFERROR(__xludf.DUMMYFUNCTION("""COMPUTED_VALUE"""),-0.6165327883866856)</f>
        <v>-0.6165327884</v>
      </c>
      <c r="G196" s="23">
        <f>IFERROR(__xludf.DUMMYFUNCTION("""COMPUTED_VALUE"""),0.08483748047159258)</f>
        <v>0.08483748047</v>
      </c>
      <c r="H196" s="4"/>
      <c r="I196" s="5" t="s">
        <v>2041</v>
      </c>
      <c r="J196" s="5" t="s">
        <v>1592</v>
      </c>
      <c r="K196" s="5">
        <v>209.0</v>
      </c>
      <c r="L196" s="5">
        <v>-1.650939</v>
      </c>
      <c r="M196" s="5">
        <v>1.034406</v>
      </c>
      <c r="N196" s="5">
        <v>-0.616533</v>
      </c>
      <c r="O196" s="5">
        <v>0.084837</v>
      </c>
    </row>
    <row r="197">
      <c r="A197" s="12" t="str">
        <f>IFERROR(__xludf.DUMMYFUNCTION("""COMPUTED_VALUE"""),"Chris Copeland")</f>
        <v>Chris Copeland</v>
      </c>
      <c r="B197" s="13" t="str">
        <f>IFERROR(__xludf.DUMMYFUNCTION("""COMPUTED_VALUE"""),"AND")</f>
        <v>AND</v>
      </c>
      <c r="C197" s="14">
        <f>IFERROR(__xludf.DUMMYFUNCTION("""COMPUTED_VALUE"""),12.7)</f>
        <v>12.7</v>
      </c>
      <c r="D197" s="15">
        <f>IFERROR(__xludf.DUMMYFUNCTION("""COMPUTED_VALUE"""),-0.5702369612241182)</f>
        <v>-0.5702369612</v>
      </c>
      <c r="E197" s="15">
        <f>IFERROR(__xludf.DUMMYFUNCTION("""COMPUTED_VALUE"""),-0.06788027788189888)</f>
        <v>-0.06788027788</v>
      </c>
      <c r="F197" s="15">
        <f>IFERROR(__xludf.DUMMYFUNCTION("""COMPUTED_VALUE"""),-0.638117239106017)</f>
        <v>-0.6381172391</v>
      </c>
      <c r="G197" s="17">
        <f>IFERROR(__xludf.DUMMYFUNCTION("""COMPUTED_VALUE"""),0.005273407287240454)</f>
        <v>0.005273407287</v>
      </c>
      <c r="H197" s="4"/>
      <c r="I197" s="5" t="s">
        <v>545</v>
      </c>
      <c r="J197" s="5" t="s">
        <v>89</v>
      </c>
      <c r="K197" s="24">
        <v>13.0</v>
      </c>
      <c r="L197" s="5">
        <v>-0.570237</v>
      </c>
      <c r="M197" s="5">
        <v>-0.06788</v>
      </c>
      <c r="N197" s="5">
        <v>-0.638117</v>
      </c>
      <c r="O197" s="5">
        <v>0.005273</v>
      </c>
    </row>
    <row r="198">
      <c r="A198" s="18" t="str">
        <f>IFERROR(__xludf.DUMMYFUNCTION("""COMPUTED_VALUE"""),"Samardo Samuels")</f>
        <v>Samardo Samuels</v>
      </c>
      <c r="B198" s="19" t="str">
        <f>IFERROR(__xludf.DUMMYFUNCTION("""COMPUTED_VALUE"""),"PAR")</f>
        <v>PAR</v>
      </c>
      <c r="C198" s="20">
        <f>IFERROR(__xludf.DUMMYFUNCTION("""COMPUTED_VALUE"""),44.4)</f>
        <v>44.4</v>
      </c>
      <c r="D198" s="21">
        <f>IFERROR(__xludf.DUMMYFUNCTION("""COMPUTED_VALUE"""),-0.14989421464349903)</f>
        <v>-0.1498942146</v>
      </c>
      <c r="E198" s="21">
        <f>IFERROR(__xludf.DUMMYFUNCTION("""COMPUTED_VALUE"""),-0.4918804631712952)</f>
        <v>-0.4918804632</v>
      </c>
      <c r="F198" s="21">
        <f>IFERROR(__xludf.DUMMYFUNCTION("""COMPUTED_VALUE"""),-0.6417746778147942)</f>
        <v>-0.6417746778</v>
      </c>
      <c r="G198" s="23">
        <f>IFERROR(__xludf.DUMMYFUNCTION("""COMPUTED_VALUE"""),0.018388491293518154)</f>
        <v>0.01838849129</v>
      </c>
      <c r="H198" s="4"/>
      <c r="I198" s="5" t="s">
        <v>1176</v>
      </c>
      <c r="J198" s="5" t="s">
        <v>962</v>
      </c>
      <c r="K198" s="24">
        <v>44.0</v>
      </c>
      <c r="L198" s="5">
        <v>-0.149894</v>
      </c>
      <c r="M198" s="5">
        <v>-0.49188</v>
      </c>
      <c r="N198" s="5">
        <v>-0.641775</v>
      </c>
      <c r="O198" s="5">
        <v>0.018388</v>
      </c>
    </row>
    <row r="199">
      <c r="A199" s="12" t="str">
        <f>IFERROR(__xludf.DUMMYFUNCTION("""COMPUTED_VALUE"""),"Thimotee Bazille")</f>
        <v>Thimotee Bazille</v>
      </c>
      <c r="B199" s="13" t="str">
        <f>IFERROR(__xludf.DUMMYFUNCTION("""COMPUTED_VALUE"""),"CSP")</f>
        <v>CSP</v>
      </c>
      <c r="C199" s="14">
        <f>IFERROR(__xludf.DUMMYFUNCTION("""COMPUTED_VALUE"""),22.4)</f>
        <v>22.4</v>
      </c>
      <c r="D199" s="15">
        <f>IFERROR(__xludf.DUMMYFUNCTION("""COMPUTED_VALUE"""),-0.5973619376522309)</f>
        <v>-0.5973619377</v>
      </c>
      <c r="E199" s="15">
        <f>IFERROR(__xludf.DUMMYFUNCTION("""COMPUTED_VALUE"""),-0.07321568948187351)</f>
        <v>-0.07321568948</v>
      </c>
      <c r="F199" s="15">
        <f>IFERROR(__xludf.DUMMYFUNCTION("""COMPUTED_VALUE"""),-0.6705776271341044)</f>
        <v>-0.6705776271</v>
      </c>
      <c r="G199" s="17">
        <f>IFERROR(__xludf.DUMMYFUNCTION("""COMPUTED_VALUE"""),0.009079549530442012)</f>
        <v>0.00907954953</v>
      </c>
      <c r="H199" s="4"/>
      <c r="I199" s="5" t="s">
        <v>1479</v>
      </c>
      <c r="J199" s="5" t="s">
        <v>1327</v>
      </c>
      <c r="K199" s="5">
        <v>22.0</v>
      </c>
      <c r="L199" s="5">
        <v>-0.597362</v>
      </c>
      <c r="M199" s="5">
        <v>-0.073216</v>
      </c>
      <c r="N199" s="5">
        <v>-0.670578</v>
      </c>
      <c r="O199" s="5">
        <v>0.00908</v>
      </c>
    </row>
    <row r="200">
      <c r="A200" s="18" t="str">
        <f>IFERROR(__xludf.DUMMYFUNCTION("""COMPUTED_VALUE"""),"Filip Kruslin")</f>
        <v>Filip Kruslin</v>
      </c>
      <c r="B200" s="19" t="str">
        <f>IFERROR(__xludf.DUMMYFUNCTION("""COMPUTED_VALUE"""),"CED")</f>
        <v>CED</v>
      </c>
      <c r="C200" s="20">
        <f>IFERROR(__xludf.DUMMYFUNCTION("""COMPUTED_VALUE"""),331.9)</f>
        <v>331.9</v>
      </c>
      <c r="D200" s="21">
        <f>IFERROR(__xludf.DUMMYFUNCTION("""COMPUTED_VALUE"""),0.03543149348318109)</f>
        <v>0.03543149348</v>
      </c>
      <c r="E200" s="21">
        <f>IFERROR(__xludf.DUMMYFUNCTION("""COMPUTED_VALUE"""),-0.7277747044655651)</f>
        <v>-0.7277747045</v>
      </c>
      <c r="F200" s="21">
        <f>IFERROR(__xludf.DUMMYFUNCTION("""COMPUTED_VALUE"""),-0.692343210982384)</f>
        <v>-0.692343211</v>
      </c>
      <c r="G200" s="23">
        <f>IFERROR(__xludf.DUMMYFUNCTION("""COMPUTED_VALUE"""),0.13128663248713537)</f>
        <v>0.1312866325</v>
      </c>
      <c r="H200" s="4"/>
      <c r="I200" s="5" t="s">
        <v>976</v>
      </c>
      <c r="J200" s="5" t="s">
        <v>928</v>
      </c>
      <c r="K200" s="5">
        <v>332.0</v>
      </c>
      <c r="L200" s="5">
        <v>0.035431</v>
      </c>
      <c r="M200" s="5">
        <v>-0.727775</v>
      </c>
      <c r="N200" s="5">
        <v>-0.692343</v>
      </c>
      <c r="O200" s="5">
        <v>0.131287</v>
      </c>
    </row>
    <row r="201">
      <c r="A201" s="12" t="str">
        <f>IFERROR(__xludf.DUMMYFUNCTION("""COMPUTED_VALUE"""),"Guillem Colom")</f>
        <v>Guillem Colom</v>
      </c>
      <c r="B201" s="13" t="str">
        <f>IFERROR(__xludf.DUMMYFUNCTION("""COMPUTED_VALUE"""),"AND")</f>
        <v>AND</v>
      </c>
      <c r="C201" s="14">
        <f>IFERROR(__xludf.DUMMYFUNCTION("""COMPUTED_VALUE"""),76.9)</f>
        <v>76.9</v>
      </c>
      <c r="D201" s="15">
        <f>IFERROR(__xludf.DUMMYFUNCTION("""COMPUTED_VALUE"""),-1.0605113106133024)</f>
        <v>-1.060511311</v>
      </c>
      <c r="E201" s="15">
        <f>IFERROR(__xludf.DUMMYFUNCTION("""COMPUTED_VALUE"""),0.3313981293339803)</f>
        <v>0.3313981293</v>
      </c>
      <c r="F201" s="15">
        <f>IFERROR(__xludf.DUMMYFUNCTION("""COMPUTED_VALUE"""),-0.7291131812793221)</f>
        <v>-0.7291131813</v>
      </c>
      <c r="G201" s="17">
        <f>IFERROR(__xludf.DUMMYFUNCTION("""COMPUTED_VALUE"""),0.02979758633042022)</f>
        <v>0.02979758633</v>
      </c>
      <c r="H201" s="4"/>
      <c r="I201" s="5" t="s">
        <v>451</v>
      </c>
      <c r="J201" s="5" t="s">
        <v>89</v>
      </c>
      <c r="K201" s="5">
        <v>77.0</v>
      </c>
      <c r="L201" s="5">
        <v>-1.060511</v>
      </c>
      <c r="M201" s="5">
        <v>0.331398</v>
      </c>
      <c r="N201" s="5">
        <v>-0.729113</v>
      </c>
      <c r="O201" s="5">
        <v>0.029798</v>
      </c>
    </row>
    <row r="202">
      <c r="A202" s="18" t="str">
        <f>IFERROR(__xludf.DUMMYFUNCTION("""COMPUTED_VALUE"""),"Scottie Reynolds")</f>
        <v>Scottie Reynolds</v>
      </c>
      <c r="B202" s="19" t="str">
        <f>IFERROR(__xludf.DUMMYFUNCTION("""COMPUTED_VALUE"""),"ZEN")</f>
        <v>ZEN</v>
      </c>
      <c r="C202" s="20">
        <f>IFERROR(__xludf.DUMMYFUNCTION("""COMPUTED_VALUE"""),400.1)</f>
        <v>400.1</v>
      </c>
      <c r="D202" s="21">
        <f>IFERROR(__xludf.DUMMYFUNCTION("""COMPUTED_VALUE"""),0.13235814941166568)</f>
        <v>0.1323581494</v>
      </c>
      <c r="E202" s="21">
        <f>IFERROR(__xludf.DUMMYFUNCTION("""COMPUTED_VALUE"""),-0.8813862758358071)</f>
        <v>-0.8813862758</v>
      </c>
      <c r="F202" s="21">
        <f>IFERROR(__xludf.DUMMYFUNCTION("""COMPUTED_VALUE"""),-0.7490281264241414)</f>
        <v>-0.7490281264</v>
      </c>
      <c r="G202" s="23">
        <f>IFERROR(__xludf.DUMMYFUNCTION("""COMPUTED_VALUE"""),0.15259568494442105)</f>
        <v>0.1525956849</v>
      </c>
      <c r="H202" s="4"/>
      <c r="I202" s="5" t="s">
        <v>2931</v>
      </c>
      <c r="J202" s="5" t="s">
        <v>2816</v>
      </c>
      <c r="K202" s="5">
        <v>400.0</v>
      </c>
      <c r="L202" s="5">
        <v>0.132358</v>
      </c>
      <c r="M202" s="5">
        <v>-0.881386</v>
      </c>
      <c r="N202" s="5">
        <v>-0.749028</v>
      </c>
      <c r="O202" s="5">
        <v>0.152596</v>
      </c>
    </row>
    <row r="203">
      <c r="A203" s="12" t="str">
        <f>IFERROR(__xludf.DUMMYFUNCTION("""COMPUTED_VALUE"""),"Manuchar Markoishvili")</f>
        <v>Manuchar Markoishvili</v>
      </c>
      <c r="B203" s="13" t="str">
        <f>IFERROR(__xludf.DUMMYFUNCTION("""COMPUTED_VALUE"""),"REG")</f>
        <v>REG</v>
      </c>
      <c r="C203" s="14">
        <f>IFERROR(__xludf.DUMMYFUNCTION("""COMPUTED_VALUE"""),539.8)</f>
        <v>539.8</v>
      </c>
      <c r="D203" s="15">
        <f>IFERROR(__xludf.DUMMYFUNCTION("""COMPUTED_VALUE"""),-0.27253409239095083)</f>
        <v>-0.2725340924</v>
      </c>
      <c r="E203" s="15">
        <f>IFERROR(__xludf.DUMMYFUNCTION("""COMPUTED_VALUE"""),-0.47950240836107294)</f>
        <v>-0.4795024084</v>
      </c>
      <c r="F203" s="15">
        <f>IFERROR(__xludf.DUMMYFUNCTION("""COMPUTED_VALUE"""),-0.7520365007520238)</f>
        <v>-0.7520365008</v>
      </c>
      <c r="G203" s="17">
        <f>IFERROR(__xludf.DUMMYFUNCTION("""COMPUTED_VALUE"""),0.20417086845142832)</f>
        <v>0.2041708685</v>
      </c>
      <c r="H203" s="4"/>
      <c r="I203" s="5" t="s">
        <v>2202</v>
      </c>
      <c r="J203" s="5" t="s">
        <v>2135</v>
      </c>
      <c r="K203" s="5">
        <v>540.0</v>
      </c>
      <c r="L203" s="5">
        <v>-0.272534</v>
      </c>
      <c r="M203" s="5">
        <v>-0.479502</v>
      </c>
      <c r="N203" s="5">
        <v>-0.752037</v>
      </c>
      <c r="O203" s="5">
        <v>0.204171</v>
      </c>
    </row>
    <row r="204">
      <c r="A204" s="18" t="str">
        <f>IFERROR(__xludf.DUMMYFUNCTION("""COMPUTED_VALUE"""),"Evgeny Voronov")</f>
        <v>Evgeny Voronov</v>
      </c>
      <c r="B204" s="19" t="str">
        <f>IFERROR(__xludf.DUMMYFUNCTION("""COMPUTED_VALUE"""),"ZEN")</f>
        <v>ZEN</v>
      </c>
      <c r="C204" s="20">
        <f>IFERROR(__xludf.DUMMYFUNCTION("""COMPUTED_VALUE"""),328.8)</f>
        <v>328.8</v>
      </c>
      <c r="D204" s="21">
        <f>IFERROR(__xludf.DUMMYFUNCTION("""COMPUTED_VALUE"""),-0.3341552848179359)</f>
        <v>-0.3341552848</v>
      </c>
      <c r="E204" s="21">
        <f>IFERROR(__xludf.DUMMYFUNCTION("""COMPUTED_VALUE"""),-0.43095127377074505)</f>
        <v>-0.4309512738</v>
      </c>
      <c r="F204" s="21">
        <f>IFERROR(__xludf.DUMMYFUNCTION("""COMPUTED_VALUE"""),-0.7651065585886809)</f>
        <v>-0.7651065586</v>
      </c>
      <c r="G204" s="23">
        <f>IFERROR(__xludf.DUMMYFUNCTION("""COMPUTED_VALUE"""),0.12379053766342736)</f>
        <v>0.1237905377</v>
      </c>
      <c r="H204" s="4"/>
      <c r="I204" s="5" t="s">
        <v>2942</v>
      </c>
      <c r="J204" s="5" t="s">
        <v>2816</v>
      </c>
      <c r="K204" s="5">
        <v>329.0</v>
      </c>
      <c r="L204" s="5">
        <v>-0.334155</v>
      </c>
      <c r="M204" s="5">
        <v>-0.430951</v>
      </c>
      <c r="N204" s="5">
        <v>-0.765107</v>
      </c>
      <c r="O204" s="5">
        <v>0.123791</v>
      </c>
    </row>
    <row r="205">
      <c r="A205" s="12" t="str">
        <f>IFERROR(__xludf.DUMMYFUNCTION("""COMPUTED_VALUE"""),"D.J. Seeley")</f>
        <v>D.J. Seeley</v>
      </c>
      <c r="B205" s="13" t="str">
        <f>IFERROR(__xludf.DUMMYFUNCTION("""COMPUTED_VALUE"""),"GCN")</f>
        <v>GCN</v>
      </c>
      <c r="C205" s="14">
        <f>IFERROR(__xludf.DUMMYFUNCTION("""COMPUTED_VALUE"""),400.9)</f>
        <v>400.9</v>
      </c>
      <c r="D205" s="15">
        <f>IFERROR(__xludf.DUMMYFUNCTION("""COMPUTED_VALUE"""),1.8785897859785852)</f>
        <v>1.878589786</v>
      </c>
      <c r="E205" s="15">
        <f>IFERROR(__xludf.DUMMYFUNCTION("""COMPUTED_VALUE"""),-2.6594967988232394)</f>
        <v>-2.659496799</v>
      </c>
      <c r="F205" s="15">
        <f>IFERROR(__xludf.DUMMYFUNCTION("""COMPUTED_VALUE"""),-0.7809070128446542)</f>
        <v>-0.7809070128</v>
      </c>
      <c r="G205" s="17">
        <f>IFERROR(__xludf.DUMMYFUNCTION("""COMPUTED_VALUE"""),0.14595553475620388)</f>
        <v>0.1459555348</v>
      </c>
      <c r="H205" s="4"/>
      <c r="I205" s="5" t="s">
        <v>345</v>
      </c>
      <c r="J205" s="5" t="s">
        <v>97</v>
      </c>
      <c r="K205" s="5">
        <v>401.0</v>
      </c>
      <c r="L205" s="5">
        <v>1.87859</v>
      </c>
      <c r="M205" s="5">
        <v>-2.659497</v>
      </c>
      <c r="N205" s="5">
        <v>-0.780907</v>
      </c>
      <c r="O205" s="5">
        <v>0.145956</v>
      </c>
    </row>
    <row r="206">
      <c r="A206" s="18" t="str">
        <f>IFERROR(__xludf.DUMMYFUNCTION("""COMPUTED_VALUE"""),"Kostas Kaimakoglou")</f>
        <v>Kostas Kaimakoglou</v>
      </c>
      <c r="B206" s="19" t="str">
        <f>IFERROR(__xludf.DUMMYFUNCTION("""COMPUTED_VALUE"""),"UNI")</f>
        <v>UNI</v>
      </c>
      <c r="C206" s="20">
        <f>IFERROR(__xludf.DUMMYFUNCTION("""COMPUTED_VALUE"""),63.6)</f>
        <v>63.6</v>
      </c>
      <c r="D206" s="21">
        <f>IFERROR(__xludf.DUMMYFUNCTION("""COMPUTED_VALUE"""),-0.5458428161897799)</f>
        <v>-0.5458428162</v>
      </c>
      <c r="E206" s="21">
        <f>IFERROR(__xludf.DUMMYFUNCTION("""COMPUTED_VALUE"""),-0.23914229834505796)</f>
        <v>-0.2391422983</v>
      </c>
      <c r="F206" s="21">
        <f>IFERROR(__xludf.DUMMYFUNCTION("""COMPUTED_VALUE"""),-0.7849851145348379)</f>
        <v>-0.7849851145</v>
      </c>
      <c r="G206" s="23">
        <f>IFERROR(__xludf.DUMMYFUNCTION("""COMPUTED_VALUE"""),0.023253468286286064)</f>
        <v>0.02325346829</v>
      </c>
      <c r="H206" s="4"/>
      <c r="I206" s="5" t="s">
        <v>2859</v>
      </c>
      <c r="J206" s="5" t="s">
        <v>22</v>
      </c>
      <c r="K206" s="24">
        <v>64.0</v>
      </c>
      <c r="L206" s="5">
        <v>-0.545843</v>
      </c>
      <c r="M206" s="5">
        <v>-0.239142</v>
      </c>
      <c r="N206" s="5">
        <v>-0.784985</v>
      </c>
      <c r="O206" s="5">
        <v>0.023253</v>
      </c>
    </row>
    <row r="207">
      <c r="A207" s="12" t="str">
        <f>IFERROR(__xludf.DUMMYFUNCTION("""COMPUTED_VALUE"""),"Margiris Normantas")</f>
        <v>Margiris Normantas</v>
      </c>
      <c r="B207" s="13" t="str">
        <f>IFERROR(__xludf.DUMMYFUNCTION("""COMPUTED_VALUE"""),"LIE")</f>
        <v>LIE</v>
      </c>
      <c r="C207" s="14">
        <f>IFERROR(__xludf.DUMMYFUNCTION("""COMPUTED_VALUE"""),16.5)</f>
        <v>16.5</v>
      </c>
      <c r="D207" s="15">
        <f>IFERROR(__xludf.DUMMYFUNCTION("""COMPUTED_VALUE"""),-0.37387968640975794)</f>
        <v>-0.3738796864</v>
      </c>
      <c r="E207" s="15">
        <f>IFERROR(__xludf.DUMMYFUNCTION("""COMPUTED_VALUE"""),-0.4132149476855879)</f>
        <v>-0.4132149477</v>
      </c>
      <c r="F207" s="15">
        <f>IFERROR(__xludf.DUMMYFUNCTION("""COMPUTED_VALUE"""),-0.7870946340953459)</f>
        <v>-0.7870946341</v>
      </c>
      <c r="G207" s="17">
        <f>IFERROR(__xludf.DUMMYFUNCTION("""COMPUTED_VALUE"""),0.006054019436697911)</f>
        <v>0.006054019437</v>
      </c>
      <c r="H207" s="4"/>
      <c r="I207" s="5" t="s">
        <v>2610</v>
      </c>
      <c r="J207" s="5" t="s">
        <v>2352</v>
      </c>
      <c r="K207" s="24">
        <v>17.0</v>
      </c>
      <c r="L207" s="5">
        <v>-0.37388</v>
      </c>
      <c r="M207" s="5">
        <v>-0.413215</v>
      </c>
      <c r="N207" s="5">
        <v>-0.787095</v>
      </c>
      <c r="O207" s="5">
        <v>0.006054</v>
      </c>
    </row>
    <row r="208">
      <c r="A208" s="18" t="str">
        <f>IFERROR(__xludf.DUMMYFUNCTION("""COMPUTED_VALUE"""),"Toni Katic")</f>
        <v>Toni Katic</v>
      </c>
      <c r="B208" s="19" t="str">
        <f>IFERROR(__xludf.DUMMYFUNCTION("""COMPUTED_VALUE"""),"CED")</f>
        <v>CED</v>
      </c>
      <c r="C208" s="20">
        <f>IFERROR(__xludf.DUMMYFUNCTION("""COMPUTED_VALUE"""),132.7)</f>
        <v>132.7</v>
      </c>
      <c r="D208" s="21">
        <f>IFERROR(__xludf.DUMMYFUNCTION("""COMPUTED_VALUE"""),-1.4646862610810902)</f>
        <v>-1.464686261</v>
      </c>
      <c r="E208" s="21">
        <f>IFERROR(__xludf.DUMMYFUNCTION("""COMPUTED_VALUE"""),0.6623762412458537)</f>
        <v>0.6623762412</v>
      </c>
      <c r="F208" s="21">
        <f>IFERROR(__xludf.DUMMYFUNCTION("""COMPUTED_VALUE"""),-0.8023100198352365)</f>
        <v>-0.8023100198</v>
      </c>
      <c r="G208" s="23">
        <f>IFERROR(__xludf.DUMMYFUNCTION("""COMPUTED_VALUE"""),0.048076719119816855)</f>
        <v>0.04807671912</v>
      </c>
      <c r="H208" s="4"/>
      <c r="I208" s="5" t="s">
        <v>1192</v>
      </c>
      <c r="J208" s="5" t="s">
        <v>928</v>
      </c>
      <c r="K208" s="5">
        <v>133.0</v>
      </c>
      <c r="L208" s="5">
        <v>-1.464686</v>
      </c>
      <c r="M208" s="5">
        <v>0.662376</v>
      </c>
      <c r="N208" s="5">
        <v>-0.80231</v>
      </c>
      <c r="O208" s="5">
        <v>0.048077</v>
      </c>
    </row>
    <row r="209">
      <c r="A209" s="12" t="str">
        <f>IFERROR(__xludf.DUMMYFUNCTION("""COMPUTED_VALUE"""),"Marko Pecarski")</f>
        <v>Marko Pecarski</v>
      </c>
      <c r="B209" s="13" t="str">
        <f>IFERROR(__xludf.DUMMYFUNCTION("""COMPUTED_VALUE"""),"PAR")</f>
        <v>PAR</v>
      </c>
      <c r="C209" s="14">
        <f>IFERROR(__xludf.DUMMYFUNCTION("""COMPUTED_VALUE"""),125.7)</f>
        <v>125.7</v>
      </c>
      <c r="D209" s="15">
        <f>IFERROR(__xludf.DUMMYFUNCTION("""COMPUTED_VALUE"""),1.1169722754096514)</f>
        <v>1.116972275</v>
      </c>
      <c r="E209" s="15">
        <f>IFERROR(__xludf.DUMMYFUNCTION("""COMPUTED_VALUE"""),-1.9402158386833612)</f>
        <v>-1.940215839</v>
      </c>
      <c r="F209" s="15">
        <f>IFERROR(__xludf.DUMMYFUNCTION("""COMPUTED_VALUE"""),-0.8232435632737097)</f>
        <v>-0.8232435633</v>
      </c>
      <c r="G209" s="17">
        <f>IFERROR(__xludf.DUMMYFUNCTION("""COMPUTED_VALUE"""),0.045103803404807886)</f>
        <v>0.0451038034</v>
      </c>
      <c r="H209" s="4"/>
      <c r="I209" s="5" t="s">
        <v>1101</v>
      </c>
      <c r="J209" s="5" t="s">
        <v>962</v>
      </c>
      <c r="K209" s="5">
        <v>126.0</v>
      </c>
      <c r="L209" s="5">
        <v>1.116972</v>
      </c>
      <c r="M209" s="5">
        <v>-1.940216</v>
      </c>
      <c r="N209" s="5">
        <v>-0.823244</v>
      </c>
      <c r="O209" s="5">
        <v>0.045104</v>
      </c>
    </row>
    <row r="210">
      <c r="A210" s="18" t="str">
        <f>IFERROR(__xludf.DUMMYFUNCTION("""COMPUTED_VALUE"""),"Marko Simonovic")</f>
        <v>Marko Simonovic</v>
      </c>
      <c r="B210" s="19" t="str">
        <f>IFERROR(__xludf.DUMMYFUNCTION("""COMPUTED_VALUE"""),"ZEN")</f>
        <v>ZEN</v>
      </c>
      <c r="C210" s="20">
        <f>IFERROR(__xludf.DUMMYFUNCTION("""COMPUTED_VALUE"""),427.1)</f>
        <v>427.1</v>
      </c>
      <c r="D210" s="21">
        <f>IFERROR(__xludf.DUMMYFUNCTION("""COMPUTED_VALUE"""),0.4226476536450957)</f>
        <v>0.4226476536</v>
      </c>
      <c r="E210" s="21">
        <f>IFERROR(__xludf.DUMMYFUNCTION("""COMPUTED_VALUE"""),-1.2712922706325531)</f>
        <v>-1.271292271</v>
      </c>
      <c r="F210" s="21">
        <f>IFERROR(__xludf.DUMMYFUNCTION("""COMPUTED_VALUE"""),-0.8486446169874575)</f>
        <v>-0.848644617</v>
      </c>
      <c r="G210" s="23">
        <f>IFERROR(__xludf.DUMMYFUNCTION("""COMPUTED_VALUE"""),0.14992191587946857)</f>
        <v>0.1499219159</v>
      </c>
      <c r="H210" s="4"/>
      <c r="I210" s="5" t="s">
        <v>2928</v>
      </c>
      <c r="J210" s="5" t="s">
        <v>2816</v>
      </c>
      <c r="K210" s="5">
        <v>427.0</v>
      </c>
      <c r="L210" s="5">
        <v>0.422648</v>
      </c>
      <c r="M210" s="5">
        <v>-1.271292</v>
      </c>
      <c r="N210" s="5">
        <v>-0.848645</v>
      </c>
      <c r="O210" s="5">
        <v>0.149922</v>
      </c>
    </row>
    <row r="211">
      <c r="A211" s="12" t="str">
        <f>IFERROR(__xludf.DUMMYFUNCTION("""COMPUTED_VALUE"""),"Travis Leslie")</f>
        <v>Travis Leslie</v>
      </c>
      <c r="B211" s="13" t="str">
        <f>IFERROR(__xludf.DUMMYFUNCTION("""COMPUTED_VALUE"""),"PLV")</f>
        <v>PLV</v>
      </c>
      <c r="C211" s="14">
        <f>IFERROR(__xludf.DUMMYFUNCTION("""COMPUTED_VALUE"""),114.8)</f>
        <v>114.8</v>
      </c>
      <c r="D211" s="15">
        <f>IFERROR(__xludf.DUMMYFUNCTION("""COMPUTED_VALUE"""),-0.5397197080848605)</f>
        <v>-0.5397197081</v>
      </c>
      <c r="E211" s="15">
        <f>IFERROR(__xludf.DUMMYFUNCTION("""COMPUTED_VALUE"""),-0.35500401694659733)</f>
        <v>-0.3550040169</v>
      </c>
      <c r="F211" s="15">
        <f>IFERROR(__xludf.DUMMYFUNCTION("""COMPUTED_VALUE"""),-0.8947237250314578)</f>
        <v>-0.894723725</v>
      </c>
      <c r="G211" s="17">
        <f>IFERROR(__xludf.DUMMYFUNCTION("""COMPUTED_VALUE"""),0.038688538477746746)</f>
        <v>0.03868853848</v>
      </c>
      <c r="H211" s="4"/>
      <c r="I211" s="5" t="s">
        <v>159</v>
      </c>
      <c r="J211" s="5" t="s">
        <v>1355</v>
      </c>
      <c r="K211" s="5">
        <v>115.0</v>
      </c>
      <c r="L211" s="5">
        <v>-0.53972</v>
      </c>
      <c r="M211" s="5">
        <v>-0.355004</v>
      </c>
      <c r="N211" s="5">
        <v>-0.894724</v>
      </c>
      <c r="O211" s="5">
        <v>0.038689</v>
      </c>
    </row>
    <row r="212">
      <c r="A212" s="18" t="str">
        <f>IFERROR(__xludf.DUMMYFUNCTION("""COMPUTED_VALUE"""),"Jonas Mattisseck")</f>
        <v>Jonas Mattisseck</v>
      </c>
      <c r="B212" s="19" t="str">
        <f>IFERROR(__xludf.DUMMYFUNCTION("""COMPUTED_VALUE"""),"BER")</f>
        <v>BER</v>
      </c>
      <c r="C212" s="20">
        <f>IFERROR(__xludf.DUMMYFUNCTION("""COMPUTED_VALUE"""),22.9)</f>
        <v>22.9</v>
      </c>
      <c r="D212" s="21">
        <f>IFERROR(__xludf.DUMMYFUNCTION("""COMPUTED_VALUE"""),-0.5746914259907078)</f>
        <v>-0.574691426</v>
      </c>
      <c r="E212" s="21">
        <f>IFERROR(__xludf.DUMMYFUNCTION("""COMPUTED_VALUE"""),-0.3295247105528214)</f>
        <v>-0.3295247106</v>
      </c>
      <c r="F212" s="21">
        <f>IFERROR(__xludf.DUMMYFUNCTION("""COMPUTED_VALUE"""),-0.9042161365435292)</f>
        <v>-0.9042161365</v>
      </c>
      <c r="G212" s="23">
        <f>IFERROR(__xludf.DUMMYFUNCTION("""COMPUTED_VALUE"""),0.007620199550458867)</f>
        <v>0.00762019955</v>
      </c>
      <c r="H212" s="4"/>
      <c r="I212" s="5" t="s">
        <v>830</v>
      </c>
      <c r="J212" s="5" t="s">
        <v>634</v>
      </c>
      <c r="K212" s="5">
        <v>23.0</v>
      </c>
      <c r="L212" s="5">
        <v>-0.574691</v>
      </c>
      <c r="M212" s="5">
        <v>-0.329525</v>
      </c>
      <c r="N212" s="5">
        <v>-0.904216</v>
      </c>
      <c r="O212" s="5">
        <v>0.00762</v>
      </c>
    </row>
    <row r="213">
      <c r="A213" s="12" t="str">
        <f>IFERROR(__xludf.DUMMYFUNCTION("""COMPUTED_VALUE"""),"Lior Eliyahu")</f>
        <v>Lior Eliyahu</v>
      </c>
      <c r="B213" s="13" t="str">
        <f>IFERROR(__xludf.DUMMYFUNCTION("""COMPUTED_VALUE"""),"HAPJ")</f>
        <v>HAPJ</v>
      </c>
      <c r="C213" s="14">
        <f>IFERROR(__xludf.DUMMYFUNCTION("""COMPUTED_VALUE"""),99.0)</f>
        <v>99</v>
      </c>
      <c r="D213" s="15">
        <f>IFERROR(__xludf.DUMMYFUNCTION("""COMPUTED_VALUE"""),-0.8278160449540427)</f>
        <v>-0.827816045</v>
      </c>
      <c r="E213" s="15">
        <f>IFERROR(__xludf.DUMMYFUNCTION("""COMPUTED_VALUE"""),-0.14952484636158114)</f>
        <v>-0.1495248464</v>
      </c>
      <c r="F213" s="15">
        <f>IFERROR(__xludf.DUMMYFUNCTION("""COMPUTED_VALUE"""),-0.9773408913156238)</f>
        <v>-0.9773408913</v>
      </c>
      <c r="G213" s="17">
        <f>IFERROR(__xludf.DUMMYFUNCTION("""COMPUTED_VALUE"""),0.030877652226984693)</f>
        <v>0.03087765223</v>
      </c>
      <c r="H213" s="4"/>
      <c r="I213" s="5" t="s">
        <v>1609</v>
      </c>
      <c r="J213" s="5" t="s">
        <v>1572</v>
      </c>
      <c r="K213" s="5">
        <v>99.0</v>
      </c>
      <c r="L213" s="5">
        <v>-0.827816</v>
      </c>
      <c r="M213" s="5">
        <v>-0.149525</v>
      </c>
      <c r="N213" s="5">
        <v>-0.977341</v>
      </c>
      <c r="O213" s="5">
        <v>0.030878</v>
      </c>
    </row>
    <row r="214">
      <c r="A214" s="18" t="str">
        <f>IFERROR(__xludf.DUMMYFUNCTION("""COMPUTED_VALUE"""),"Dmitriy Khvostov")</f>
        <v>Dmitriy Khvostov</v>
      </c>
      <c r="B214" s="19" t="str">
        <f>IFERROR(__xludf.DUMMYFUNCTION("""COMPUTED_VALUE"""),"LOK")</f>
        <v>LOK</v>
      </c>
      <c r="C214" s="20">
        <f>IFERROR(__xludf.DUMMYFUNCTION("""COMPUTED_VALUE"""),284.9)</f>
        <v>284.9</v>
      </c>
      <c r="D214" s="21">
        <f>IFERROR(__xludf.DUMMYFUNCTION("""COMPUTED_VALUE"""),-0.8686060067356728)</f>
        <v>-0.8686060067</v>
      </c>
      <c r="E214" s="21">
        <f>IFERROR(__xludf.DUMMYFUNCTION("""COMPUTED_VALUE"""),-0.12011177912368798)</f>
        <v>-0.1201117791</v>
      </c>
      <c r="F214" s="21">
        <f>IFERROR(__xludf.DUMMYFUNCTION("""COMPUTED_VALUE"""),-0.9887177858593608)</f>
        <v>-0.9887177859</v>
      </c>
      <c r="G214" s="23">
        <f>IFERROR(__xludf.DUMMYFUNCTION("""COMPUTED_VALUE"""),0.08685081154370743)</f>
        <v>0.08685081154</v>
      </c>
      <c r="H214" s="4"/>
      <c r="I214" s="5" t="s">
        <v>2812</v>
      </c>
      <c r="J214" s="5" t="s">
        <v>2785</v>
      </c>
      <c r="K214" s="5">
        <v>285.0</v>
      </c>
      <c r="L214" s="5">
        <v>-0.868606</v>
      </c>
      <c r="M214" s="5">
        <v>-0.120112</v>
      </c>
      <c r="N214" s="5">
        <v>-0.988718</v>
      </c>
      <c r="O214" s="5">
        <v>0.086851</v>
      </c>
    </row>
    <row r="215">
      <c r="A215" s="12" t="str">
        <f>IFERROR(__xludf.DUMMYFUNCTION("""COMPUTED_VALUE"""),"Stratos Perperoglou")</f>
        <v>Stratos Perperoglou</v>
      </c>
      <c r="B215" s="13" t="str">
        <f>IFERROR(__xludf.DUMMYFUNCTION("""COMPUTED_VALUE"""),"HAPJ")</f>
        <v>HAPJ</v>
      </c>
      <c r="C215" s="14">
        <f>IFERROR(__xludf.DUMMYFUNCTION("""COMPUTED_VALUE"""),238.6)</f>
        <v>238.6</v>
      </c>
      <c r="D215" s="15">
        <f>IFERROR(__xludf.DUMMYFUNCTION("""COMPUTED_VALUE"""),0.22036082511238006)</f>
        <v>0.2203608251</v>
      </c>
      <c r="E215" s="15">
        <f>IFERROR(__xludf.DUMMYFUNCTION("""COMPUTED_VALUE"""),-1.2219198257333772)</f>
        <v>-1.221919826</v>
      </c>
      <c r="F215" s="15">
        <f>IFERROR(__xludf.DUMMYFUNCTION("""COMPUTED_VALUE"""),-1.0015590006209971)</f>
        <v>-1.001559001</v>
      </c>
      <c r="G215" s="17">
        <f>IFERROR(__xludf.DUMMYFUNCTION("""COMPUTED_VALUE"""),0.07265592422342637)</f>
        <v>0.07265592422</v>
      </c>
      <c r="H215" s="4"/>
      <c r="I215" s="5" t="s">
        <v>1599</v>
      </c>
      <c r="J215" s="5" t="s">
        <v>1572</v>
      </c>
      <c r="K215" s="5">
        <v>239.0</v>
      </c>
      <c r="L215" s="5">
        <v>0.220361</v>
      </c>
      <c r="M215" s="5">
        <v>-1.22192</v>
      </c>
      <c r="N215" s="5">
        <v>-1.001559</v>
      </c>
      <c r="O215" s="5">
        <v>0.072656</v>
      </c>
    </row>
    <row r="216">
      <c r="A216" s="18" t="str">
        <f>IFERROR(__xludf.DUMMYFUNCTION("""COMPUTED_VALUE"""),"Kresimir Nikic")</f>
        <v>Kresimir Nikic</v>
      </c>
      <c r="B216" s="19" t="str">
        <f>IFERROR(__xludf.DUMMYFUNCTION("""COMPUTED_VALUE"""),"BER")</f>
        <v>BER</v>
      </c>
      <c r="C216" s="20">
        <f>IFERROR(__xludf.DUMMYFUNCTION("""COMPUTED_VALUE"""),34.6)</f>
        <v>34.6</v>
      </c>
      <c r="D216" s="21">
        <f>IFERROR(__xludf.DUMMYFUNCTION("""COMPUTED_VALUE"""),-0.9624961096544179)</f>
        <v>-0.9624961097</v>
      </c>
      <c r="E216" s="21">
        <f>IFERROR(__xludf.DUMMYFUNCTION("""COMPUTED_VALUE"""),-0.06813254683785142)</f>
        <v>-0.06813254684</v>
      </c>
      <c r="F216" s="21">
        <f>IFERROR(__xludf.DUMMYFUNCTION("""COMPUTED_VALUE"""),-1.0306286564922693)</f>
        <v>-1.030628656</v>
      </c>
      <c r="G216" s="23">
        <f>IFERROR(__xludf.DUMMYFUNCTION("""COMPUTED_VALUE"""),0.010185262752283425)</f>
        <v>0.01018526275</v>
      </c>
      <c r="H216" s="4"/>
      <c r="I216" s="5" t="s">
        <v>945</v>
      </c>
      <c r="J216" s="5" t="s">
        <v>634</v>
      </c>
      <c r="K216" s="5">
        <v>35.0</v>
      </c>
      <c r="L216" s="5">
        <v>-0.962496</v>
      </c>
      <c r="M216" s="5">
        <v>-0.068133</v>
      </c>
      <c r="N216" s="5">
        <v>-1.030629</v>
      </c>
      <c r="O216" s="5">
        <v>0.010185</v>
      </c>
    </row>
    <row r="217">
      <c r="A217" s="12" t="str">
        <f>IFERROR(__xludf.DUMMYFUNCTION("""COMPUTED_VALUE"""),"Maik Zirbes")</f>
        <v>Maik Zirbes</v>
      </c>
      <c r="B217" s="13" t="str">
        <f>IFERROR(__xludf.DUMMYFUNCTION("""COMPUTED_VALUE"""),"BAY")</f>
        <v>BAY</v>
      </c>
      <c r="C217" s="14">
        <f>IFERROR(__xludf.DUMMYFUNCTION("""COMPUTED_VALUE"""),293.7)</f>
        <v>293.7</v>
      </c>
      <c r="D217" s="15">
        <f>IFERROR(__xludf.DUMMYFUNCTION("""COMPUTED_VALUE"""),-2.321913685012439)</f>
        <v>-2.321913685</v>
      </c>
      <c r="E217" s="15">
        <f>IFERROR(__xludf.DUMMYFUNCTION("""COMPUTED_VALUE"""),1.2858040352607099)</f>
        <v>1.285804035</v>
      </c>
      <c r="F217" s="15">
        <f>IFERROR(__xludf.DUMMYFUNCTION("""COMPUTED_VALUE"""),-1.0361096497517293)</f>
        <v>-1.03610965</v>
      </c>
      <c r="G217" s="17">
        <f>IFERROR(__xludf.DUMMYFUNCTION("""COMPUTED_VALUE"""),0.08630932800851132)</f>
        <v>0.08630932801</v>
      </c>
      <c r="H217" s="4"/>
      <c r="I217" s="5" t="s">
        <v>1011</v>
      </c>
      <c r="J217" s="5" t="s">
        <v>644</v>
      </c>
      <c r="K217" s="5">
        <v>294.0</v>
      </c>
      <c r="L217" s="5">
        <v>-2.321914</v>
      </c>
      <c r="M217" s="5">
        <v>1.285804</v>
      </c>
      <c r="N217" s="5">
        <v>-1.03611</v>
      </c>
      <c r="O217" s="5">
        <v>0.086309</v>
      </c>
    </row>
    <row r="218">
      <c r="A218" s="18" t="str">
        <f>IFERROR(__xludf.DUMMYFUNCTION("""COMPUTED_VALUE"""),"Luke Fischer")</f>
        <v>Luke Fischer</v>
      </c>
      <c r="B218" s="19" t="str">
        <f>IFERROR(__xludf.DUMMYFUNCTION("""COMPUTED_VALUE"""),"GCN")</f>
        <v>GCN</v>
      </c>
      <c r="C218" s="20">
        <f>IFERROR(__xludf.DUMMYFUNCTION("""COMPUTED_VALUE"""),162.8)</f>
        <v>162.8</v>
      </c>
      <c r="D218" s="21">
        <f>IFERROR(__xludf.DUMMYFUNCTION("""COMPUTED_VALUE"""),-0.3433685613669095)</f>
        <v>-0.3433685614</v>
      </c>
      <c r="E218" s="21">
        <f>IFERROR(__xludf.DUMMYFUNCTION("""COMPUTED_VALUE"""),-0.6950848382577703)</f>
        <v>-0.6950848383</v>
      </c>
      <c r="F218" s="21">
        <f>IFERROR(__xludf.DUMMYFUNCTION("""COMPUTED_VALUE"""),-1.0384533996246799)</f>
        <v>-1.0384534</v>
      </c>
      <c r="G218" s="23">
        <f>IFERROR(__xludf.DUMMYFUNCTION("""COMPUTED_VALUE"""),0.046749009805669095)</f>
        <v>0.04674900981</v>
      </c>
      <c r="H218" s="4"/>
      <c r="I218" s="5" t="s">
        <v>96</v>
      </c>
      <c r="J218" s="5" t="s">
        <v>97</v>
      </c>
      <c r="K218" s="5">
        <v>163.0</v>
      </c>
      <c r="L218" s="5">
        <v>-0.343369</v>
      </c>
      <c r="M218" s="5">
        <v>-0.695085</v>
      </c>
      <c r="N218" s="5">
        <v>-1.038453</v>
      </c>
      <c r="O218" s="5">
        <v>0.046749</v>
      </c>
    </row>
    <row r="219">
      <c r="A219" s="12" t="str">
        <f>IFERROR(__xludf.DUMMYFUNCTION("""COMPUTED_VALUE"""),"Amine Noua")</f>
        <v>Amine Noua</v>
      </c>
      <c r="B219" s="13" t="str">
        <f>IFERROR(__xludf.DUMMYFUNCTION("""COMPUTED_VALUE"""),"LYV")</f>
        <v>LYV</v>
      </c>
      <c r="C219" s="14">
        <f>IFERROR(__xludf.DUMMYFUNCTION("""COMPUTED_VALUE"""),332.9)</f>
        <v>332.9</v>
      </c>
      <c r="D219" s="15">
        <f>IFERROR(__xludf.DUMMYFUNCTION("""COMPUTED_VALUE"""),-1.4019517040366107)</f>
        <v>-1.401951704</v>
      </c>
      <c r="E219" s="15">
        <f>IFERROR(__xludf.DUMMYFUNCTION("""COMPUTED_VALUE"""),0.35963784348003314)</f>
        <v>0.3596378435</v>
      </c>
      <c r="F219" s="15">
        <f>IFERROR(__xludf.DUMMYFUNCTION("""COMPUTED_VALUE"""),-1.0423138605565776)</f>
        <v>-1.042313861</v>
      </c>
      <c r="G219" s="17">
        <f>IFERROR(__xludf.DUMMYFUNCTION("""COMPUTED_VALUE"""),0.0993857910060088)</f>
        <v>0.09938579101</v>
      </c>
      <c r="H219" s="4"/>
      <c r="I219" s="5" t="s">
        <v>1398</v>
      </c>
      <c r="J219" s="5" t="s">
        <v>1342</v>
      </c>
      <c r="K219" s="5">
        <v>333.0</v>
      </c>
      <c r="L219" s="5">
        <v>-1.401952</v>
      </c>
      <c r="M219" s="5">
        <v>0.359638</v>
      </c>
      <c r="N219" s="5">
        <v>-1.042314</v>
      </c>
      <c r="O219" s="5">
        <v>0.099386</v>
      </c>
    </row>
    <row r="220">
      <c r="A220" s="18" t="str">
        <f>IFERROR(__xludf.DUMMYFUNCTION("""COMPUTED_VALUE"""),"Nikita Barinov")</f>
        <v>Nikita Barinov</v>
      </c>
      <c r="B220" s="19" t="str">
        <f>IFERROR(__xludf.DUMMYFUNCTION("""COMPUTED_VALUE"""),"ZEN")</f>
        <v>ZEN</v>
      </c>
      <c r="C220" s="20">
        <f>IFERROR(__xludf.DUMMYFUNCTION("""COMPUTED_VALUE"""),58.6)</f>
        <v>58.6</v>
      </c>
      <c r="D220" s="21">
        <f>IFERROR(__xludf.DUMMYFUNCTION("""COMPUTED_VALUE"""),-0.9002563702122556)</f>
        <v>-0.9002563702</v>
      </c>
      <c r="E220" s="21">
        <f>IFERROR(__xludf.DUMMYFUNCTION("""COMPUTED_VALUE"""),-0.1515596194419765)</f>
        <v>-0.1515596194</v>
      </c>
      <c r="F220" s="21">
        <f>IFERROR(__xludf.DUMMYFUNCTION("""COMPUTED_VALUE"""),-1.051815989654232)</f>
        <v>-1.05181599</v>
      </c>
      <c r="G220" s="23">
        <f>IFERROR(__xludf.DUMMYFUNCTION("""COMPUTED_VALUE"""),0.016940116770201828)</f>
        <v>0.01694011677</v>
      </c>
      <c r="H220" s="4"/>
      <c r="I220" s="5" t="s">
        <v>2871</v>
      </c>
      <c r="J220" s="5" t="s">
        <v>2816</v>
      </c>
      <c r="K220" s="5">
        <v>59.0</v>
      </c>
      <c r="L220" s="5">
        <v>-0.900256</v>
      </c>
      <c r="M220" s="5">
        <v>-0.15156</v>
      </c>
      <c r="N220" s="5">
        <v>-1.051816</v>
      </c>
      <c r="O220" s="5">
        <v>0.01694</v>
      </c>
    </row>
    <row r="221">
      <c r="A221" s="12" t="str">
        <f>IFERROR(__xludf.DUMMYFUNCTION("""COMPUTED_VALUE"""),"Marko Cakarevic")</f>
        <v>Marko Cakarevic</v>
      </c>
      <c r="B221" s="13" t="str">
        <f>IFERROR(__xludf.DUMMYFUNCTION("""COMPUTED_VALUE"""),"PAR")</f>
        <v>PAR</v>
      </c>
      <c r="C221" s="14">
        <f>IFERROR(__xludf.DUMMYFUNCTION("""COMPUTED_VALUE"""),69.0)</f>
        <v>69</v>
      </c>
      <c r="D221" s="15">
        <f>IFERROR(__xludf.DUMMYFUNCTION("""COMPUTED_VALUE"""),-0.4469140599036379)</f>
        <v>-0.4469140599</v>
      </c>
      <c r="E221" s="15">
        <f>IFERROR(__xludf.DUMMYFUNCTION("""COMPUTED_VALUE"""),-0.6130289938029814)</f>
        <v>-0.6130289938</v>
      </c>
      <c r="F221" s="15">
        <f>IFERROR(__xludf.DUMMYFUNCTION("""COMPUTED_VALUE"""),-1.0599430537066192)</f>
        <v>-1.059943054</v>
      </c>
      <c r="G221" s="17">
        <f>IFERROR(__xludf.DUMMYFUNCTION("""COMPUTED_VALUE"""),0.019778554982711822)</f>
        <v>0.01977855498</v>
      </c>
      <c r="H221" s="4"/>
      <c r="I221" s="5" t="s">
        <v>1030</v>
      </c>
      <c r="J221" s="5" t="s">
        <v>962</v>
      </c>
      <c r="K221" s="5">
        <v>69.0</v>
      </c>
      <c r="L221" s="5">
        <v>-0.446914</v>
      </c>
      <c r="M221" s="5">
        <v>-0.613029</v>
      </c>
      <c r="N221" s="5">
        <v>-1.059943</v>
      </c>
      <c r="O221" s="5">
        <v>0.019779</v>
      </c>
    </row>
    <row r="222">
      <c r="A222" s="18" t="str">
        <f>IFERROR(__xludf.DUMMYFUNCTION("""COMPUTED_VALUE"""),"Sasha Vujacic")</f>
        <v>Sasha Vujacic</v>
      </c>
      <c r="B222" s="19" t="str">
        <f>IFERROR(__xludf.DUMMYFUNCTION("""COMPUTED_VALUE"""),"TOR")</f>
        <v>TOR</v>
      </c>
      <c r="C222" s="20">
        <f>IFERROR(__xludf.DUMMYFUNCTION("""COMPUTED_VALUE"""),452.5)</f>
        <v>452.5</v>
      </c>
      <c r="D222" s="21">
        <f>IFERROR(__xludf.DUMMYFUNCTION("""COMPUTED_VALUE"""),-0.5871757303403113)</f>
        <v>-0.5871757303</v>
      </c>
      <c r="E222" s="21">
        <f>IFERROR(__xludf.DUMMYFUNCTION("""COMPUTED_VALUE"""),-0.49277592272169013)</f>
        <v>-0.4927759227</v>
      </c>
      <c r="F222" s="21">
        <f>IFERROR(__xludf.DUMMYFUNCTION("""COMPUTED_VALUE"""),-1.0799516530620015)</f>
        <v>-1.079951653</v>
      </c>
      <c r="G222" s="23">
        <f>IFERROR(__xludf.DUMMYFUNCTION("""COMPUTED_VALUE"""),0.12693533497960827)</f>
        <v>0.126935335</v>
      </c>
      <c r="H222" s="4"/>
      <c r="I222" s="5" t="s">
        <v>2227</v>
      </c>
      <c r="J222" s="5" t="s">
        <v>2140</v>
      </c>
      <c r="K222" s="5">
        <v>453.0</v>
      </c>
      <c r="L222" s="5">
        <v>-0.587176</v>
      </c>
      <c r="M222" s="5">
        <v>-0.492776</v>
      </c>
      <c r="N222" s="5">
        <v>-1.079952</v>
      </c>
      <c r="O222" s="5">
        <v>0.126935</v>
      </c>
    </row>
    <row r="223">
      <c r="A223" s="12" t="str">
        <f>IFERROR(__xludf.DUMMYFUNCTION("""COMPUTED_VALUE"""),"Nik Slavica")</f>
        <v>Nik Slavica</v>
      </c>
      <c r="B223" s="13" t="str">
        <f>IFERROR(__xludf.DUMMYFUNCTION("""COMPUTED_VALUE"""),"CED")</f>
        <v>CED</v>
      </c>
      <c r="C223" s="14">
        <f>IFERROR(__xludf.DUMMYFUNCTION("""COMPUTED_VALUE"""),41.8)</f>
        <v>41.8</v>
      </c>
      <c r="D223" s="15">
        <f>IFERROR(__xludf.DUMMYFUNCTION("""COMPUTED_VALUE"""),-1.1435080639165078)</f>
        <v>-1.143508064</v>
      </c>
      <c r="E223" s="15">
        <f>IFERROR(__xludf.DUMMYFUNCTION("""COMPUTED_VALUE"""),0.06239344804610458)</f>
        <v>0.06239344805</v>
      </c>
      <c r="F223" s="15">
        <f>IFERROR(__xludf.DUMMYFUNCTION("""COMPUTED_VALUE"""),-1.0811146158704033)</f>
        <v>-1.081114616</v>
      </c>
      <c r="G223" s="17">
        <f>IFERROR(__xludf.DUMMYFUNCTION("""COMPUTED_VALUE"""),0.011618688515930084)</f>
        <v>0.01161868852</v>
      </c>
      <c r="H223" s="4"/>
      <c r="I223" s="5" t="s">
        <v>1236</v>
      </c>
      <c r="J223" s="5" t="s">
        <v>928</v>
      </c>
      <c r="K223" s="5">
        <v>42.0</v>
      </c>
      <c r="L223" s="5">
        <v>-1.143508</v>
      </c>
      <c r="M223" s="5">
        <v>0.062393</v>
      </c>
      <c r="N223" s="5">
        <v>-1.081115</v>
      </c>
      <c r="O223" s="5">
        <v>0.011619</v>
      </c>
    </row>
    <row r="224">
      <c r="A224" s="18" t="str">
        <f>IFERROR(__xludf.DUMMYFUNCTION("""COMPUTED_VALUE"""),"Remi Lesca")</f>
        <v>Remi Lesca</v>
      </c>
      <c r="B224" s="19" t="str">
        <f>IFERROR(__xludf.DUMMYFUNCTION("""COMPUTED_VALUE"""),"PLV")</f>
        <v>PLV</v>
      </c>
      <c r="C224" s="20">
        <f>IFERROR(__xludf.DUMMYFUNCTION("""COMPUTED_VALUE"""),158.2)</f>
        <v>158.2</v>
      </c>
      <c r="D224" s="21">
        <f>IFERROR(__xludf.DUMMYFUNCTION("""COMPUTED_VALUE"""),-0.3065429623306006)</f>
        <v>-0.3065429623</v>
      </c>
      <c r="E224" s="21">
        <f>IFERROR(__xludf.DUMMYFUNCTION("""COMPUTED_VALUE"""),-0.7892079357633808)</f>
        <v>-0.7892079358</v>
      </c>
      <c r="F224" s="21">
        <f>IFERROR(__xludf.DUMMYFUNCTION("""COMPUTED_VALUE"""),-1.0957508980939814)</f>
        <v>-1.095750898</v>
      </c>
      <c r="G224" s="23">
        <f>IFERROR(__xludf.DUMMYFUNCTION("""COMPUTED_VALUE"""),0.043617839808838245)</f>
        <v>0.04361783981</v>
      </c>
      <c r="H224" s="4"/>
      <c r="I224" s="5" t="s">
        <v>1600</v>
      </c>
      <c r="J224" s="5" t="s">
        <v>1355</v>
      </c>
      <c r="K224" s="5">
        <v>158.0</v>
      </c>
      <c r="L224" s="5">
        <v>-0.306543</v>
      </c>
      <c r="M224" s="5">
        <v>-0.789208</v>
      </c>
      <c r="N224" s="5">
        <v>-1.095751</v>
      </c>
      <c r="O224" s="5">
        <v>0.043618</v>
      </c>
    </row>
    <row r="225">
      <c r="A225" s="12" t="str">
        <f>IFERROR(__xludf.DUMMYFUNCTION("""COMPUTED_VALUE"""),"Borja Mendia")</f>
        <v>Borja Mendia</v>
      </c>
      <c r="B225" s="13" t="str">
        <f>IFERROR(__xludf.DUMMYFUNCTION("""COMPUTED_VALUE"""),"BBB")</f>
        <v>BBB</v>
      </c>
      <c r="C225" s="14">
        <f>IFERROR(__xludf.DUMMYFUNCTION("""COMPUTED_VALUE"""),17.8)</f>
        <v>17.8</v>
      </c>
      <c r="D225" s="15">
        <f>IFERROR(__xludf.DUMMYFUNCTION("""COMPUTED_VALUE"""),-0.7510190619015004)</f>
        <v>-0.7510190619</v>
      </c>
      <c r="E225" s="15">
        <f>IFERROR(__xludf.DUMMYFUNCTION("""COMPUTED_VALUE"""),-0.3533987901620558)</f>
        <v>-0.3533987902</v>
      </c>
      <c r="F225" s="15">
        <f>IFERROR(__xludf.DUMMYFUNCTION("""COMPUTED_VALUE"""),-1.1044178520635561)</f>
        <v>-1.104417852</v>
      </c>
      <c r="G225" s="17">
        <f>IFERROR(__xludf.DUMMYFUNCTION("""COMPUTED_VALUE"""),0.004859928416161112)</f>
        <v>0.004859928416</v>
      </c>
      <c r="H225" s="4"/>
      <c r="I225" s="5" t="s">
        <v>526</v>
      </c>
      <c r="J225" s="5" t="s">
        <v>113</v>
      </c>
      <c r="K225" s="5">
        <v>18.0</v>
      </c>
      <c r="L225" s="5">
        <v>-0.751019</v>
      </c>
      <c r="M225" s="5">
        <v>-0.353399</v>
      </c>
      <c r="N225" s="5">
        <v>-1.104418</v>
      </c>
      <c r="O225" s="5">
        <v>0.00486</v>
      </c>
    </row>
    <row r="226">
      <c r="A226" s="18" t="str">
        <f>IFERROR(__xludf.DUMMYFUNCTION("""COMPUTED_VALUE"""),"Petar Popovic")</f>
        <v>Petar Popovic</v>
      </c>
      <c r="B226" s="19" t="str">
        <f>IFERROR(__xludf.DUMMYFUNCTION("""COMPUTED_VALUE"""),"BUD")</f>
        <v>BUD</v>
      </c>
      <c r="C226" s="20">
        <f>IFERROR(__xludf.DUMMYFUNCTION("""COMPUTED_VALUE"""),179.0)</f>
        <v>179</v>
      </c>
      <c r="D226" s="21">
        <f>IFERROR(__xludf.DUMMYFUNCTION("""COMPUTED_VALUE"""),-1.7735418917481547)</f>
        <v>-1.773541892</v>
      </c>
      <c r="E226" s="21">
        <f>IFERROR(__xludf.DUMMYFUNCTION("""COMPUTED_VALUE"""),0.6309390465396114)</f>
        <v>0.6309390465</v>
      </c>
      <c r="F226" s="21">
        <f>IFERROR(__xludf.DUMMYFUNCTION("""COMPUTED_VALUE"""),-1.1426028452085433)</f>
        <v>-1.142602845</v>
      </c>
      <c r="G226" s="23">
        <f>IFERROR(__xludf.DUMMYFUNCTION("""COMPUTED_VALUE"""),0.046152439237199666)</f>
        <v>0.04615243924</v>
      </c>
      <c r="H226" s="4"/>
      <c r="I226" s="5" t="s">
        <v>1122</v>
      </c>
      <c r="J226" s="5" t="s">
        <v>914</v>
      </c>
      <c r="K226" s="5">
        <v>179.0</v>
      </c>
      <c r="L226" s="5">
        <v>-1.773542</v>
      </c>
      <c r="M226" s="5">
        <v>0.630939</v>
      </c>
      <c r="N226" s="5">
        <v>-1.142603</v>
      </c>
      <c r="O226" s="5">
        <v>0.046152</v>
      </c>
    </row>
    <row r="227">
      <c r="A227" s="12" t="str">
        <f>IFERROR(__xludf.DUMMYFUNCTION("""COMPUTED_VALUE"""),"Bogdan Radosavljevic")</f>
        <v>Bogdan Radosavljevic</v>
      </c>
      <c r="B227" s="13" t="str">
        <f>IFERROR(__xludf.DUMMYFUNCTION("""COMPUTED_VALUE"""),"BER")</f>
        <v>BER</v>
      </c>
      <c r="C227" s="14">
        <f>IFERROR(__xludf.DUMMYFUNCTION("""COMPUTED_VALUE"""),143.0)</f>
        <v>143</v>
      </c>
      <c r="D227" s="15">
        <f>IFERROR(__xludf.DUMMYFUNCTION("""COMPUTED_VALUE"""),-0.8686631657299557)</f>
        <v>-0.8686631657</v>
      </c>
      <c r="E227" s="15">
        <f>IFERROR(__xludf.DUMMYFUNCTION("""COMPUTED_VALUE"""),-0.28820007550635873)</f>
        <v>-0.2882000755</v>
      </c>
      <c r="F227" s="15">
        <f>IFERROR(__xludf.DUMMYFUNCTION("""COMPUTED_VALUE"""),-1.1568632412363145)</f>
        <v>-1.156863241</v>
      </c>
      <c r="G227" s="17">
        <f>IFERROR(__xludf.DUMMYFUNCTION("""COMPUTED_VALUE"""),0.03661339683229957)</f>
        <v>0.03661339683</v>
      </c>
      <c r="H227" s="4"/>
      <c r="I227" s="5" t="s">
        <v>758</v>
      </c>
      <c r="J227" s="5" t="s">
        <v>634</v>
      </c>
      <c r="K227" s="24">
        <v>143.0</v>
      </c>
      <c r="L227" s="5">
        <v>-0.868663</v>
      </c>
      <c r="M227" s="5">
        <v>-0.2882</v>
      </c>
      <c r="N227" s="5">
        <v>-1.156863</v>
      </c>
      <c r="O227" s="5">
        <v>0.036613</v>
      </c>
    </row>
    <row r="228">
      <c r="A228" s="18" t="str">
        <f>IFERROR(__xludf.DUMMYFUNCTION("""COMPUTED_VALUE"""),"Till Pape")</f>
        <v>Till Pape</v>
      </c>
      <c r="B228" s="19" t="str">
        <f>IFERROR(__xludf.DUMMYFUNCTION("""COMPUTED_VALUE"""),"RUL")</f>
        <v>RUL</v>
      </c>
      <c r="C228" s="20">
        <f>IFERROR(__xludf.DUMMYFUNCTION("""COMPUTED_VALUE"""),28.3)</f>
        <v>28.3</v>
      </c>
      <c r="D228" s="21">
        <f>IFERROR(__xludf.DUMMYFUNCTION("""COMPUTED_VALUE"""),-0.4502704966306777)</f>
        <v>-0.4502704966</v>
      </c>
      <c r="E228" s="21">
        <f>IFERROR(__xludf.DUMMYFUNCTION("""COMPUTED_VALUE"""),-0.7099726651048863)</f>
        <v>-0.7099726651</v>
      </c>
      <c r="F228" s="21">
        <f>IFERROR(__xludf.DUMMYFUNCTION("""COMPUTED_VALUE"""),-1.160243161735564)</f>
        <v>-1.160243162</v>
      </c>
      <c r="G228" s="23">
        <f>IFERROR(__xludf.DUMMYFUNCTION("""COMPUTED_VALUE"""),0.007244738490444715)</f>
        <v>0.00724473849</v>
      </c>
      <c r="H228" s="4"/>
      <c r="I228" s="5" t="s">
        <v>836</v>
      </c>
      <c r="J228" s="5" t="s">
        <v>693</v>
      </c>
      <c r="K228" s="5">
        <v>28.0</v>
      </c>
      <c r="L228" s="5">
        <v>-0.45027</v>
      </c>
      <c r="M228" s="5">
        <v>-0.709973</v>
      </c>
      <c r="N228" s="5">
        <v>-1.160243</v>
      </c>
      <c r="O228" s="5">
        <v>0.007245</v>
      </c>
    </row>
    <row r="229">
      <c r="A229" s="12" t="str">
        <f>IFERROR(__xludf.DUMMYFUNCTION("""COMPUTED_VALUE"""),"Micheal Eric")</f>
        <v>Micheal Eric</v>
      </c>
      <c r="B229" s="13" t="str">
        <f>IFERROR(__xludf.DUMMYFUNCTION("""COMPUTED_VALUE"""),"DBI")</f>
        <v>DBI</v>
      </c>
      <c r="C229" s="14">
        <f>IFERROR(__xludf.DUMMYFUNCTION("""COMPUTED_VALUE"""),399.8)</f>
        <v>399.8</v>
      </c>
      <c r="D229" s="15">
        <f>IFERROR(__xludf.DUMMYFUNCTION("""COMPUTED_VALUE"""),-3.430472240417487)</f>
        <v>-3.43047224</v>
      </c>
      <c r="E229" s="15">
        <f>IFERROR(__xludf.DUMMYFUNCTION("""COMPUTED_VALUE"""),2.2681391225372547)</f>
        <v>2.268139123</v>
      </c>
      <c r="F229" s="15">
        <f>IFERROR(__xludf.DUMMYFUNCTION("""COMPUTED_VALUE"""),-1.1623331178802325)</f>
        <v>-1.162333118</v>
      </c>
      <c r="G229" s="17">
        <f>IFERROR(__xludf.DUMMYFUNCTION("""COMPUTED_VALUE"""),0.10095392249848906)</f>
        <v>0.1009539225</v>
      </c>
      <c r="H229" s="4"/>
      <c r="I229" s="5" t="s">
        <v>1938</v>
      </c>
      <c r="J229" s="5" t="s">
        <v>1884</v>
      </c>
      <c r="K229" s="24">
        <v>400.0</v>
      </c>
      <c r="L229" s="5">
        <v>-3.430472</v>
      </c>
      <c r="M229" s="5">
        <v>2.268139</v>
      </c>
      <c r="N229" s="5">
        <v>-1.162333</v>
      </c>
      <c r="O229" s="5">
        <v>0.100954</v>
      </c>
    </row>
    <row r="230">
      <c r="A230" s="18" t="str">
        <f>IFERROR(__xludf.DUMMYFUNCTION("""COMPUTED_VALUE"""),"Deron Washington")</f>
        <v>Deron Washington</v>
      </c>
      <c r="B230" s="19" t="str">
        <f>IFERROR(__xludf.DUMMYFUNCTION("""COMPUTED_VALUE"""),"TOR")</f>
        <v>TOR</v>
      </c>
      <c r="C230" s="20">
        <f>IFERROR(__xludf.DUMMYFUNCTION("""COMPUTED_VALUE"""),351.9)</f>
        <v>351.9</v>
      </c>
      <c r="D230" s="21">
        <f>IFERROR(__xludf.DUMMYFUNCTION("""COMPUTED_VALUE"""),-0.7295448124962279)</f>
        <v>-0.7295448125</v>
      </c>
      <c r="E230" s="21">
        <f>IFERROR(__xludf.DUMMYFUNCTION("""COMPUTED_VALUE"""),-0.4380966864391108)</f>
        <v>-0.4380966864</v>
      </c>
      <c r="F230" s="21">
        <f>IFERROR(__xludf.DUMMYFUNCTION("""COMPUTED_VALUE"""),-1.1676414989353388)</f>
        <v>-1.167641499</v>
      </c>
      <c r="G230" s="23">
        <f>IFERROR(__xludf.DUMMYFUNCTION("""COMPUTED_VALUE"""),0.08930648303465744)</f>
        <v>0.08930648303</v>
      </c>
      <c r="H230" s="4"/>
      <c r="I230" s="5" t="s">
        <v>2161</v>
      </c>
      <c r="J230" s="5" t="s">
        <v>2140</v>
      </c>
      <c r="K230" s="24">
        <v>352.0</v>
      </c>
      <c r="L230" s="5">
        <v>-0.729545</v>
      </c>
      <c r="M230" s="5">
        <v>-0.438097</v>
      </c>
      <c r="N230" s="5">
        <v>-1.167641</v>
      </c>
      <c r="O230" s="5">
        <v>0.089306</v>
      </c>
    </row>
    <row r="231">
      <c r="A231" s="12" t="str">
        <f>IFERROR(__xludf.DUMMYFUNCTION("""COMPUTED_VALUE"""),"Lukas Aukstikalnis")</f>
        <v>Lukas Aukstikalnis</v>
      </c>
      <c r="B231" s="13" t="str">
        <f>IFERROR(__xludf.DUMMYFUNCTION("""COMPUTED_VALUE"""),"TEC")</f>
        <v>TEC</v>
      </c>
      <c r="C231" s="14">
        <f>IFERROR(__xludf.DUMMYFUNCTION("""COMPUTED_VALUE"""),49.4)</f>
        <v>49.4</v>
      </c>
      <c r="D231" s="15">
        <f>IFERROR(__xludf.DUMMYFUNCTION("""COMPUTED_VALUE"""),-0.750595881026419)</f>
        <v>-0.750595881</v>
      </c>
      <c r="E231" s="15">
        <f>IFERROR(__xludf.DUMMYFUNCTION("""COMPUTED_VALUE"""),-0.42133506962746914)</f>
        <v>-0.4213350696</v>
      </c>
      <c r="F231" s="15">
        <f>IFERROR(__xludf.DUMMYFUNCTION("""COMPUTED_VALUE"""),-1.1719309506538882)</f>
        <v>-1.171930951</v>
      </c>
      <c r="G231" s="17">
        <f>IFERROR(__xludf.DUMMYFUNCTION("""COMPUTED_VALUE"""),0.014293195525065278)</f>
        <v>0.01429319553</v>
      </c>
      <c r="H231" s="4"/>
      <c r="I231" s="5" t="s">
        <v>2602</v>
      </c>
      <c r="J231" s="5" t="s">
        <v>2400</v>
      </c>
      <c r="K231" s="5">
        <v>49.0</v>
      </c>
      <c r="L231" s="5">
        <v>-0.750596</v>
      </c>
      <c r="M231" s="5">
        <v>-0.421335</v>
      </c>
      <c r="N231" s="5">
        <v>-1.171931</v>
      </c>
      <c r="O231" s="5">
        <v>0.014293</v>
      </c>
    </row>
    <row r="232">
      <c r="A232" s="18" t="str">
        <f>IFERROR(__xludf.DUMMYFUNCTION("""COMPUTED_VALUE"""),"Henry Walker")</f>
        <v>Henry Walker</v>
      </c>
      <c r="B232" s="19" t="str">
        <f>IFERROR(__xludf.DUMMYFUNCTION("""COMPUTED_VALUE"""),"GAL")</f>
        <v>GAL</v>
      </c>
      <c r="C232" s="20">
        <f>IFERROR(__xludf.DUMMYFUNCTION("""COMPUTED_VALUE"""),87.4)</f>
        <v>87.4</v>
      </c>
      <c r="D232" s="21">
        <f>IFERROR(__xludf.DUMMYFUNCTION("""COMPUTED_VALUE"""),-0.905551660494152)</f>
        <v>-0.9055516605</v>
      </c>
      <c r="E232" s="21">
        <f>IFERROR(__xludf.DUMMYFUNCTION("""COMPUTED_VALUE"""),-0.2690908356827817)</f>
        <v>-0.2690908357</v>
      </c>
      <c r="F232" s="21">
        <f>IFERROR(__xludf.DUMMYFUNCTION("""COMPUTED_VALUE"""),-1.1746424961769337)</f>
        <v>-1.174642496</v>
      </c>
      <c r="G232" s="23">
        <f>IFERROR(__xludf.DUMMYFUNCTION("""COMPUTED_VALUE"""),0.021175515331438275)</f>
        <v>0.02117551533</v>
      </c>
      <c r="H232" s="4"/>
      <c r="I232" s="5" t="s">
        <v>2028</v>
      </c>
      <c r="J232" s="5" t="s">
        <v>1592</v>
      </c>
      <c r="K232" s="5">
        <v>87.0</v>
      </c>
      <c r="L232" s="5">
        <v>-0.905552</v>
      </c>
      <c r="M232" s="5">
        <v>-0.269091</v>
      </c>
      <c r="N232" s="5">
        <v>-1.174642</v>
      </c>
      <c r="O232" s="5">
        <v>0.021176</v>
      </c>
    </row>
    <row r="233">
      <c r="A233" s="12" t="str">
        <f>IFERROR(__xludf.DUMMYFUNCTION("""COMPUTED_VALUE"""),"Dzanan Musa")</f>
        <v>Dzanan Musa</v>
      </c>
      <c r="B233" s="13" t="str">
        <f>IFERROR(__xludf.DUMMYFUNCTION("""COMPUTED_VALUE"""),"CED")</f>
        <v>CED</v>
      </c>
      <c r="C233" s="14">
        <f>IFERROR(__xludf.DUMMYFUNCTION("""COMPUTED_VALUE"""),322.6)</f>
        <v>322.6</v>
      </c>
      <c r="D233" s="15">
        <f>IFERROR(__xludf.DUMMYFUNCTION("""COMPUTED_VALUE"""),-0.24130394657420506)</f>
        <v>-0.2413039466</v>
      </c>
      <c r="E233" s="15">
        <f>IFERROR(__xludf.DUMMYFUNCTION("""COMPUTED_VALUE"""),-0.933787625061199)</f>
        <v>-0.9337876251</v>
      </c>
      <c r="F233" s="15">
        <f>IFERROR(__xludf.DUMMYFUNCTION("""COMPUTED_VALUE"""),-1.175091571635404)</f>
        <v>-1.175091572</v>
      </c>
      <c r="G233" s="17">
        <f>IFERROR(__xludf.DUMMYFUNCTION("""COMPUTED_VALUE"""),0.0804988335729359)</f>
        <v>0.08049883357</v>
      </c>
      <c r="H233" s="4"/>
      <c r="I233" s="5" t="s">
        <v>970</v>
      </c>
      <c r="J233" s="5" t="s">
        <v>928</v>
      </c>
      <c r="K233" s="24">
        <v>323.0</v>
      </c>
      <c r="L233" s="5">
        <v>-0.241304</v>
      </c>
      <c r="M233" s="5">
        <v>-0.933788</v>
      </c>
      <c r="N233" s="5">
        <v>-1.175092</v>
      </c>
      <c r="O233" s="5">
        <v>0.080499</v>
      </c>
    </row>
    <row r="234">
      <c r="A234" s="18" t="str">
        <f>IFERROR(__xludf.DUMMYFUNCTION("""COMPUTED_VALUE"""),"Okben Ulubay")</f>
        <v>Okben Ulubay</v>
      </c>
      <c r="B234" s="19" t="str">
        <f>IFERROR(__xludf.DUMMYFUNCTION("""COMPUTED_VALUE"""),"DBI")</f>
        <v>DBI</v>
      </c>
      <c r="C234" s="20">
        <f>IFERROR(__xludf.DUMMYFUNCTION("""COMPUTED_VALUE"""),254.1)</f>
        <v>254.1</v>
      </c>
      <c r="D234" s="21">
        <f>IFERROR(__xludf.DUMMYFUNCTION("""COMPUTED_VALUE"""),-2.4239720994292018)</f>
        <v>-2.423972099</v>
      </c>
      <c r="E234" s="21">
        <f>IFERROR(__xludf.DUMMYFUNCTION("""COMPUTED_VALUE"""),1.2162884225906774)</f>
        <v>1.216288423</v>
      </c>
      <c r="F234" s="21">
        <f>IFERROR(__xludf.DUMMYFUNCTION("""COMPUTED_VALUE"""),-1.2076836768385244)</f>
        <v>-1.207683677</v>
      </c>
      <c r="G234" s="23">
        <f>IFERROR(__xludf.DUMMYFUNCTION("""COMPUTED_VALUE"""),0.06068932829869652)</f>
        <v>0.0606893283</v>
      </c>
      <c r="H234" s="4"/>
      <c r="I234" s="5" t="s">
        <v>1965</v>
      </c>
      <c r="J234" s="5" t="s">
        <v>1884</v>
      </c>
      <c r="K234" s="5">
        <v>254.0</v>
      </c>
      <c r="L234" s="5">
        <v>-2.423972</v>
      </c>
      <c r="M234" s="5">
        <v>1.216288</v>
      </c>
      <c r="N234" s="5">
        <v>-1.207684</v>
      </c>
      <c r="O234" s="5">
        <v>0.060689</v>
      </c>
    </row>
    <row r="235">
      <c r="A235" s="12" t="str">
        <f>IFERROR(__xludf.DUMMYFUNCTION("""COMPUTED_VALUE"""),"Luke Harangody")</f>
        <v>Luke Harangody</v>
      </c>
      <c r="B235" s="13" t="str">
        <f>IFERROR(__xludf.DUMMYFUNCTION("""COMPUTED_VALUE"""),"RUL")</f>
        <v>RUL</v>
      </c>
      <c r="C235" s="14">
        <f>IFERROR(__xludf.DUMMYFUNCTION("""COMPUTED_VALUE"""),172.2)</f>
        <v>172.2</v>
      </c>
      <c r="D235" s="15">
        <f>IFERROR(__xludf.DUMMYFUNCTION("""COMPUTED_VALUE"""),0.8034440293254609)</f>
        <v>0.8034440293</v>
      </c>
      <c r="E235" s="15">
        <f>IFERROR(__xludf.DUMMYFUNCTION("""COMPUTED_VALUE"""),-2.018240070730132)</f>
        <v>-2.018240071</v>
      </c>
      <c r="F235" s="15">
        <f>IFERROR(__xludf.DUMMYFUNCTION("""COMPUTED_VALUE"""),-1.2147960414046712)</f>
        <v>-1.214796041</v>
      </c>
      <c r="G235" s="17">
        <f>IFERROR(__xludf.DUMMYFUNCTION("""COMPUTED_VALUE"""),0.04121908591766298)</f>
        <v>0.04121908592</v>
      </c>
      <c r="H235" s="4"/>
      <c r="I235" s="5" t="s">
        <v>881</v>
      </c>
      <c r="J235" s="5" t="s">
        <v>693</v>
      </c>
      <c r="K235" s="5">
        <v>172.0</v>
      </c>
      <c r="L235" s="5">
        <v>0.803444</v>
      </c>
      <c r="M235" s="5">
        <v>-2.01824</v>
      </c>
      <c r="N235" s="5">
        <v>-1.214796</v>
      </c>
      <c r="O235" s="5">
        <v>0.041219</v>
      </c>
    </row>
    <row r="236">
      <c r="A236" s="18" t="str">
        <f>IFERROR(__xludf.DUMMYFUNCTION("""COMPUTED_VALUE"""),"Ronald Roberts")</f>
        <v>Ronald Roberts</v>
      </c>
      <c r="B236" s="19" t="str">
        <f>IFERROR(__xludf.DUMMYFUNCTION("""COMPUTED_VALUE"""),"HAPJ")</f>
        <v>HAPJ</v>
      </c>
      <c r="C236" s="20">
        <f>IFERROR(__xludf.DUMMYFUNCTION("""COMPUTED_VALUE"""),82.2)</f>
        <v>82.2</v>
      </c>
      <c r="D236" s="21">
        <f>IFERROR(__xludf.DUMMYFUNCTION("""COMPUTED_VALUE"""),-0.9594357492543113)</f>
        <v>-0.9594357493</v>
      </c>
      <c r="E236" s="21">
        <f>IFERROR(__xludf.DUMMYFUNCTION("""COMPUTED_VALUE"""),-0.2683316587649571)</f>
        <v>-0.2683316588</v>
      </c>
      <c r="F236" s="21">
        <f>IFERROR(__xludf.DUMMYFUNCTION("""COMPUTED_VALUE"""),-1.2277674080192684)</f>
        <v>-1.227767408</v>
      </c>
      <c r="G236" s="23">
        <f>IFERROR(__xludf.DUMMYFUNCTION("""COMPUTED_VALUE"""),0.019359678040001844)</f>
        <v>0.01935967804</v>
      </c>
      <c r="H236" s="4"/>
      <c r="I236" s="5" t="s">
        <v>1571</v>
      </c>
      <c r="J236" s="5" t="s">
        <v>1572</v>
      </c>
      <c r="K236" s="5">
        <v>82.0</v>
      </c>
      <c r="L236" s="5">
        <v>-0.959436</v>
      </c>
      <c r="M236" s="5">
        <v>-0.268332</v>
      </c>
      <c r="N236" s="5">
        <v>-1.227767</v>
      </c>
      <c r="O236" s="5">
        <v>0.01936</v>
      </c>
    </row>
    <row r="237">
      <c r="A237" s="12" t="str">
        <f>IFERROR(__xludf.DUMMYFUNCTION("""COMPUTED_VALUE"""),"Nicolas Lang")</f>
        <v>Nicolas Lang</v>
      </c>
      <c r="B237" s="13" t="str">
        <f>IFERROR(__xludf.DUMMYFUNCTION("""COMPUTED_VALUE"""),"LYV")</f>
        <v>LYV</v>
      </c>
      <c r="C237" s="14">
        <f>IFERROR(__xludf.DUMMYFUNCTION("""COMPUTED_VALUE"""),165.9)</f>
        <v>165.9</v>
      </c>
      <c r="D237" s="15">
        <f>IFERROR(__xludf.DUMMYFUNCTION("""COMPUTED_VALUE"""),-0.15825086212512163)</f>
        <v>-0.1582508621</v>
      </c>
      <c r="E237" s="15">
        <f>IFERROR(__xludf.DUMMYFUNCTION("""COMPUTED_VALUE"""),-1.0744442211378136)</f>
        <v>-1.074444221</v>
      </c>
      <c r="F237" s="15">
        <f>IFERROR(__xludf.DUMMYFUNCTION("""COMPUTED_VALUE"""),-1.2326950832629353)</f>
        <v>-1.232695083</v>
      </c>
      <c r="G237" s="17">
        <f>IFERROR(__xludf.DUMMYFUNCTION("""COMPUTED_VALUE"""),0.039682741560264544)</f>
        <v>0.03968274156</v>
      </c>
      <c r="H237" s="4"/>
      <c r="I237" s="5" t="s">
        <v>1502</v>
      </c>
      <c r="J237" s="5" t="s">
        <v>1342</v>
      </c>
      <c r="K237" s="5">
        <v>166.0</v>
      </c>
      <c r="L237" s="5">
        <v>-0.158251</v>
      </c>
      <c r="M237" s="5">
        <v>-1.074444</v>
      </c>
      <c r="N237" s="5">
        <v>-1.232695</v>
      </c>
      <c r="O237" s="5">
        <v>0.039683</v>
      </c>
    </row>
    <row r="238">
      <c r="A238" s="18" t="str">
        <f>IFERROR(__xludf.DUMMYFUNCTION("""COMPUTED_VALUE"""),"Nemanja Gordic")</f>
        <v>Nemanja Gordic</v>
      </c>
      <c r="B238" s="19" t="str">
        <f>IFERROR(__xludf.DUMMYFUNCTION("""COMPUTED_VALUE"""),"BUD")</f>
        <v>BUD</v>
      </c>
      <c r="C238" s="20">
        <f>IFERROR(__xludf.DUMMYFUNCTION("""COMPUTED_VALUE"""),501.4)</f>
        <v>501.4</v>
      </c>
      <c r="D238" s="21">
        <f>IFERROR(__xludf.DUMMYFUNCTION("""COMPUTED_VALUE"""),-1.4510866660991337)</f>
        <v>-1.451086666</v>
      </c>
      <c r="E238" s="21">
        <f>IFERROR(__xludf.DUMMYFUNCTION("""COMPUTED_VALUE"""),0.20789103894957783)</f>
        <v>0.2078910389</v>
      </c>
      <c r="F238" s="21">
        <f>IFERROR(__xludf.DUMMYFUNCTION("""COMPUTED_VALUE"""),-1.243195627149556)</f>
        <v>-1.243195627</v>
      </c>
      <c r="G238" s="23">
        <f>IFERROR(__xludf.DUMMYFUNCTION("""COMPUTED_VALUE"""),0.11411101085809294)</f>
        <v>0.1141110109</v>
      </c>
      <c r="H238" s="4"/>
      <c r="I238" s="5" t="s">
        <v>955</v>
      </c>
      <c r="J238" s="5" t="s">
        <v>914</v>
      </c>
      <c r="K238" s="5">
        <v>501.0</v>
      </c>
      <c r="L238" s="5">
        <v>-1.451087</v>
      </c>
      <c r="M238" s="5">
        <v>0.207891</v>
      </c>
      <c r="N238" s="5">
        <v>-1.243196</v>
      </c>
      <c r="O238" s="5">
        <v>0.114111</v>
      </c>
    </row>
    <row r="239">
      <c r="A239" s="12" t="str">
        <f>IFERROR(__xludf.DUMMYFUNCTION("""COMPUTED_VALUE"""),"Dru Joyce")</f>
        <v>Dru Joyce</v>
      </c>
      <c r="B239" s="13" t="str">
        <f>IFERROR(__xludf.DUMMYFUNCTION("""COMPUTED_VALUE"""),"CSP")</f>
        <v>CSP</v>
      </c>
      <c r="C239" s="14">
        <f>IFERROR(__xludf.DUMMYFUNCTION("""COMPUTED_VALUE"""),247.6)</f>
        <v>247.6</v>
      </c>
      <c r="D239" s="15">
        <f>IFERROR(__xludf.DUMMYFUNCTION("""COMPUTED_VALUE"""),1.5925595523063467)</f>
        <v>1.592559552</v>
      </c>
      <c r="E239" s="15">
        <f>IFERROR(__xludf.DUMMYFUNCTION("""COMPUTED_VALUE"""),-2.8411033928851603)</f>
        <v>-2.841103393</v>
      </c>
      <c r="F239" s="15">
        <f>IFERROR(__xludf.DUMMYFUNCTION("""COMPUTED_VALUE"""),-1.2485438405788134)</f>
        <v>-1.248543841</v>
      </c>
      <c r="G239" s="17">
        <f>IFERROR(__xludf.DUMMYFUNCTION("""COMPUTED_VALUE"""),0.05672932151938941)</f>
        <v>0.05672932152</v>
      </c>
      <c r="H239" s="4"/>
      <c r="I239" s="5" t="s">
        <v>1622</v>
      </c>
      <c r="J239" s="5" t="s">
        <v>1327</v>
      </c>
      <c r="K239" s="24">
        <v>248.0</v>
      </c>
      <c r="L239" s="5">
        <v>1.59256</v>
      </c>
      <c r="M239" s="5">
        <v>-2.841103</v>
      </c>
      <c r="N239" s="5">
        <v>-1.248544</v>
      </c>
      <c r="O239" s="5">
        <v>0.056729</v>
      </c>
    </row>
    <row r="240">
      <c r="A240" s="18" t="str">
        <f>IFERROR(__xludf.DUMMYFUNCTION("""COMPUTED_VALUE"""),"Obrad Tomic")</f>
        <v>Obrad Tomic</v>
      </c>
      <c r="B240" s="19" t="str">
        <f>IFERROR(__xludf.DUMMYFUNCTION("""COMPUTED_VALUE"""),"PAR")</f>
        <v>PAR</v>
      </c>
      <c r="C240" s="20">
        <f>IFERROR(__xludf.DUMMYFUNCTION("""COMPUTED_VALUE"""),52.5)</f>
        <v>52.5</v>
      </c>
      <c r="D240" s="21">
        <f>IFERROR(__xludf.DUMMYFUNCTION("""COMPUTED_VALUE"""),-0.551541763068575)</f>
        <v>-0.5515417631</v>
      </c>
      <c r="E240" s="21">
        <f>IFERROR(__xludf.DUMMYFUNCTION("""COMPUTED_VALUE"""),-0.7604342390810834)</f>
        <v>-0.7604342391</v>
      </c>
      <c r="F240" s="21">
        <f>IFERROR(__xludf.DUMMYFUNCTION("""COMPUTED_VALUE"""),-1.3119760021496585)</f>
        <v>-1.311976002</v>
      </c>
      <c r="G240" s="23">
        <f>IFERROR(__xludf.DUMMYFUNCTION("""COMPUTED_VALUE"""),0.011014231368590328)</f>
        <v>0.01101423137</v>
      </c>
      <c r="H240" s="4"/>
      <c r="I240" s="5" t="s">
        <v>1257</v>
      </c>
      <c r="J240" s="5" t="s">
        <v>962</v>
      </c>
      <c r="K240" s="5">
        <v>53.0</v>
      </c>
      <c r="L240" s="5">
        <v>-0.551542</v>
      </c>
      <c r="M240" s="5">
        <v>-0.760434</v>
      </c>
      <c r="N240" s="5">
        <v>-1.311976</v>
      </c>
      <c r="O240" s="5">
        <v>0.011014</v>
      </c>
    </row>
    <row r="241">
      <c r="A241" s="12" t="str">
        <f>IFERROR(__xludf.DUMMYFUNCTION("""COMPUTED_VALUE"""),"A.J. English III")</f>
        <v>A.J. English III</v>
      </c>
      <c r="B241" s="13" t="str">
        <f>IFERROR(__xludf.DUMMYFUNCTION("""COMPUTED_VALUE"""),"CSP")</f>
        <v>CSP</v>
      </c>
      <c r="C241" s="14">
        <f>IFERROR(__xludf.DUMMYFUNCTION("""COMPUTED_VALUE"""),32.6)</f>
        <v>32.6</v>
      </c>
      <c r="D241" s="15">
        <f>IFERROR(__xludf.DUMMYFUNCTION("""COMPUTED_VALUE"""),-0.7024728431774709)</f>
        <v>-0.7024728432</v>
      </c>
      <c r="E241" s="15">
        <f>IFERROR(__xludf.DUMMYFUNCTION("""COMPUTED_VALUE"""),-0.6289538015750793)</f>
        <v>-0.6289538016</v>
      </c>
      <c r="F241" s="15">
        <f>IFERROR(__xludf.DUMMYFUNCTION("""COMPUTED_VALUE"""),-1.3314266447525502)</f>
        <v>-1.331426645</v>
      </c>
      <c r="G241" s="17">
        <f>IFERROR(__xludf.DUMMYFUNCTION("""COMPUTED_VALUE"""),0.006645382220860409)</f>
        <v>0.006645382221</v>
      </c>
      <c r="H241" s="4"/>
      <c r="I241" s="5" t="s">
        <v>1237</v>
      </c>
      <c r="J241" s="5" t="s">
        <v>1327</v>
      </c>
      <c r="K241" s="24">
        <v>33.0</v>
      </c>
      <c r="L241" s="5">
        <v>-0.702473</v>
      </c>
      <c r="M241" s="5">
        <v>-0.628954</v>
      </c>
      <c r="N241" s="5">
        <v>-1.331427</v>
      </c>
      <c r="O241" s="5">
        <v>0.006645</v>
      </c>
    </row>
    <row r="242">
      <c r="A242" s="18" t="str">
        <f>IFERROR(__xludf.DUMMYFUNCTION("""COMPUTED_VALUE"""),"Joshiko Saibou")</f>
        <v>Joshiko Saibou</v>
      </c>
      <c r="B242" s="19" t="str">
        <f>IFERROR(__xludf.DUMMYFUNCTION("""COMPUTED_VALUE"""),"BER")</f>
        <v>BER</v>
      </c>
      <c r="C242" s="20">
        <f>IFERROR(__xludf.DUMMYFUNCTION("""COMPUTED_VALUE"""),259.0)</f>
        <v>259</v>
      </c>
      <c r="D242" s="21">
        <f>IFERROR(__xludf.DUMMYFUNCTION("""COMPUTED_VALUE"""),-0.835572741133013)</f>
        <v>-0.8355727411</v>
      </c>
      <c r="E242" s="21">
        <f>IFERROR(__xludf.DUMMYFUNCTION("""COMPUTED_VALUE"""),-0.5257093412206412)</f>
        <v>-0.5257093412</v>
      </c>
      <c r="F242" s="21">
        <f>IFERROR(__xludf.DUMMYFUNCTION("""COMPUTED_VALUE"""),-1.3612820823536542)</f>
        <v>-1.361282082</v>
      </c>
      <c r="G242" s="23">
        <f>IFERROR(__xludf.DUMMYFUNCTION("""COMPUTED_VALUE"""),0.05023597374456819)</f>
        <v>0.05023597374</v>
      </c>
      <c r="H242" s="4"/>
      <c r="I242" s="5" t="s">
        <v>651</v>
      </c>
      <c r="J242" s="5" t="s">
        <v>634</v>
      </c>
      <c r="K242" s="5">
        <v>259.0</v>
      </c>
      <c r="L242" s="5">
        <v>-0.835573</v>
      </c>
      <c r="M242" s="5">
        <v>-0.525709</v>
      </c>
      <c r="N242" s="5">
        <v>-1.361282</v>
      </c>
      <c r="O242" s="5">
        <v>0.050236</v>
      </c>
    </row>
    <row r="243">
      <c r="A243" s="12" t="str">
        <f>IFERROR(__xludf.DUMMYFUNCTION("""COMPUTED_VALUE"""),"Nikola Radicevic")</f>
        <v>Nikola Radicevic</v>
      </c>
      <c r="B243" s="13" t="str">
        <f>IFERROR(__xludf.DUMMYFUNCTION("""COMPUTED_VALUE"""),"GCN")</f>
        <v>GCN</v>
      </c>
      <c r="C243" s="14">
        <f>IFERROR(__xludf.DUMMYFUNCTION("""COMPUTED_VALUE"""),84.4)</f>
        <v>84.4</v>
      </c>
      <c r="D243" s="15">
        <f>IFERROR(__xludf.DUMMYFUNCTION("""COMPUTED_VALUE"""),-0.8589870796502305)</f>
        <v>-0.8589870797</v>
      </c>
      <c r="E243" s="15">
        <f>IFERROR(__xludf.DUMMYFUNCTION("""COMPUTED_VALUE"""),-0.5276242096188984)</f>
        <v>-0.5276242096</v>
      </c>
      <c r="F243" s="15">
        <f>IFERROR(__xludf.DUMMYFUNCTION("""COMPUTED_VALUE"""),-1.386611289269129)</f>
        <v>-1.386611289</v>
      </c>
      <c r="G243" s="17">
        <f>IFERROR(__xludf.DUMMYFUNCTION("""COMPUTED_VALUE"""),0.015460584347530774)</f>
        <v>0.01546058435</v>
      </c>
      <c r="H243" s="4"/>
      <c r="I243" s="5" t="s">
        <v>503</v>
      </c>
      <c r="J243" s="5" t="s">
        <v>97</v>
      </c>
      <c r="K243" s="5">
        <v>84.0</v>
      </c>
      <c r="L243" s="5">
        <v>-0.858987</v>
      </c>
      <c r="M243" s="5">
        <v>-0.527624</v>
      </c>
      <c r="N243" s="5">
        <v>-1.386611</v>
      </c>
      <c r="O243" s="5">
        <v>0.015461</v>
      </c>
    </row>
    <row r="244">
      <c r="A244" s="18" t="str">
        <f>IFERROR(__xludf.DUMMYFUNCTION("""COMPUTED_VALUE"""),"David Walker")</f>
        <v>David Walker</v>
      </c>
      <c r="B244" s="19" t="str">
        <f>IFERROR(__xludf.DUMMYFUNCTION("""COMPUTED_VALUE"""),"AND")</f>
        <v>AND</v>
      </c>
      <c r="C244" s="20">
        <f>IFERROR(__xludf.DUMMYFUNCTION("""COMPUTED_VALUE"""),220.6)</f>
        <v>220.6</v>
      </c>
      <c r="D244" s="21">
        <f>IFERROR(__xludf.DUMMYFUNCTION("""COMPUTED_VALUE"""),-1.53318386487426)</f>
        <v>-1.533183865</v>
      </c>
      <c r="E244" s="21">
        <f>IFERROR(__xludf.DUMMYFUNCTION("""COMPUTED_VALUE"""),0.11618726491408138)</f>
        <v>0.1161872649</v>
      </c>
      <c r="F244" s="21">
        <f>IFERROR(__xludf.DUMMYFUNCTION("""COMPUTED_VALUE"""),-1.4169965999601786)</f>
        <v>-1.4169966</v>
      </c>
      <c r="G244" s="23">
        <f>IFERROR(__xludf.DUMMYFUNCTION("""COMPUTED_VALUE"""),0.039212494176167526)</f>
        <v>0.03921249418</v>
      </c>
      <c r="H244" s="4"/>
      <c r="I244" s="5" t="s">
        <v>208</v>
      </c>
      <c r="J244" s="5" t="s">
        <v>89</v>
      </c>
      <c r="K244" s="5">
        <v>221.0</v>
      </c>
      <c r="L244" s="5">
        <v>-1.533184</v>
      </c>
      <c r="M244" s="5">
        <v>0.116187</v>
      </c>
      <c r="N244" s="5">
        <v>-1.416997</v>
      </c>
      <c r="O244" s="5">
        <v>0.039212</v>
      </c>
    </row>
    <row r="245">
      <c r="A245" s="12" t="str">
        <f>IFERROR(__xludf.DUMMYFUNCTION("""COMPUTED_VALUE"""),"Will Cherry")</f>
        <v>Will Cherry</v>
      </c>
      <c r="B245" s="13" t="str">
        <f>IFERROR(__xludf.DUMMYFUNCTION("""COMPUTED_VALUE"""),"CED")</f>
        <v>CED</v>
      </c>
      <c r="C245" s="14">
        <f>IFERROR(__xludf.DUMMYFUNCTION("""COMPUTED_VALUE"""),403.5)</f>
        <v>403.5</v>
      </c>
      <c r="D245" s="15">
        <f>IFERROR(__xludf.DUMMYFUNCTION("""COMPUTED_VALUE"""),-1.1492125692596806)</f>
        <v>-1.149212569</v>
      </c>
      <c r="E245" s="15">
        <f>IFERROR(__xludf.DUMMYFUNCTION("""COMPUTED_VALUE"""),-0.270026174624455)</f>
        <v>-0.2700261746</v>
      </c>
      <c r="F245" s="15">
        <f>IFERROR(__xludf.DUMMYFUNCTION("""COMPUTED_VALUE"""),-1.4192387438841356)</f>
        <v>-1.419238744</v>
      </c>
      <c r="G245" s="17">
        <f>IFERROR(__xludf.DUMMYFUNCTION("""COMPUTED_VALUE"""),0.07088603069206563)</f>
        <v>0.07088603069</v>
      </c>
      <c r="H245" s="4"/>
      <c r="I245" s="5" t="s">
        <v>943</v>
      </c>
      <c r="J245" s="5" t="s">
        <v>928</v>
      </c>
      <c r="K245" s="5">
        <v>404.0</v>
      </c>
      <c r="L245" s="5">
        <v>-1.149213</v>
      </c>
      <c r="M245" s="5">
        <v>-0.270026</v>
      </c>
      <c r="N245" s="5">
        <v>-1.419239</v>
      </c>
      <c r="O245" s="5">
        <v>0.070886</v>
      </c>
    </row>
    <row r="246">
      <c r="A246" s="18" t="str">
        <f>IFERROR(__xludf.DUMMYFUNCTION("""COMPUTED_VALUE"""),"Leonardo Candi")</f>
        <v>Leonardo Candi</v>
      </c>
      <c r="B246" s="19" t="str">
        <f>IFERROR(__xludf.DUMMYFUNCTION("""COMPUTED_VALUE"""),"REG")</f>
        <v>REG</v>
      </c>
      <c r="C246" s="20">
        <f>IFERROR(__xludf.DUMMYFUNCTION("""COMPUTED_VALUE"""),381.2)</f>
        <v>381.2</v>
      </c>
      <c r="D246" s="21">
        <f>IFERROR(__xludf.DUMMYFUNCTION("""COMPUTED_VALUE"""),-2.6000492705145026)</f>
        <v>-2.600049271</v>
      </c>
      <c r="E246" s="21">
        <f>IFERROR(__xludf.DUMMYFUNCTION("""COMPUTED_VALUE"""),1.1762256833818665)</f>
        <v>1.176225683</v>
      </c>
      <c r="F246" s="21">
        <f>IFERROR(__xludf.DUMMYFUNCTION("""COMPUTED_VALUE"""),-1.4238235871326361)</f>
        <v>-1.423823587</v>
      </c>
      <c r="G246" s="23">
        <f>IFERROR(__xludf.DUMMYFUNCTION("""COMPUTED_VALUE"""),0.06656828679861698)</f>
        <v>0.0665682868</v>
      </c>
      <c r="H246" s="4"/>
      <c r="I246" s="5" t="s">
        <v>2375</v>
      </c>
      <c r="J246" s="5" t="s">
        <v>2135</v>
      </c>
      <c r="K246" s="5">
        <v>381.0</v>
      </c>
      <c r="L246" s="5">
        <v>-2.600049</v>
      </c>
      <c r="M246" s="5">
        <v>1.176226</v>
      </c>
      <c r="N246" s="5">
        <v>-1.423824</v>
      </c>
      <c r="O246" s="5">
        <v>0.066568</v>
      </c>
    </row>
    <row r="247">
      <c r="A247" s="12" t="str">
        <f>IFERROR(__xludf.DUMMYFUNCTION("""COMPUTED_VALUE"""),"Evgeny Kolesnikov")</f>
        <v>Evgeny Kolesnikov</v>
      </c>
      <c r="B247" s="13" t="str">
        <f>IFERROR(__xludf.DUMMYFUNCTION("""COMPUTED_VALUE"""),"UNI")</f>
        <v>UNI</v>
      </c>
      <c r="C247" s="14">
        <f>IFERROR(__xludf.DUMMYFUNCTION("""COMPUTED_VALUE"""),138.8)</f>
        <v>138.8</v>
      </c>
      <c r="D247" s="15">
        <f>IFERROR(__xludf.DUMMYFUNCTION("""COMPUTED_VALUE"""),-0.7266983289794717)</f>
        <v>-0.726698329</v>
      </c>
      <c r="E247" s="15">
        <f>IFERROR(__xludf.DUMMYFUNCTION("""COMPUTED_VALUE"""),-0.6973270239490503)</f>
        <v>-0.6973270239</v>
      </c>
      <c r="F247" s="15">
        <f>IFERROR(__xludf.DUMMYFUNCTION("""COMPUTED_VALUE"""),-1.424025352928522)</f>
        <v>-1.424025353</v>
      </c>
      <c r="G247" s="17">
        <f>IFERROR(__xludf.DUMMYFUNCTION("""COMPUTED_VALUE"""),0.024057021527667116)</f>
        <v>0.02405702153</v>
      </c>
      <c r="H247" s="4"/>
      <c r="I247" s="5" t="s">
        <v>2808</v>
      </c>
      <c r="J247" s="5" t="s">
        <v>22</v>
      </c>
      <c r="K247" s="5">
        <v>139.0</v>
      </c>
      <c r="L247" s="5">
        <v>-0.726698</v>
      </c>
      <c r="M247" s="5">
        <v>-0.697327</v>
      </c>
      <c r="N247" s="5">
        <v>-1.424025</v>
      </c>
      <c r="O247" s="5">
        <v>0.024057</v>
      </c>
    </row>
    <row r="248">
      <c r="A248" s="18" t="str">
        <f>IFERROR(__xludf.DUMMYFUNCTION("""COMPUTED_VALUE"""),"Devin Thomas")</f>
        <v>Devin Thomas</v>
      </c>
      <c r="B248" s="19" t="str">
        <f>IFERROR(__xludf.DUMMYFUNCTION("""COMPUTED_VALUE"""),"BBB")</f>
        <v>BBB</v>
      </c>
      <c r="C248" s="20">
        <f>IFERROR(__xludf.DUMMYFUNCTION("""COMPUTED_VALUE"""),52.4)</f>
        <v>52.4</v>
      </c>
      <c r="D248" s="21">
        <f>IFERROR(__xludf.DUMMYFUNCTION("""COMPUTED_VALUE"""),-0.6344188199640046)</f>
        <v>-0.63441882</v>
      </c>
      <c r="E248" s="21">
        <f>IFERROR(__xludf.DUMMYFUNCTION("""COMPUTED_VALUE"""),-0.7930207958724007)</f>
        <v>-0.7930207959</v>
      </c>
      <c r="F248" s="21">
        <f>IFERROR(__xludf.DUMMYFUNCTION("""COMPUTED_VALUE"""),-1.4274396158364053)</f>
        <v>-1.427439616</v>
      </c>
      <c r="G248" s="23">
        <f>IFERROR(__xludf.DUMMYFUNCTION("""COMPUTED_VALUE"""),0.00914654393200229)</f>
        <v>0.009146543932</v>
      </c>
      <c r="H248" s="4"/>
      <c r="I248" s="5" t="s">
        <v>112</v>
      </c>
      <c r="J248" s="5" t="s">
        <v>113</v>
      </c>
      <c r="K248" s="5">
        <v>52.0</v>
      </c>
      <c r="L248" s="5">
        <v>-0.634419</v>
      </c>
      <c r="M248" s="5">
        <v>-0.793021</v>
      </c>
      <c r="N248" s="5">
        <v>-1.42744</v>
      </c>
      <c r="O248" s="5">
        <v>0.009147</v>
      </c>
    </row>
    <row r="249">
      <c r="A249" s="12" t="str">
        <f>IFERROR(__xludf.DUMMYFUNCTION("""COMPUTED_VALUE"""),"Frejus Zerbo")</f>
        <v>Frejus Zerbo</v>
      </c>
      <c r="B249" s="13" t="str">
        <f>IFERROR(__xludf.DUMMYFUNCTION("""COMPUTED_VALUE"""),"CSP")</f>
        <v>CSP</v>
      </c>
      <c r="C249" s="14">
        <f>IFERROR(__xludf.DUMMYFUNCTION("""COMPUTED_VALUE"""),32.7)</f>
        <v>32.7</v>
      </c>
      <c r="D249" s="15">
        <f>IFERROR(__xludf.DUMMYFUNCTION("""COMPUTED_VALUE"""),-1.05932817944171)</f>
        <v>-1.059328179</v>
      </c>
      <c r="E249" s="15">
        <f>IFERROR(__xludf.DUMMYFUNCTION("""COMPUTED_VALUE"""),-0.37675408820675216)</f>
        <v>-0.3767540882</v>
      </c>
      <c r="F249" s="15">
        <f>IFERROR(__xludf.DUMMYFUNCTION("""COMPUTED_VALUE"""),-1.4360822676484621)</f>
        <v>-1.436082268</v>
      </c>
      <c r="G249" s="17">
        <f>IFERROR(__xludf.DUMMYFUNCTION("""COMPUTED_VALUE"""),0.005622336105730781)</f>
        <v>0.005622336106</v>
      </c>
      <c r="H249" s="4"/>
      <c r="I249" s="5" t="s">
        <v>1581</v>
      </c>
      <c r="J249" s="5" t="s">
        <v>1327</v>
      </c>
      <c r="K249" s="5">
        <v>33.0</v>
      </c>
      <c r="L249" s="5">
        <v>-1.059328</v>
      </c>
      <c r="M249" s="5">
        <v>-0.376754</v>
      </c>
      <c r="N249" s="5">
        <v>-1.436082</v>
      </c>
      <c r="O249" s="5">
        <v>0.005622</v>
      </c>
    </row>
    <row r="250">
      <c r="A250" s="18" t="str">
        <f>IFERROR(__xludf.DUMMYFUNCTION("""COMPUTED_VALUE"""),"Dan Nwaelele")</f>
        <v>Dan Nwaelele</v>
      </c>
      <c r="B250" s="19" t="str">
        <f>IFERROR(__xludf.DUMMYFUNCTION("""COMPUTED_VALUE"""),"PLV")</f>
        <v>PLV</v>
      </c>
      <c r="C250" s="20">
        <f>IFERROR(__xludf.DUMMYFUNCTION("""COMPUTED_VALUE"""),68.8)</f>
        <v>68.8</v>
      </c>
      <c r="D250" s="21">
        <f>IFERROR(__xludf.DUMMYFUNCTION("""COMPUTED_VALUE"""),-0.8116568115479627)</f>
        <v>-0.8116568115</v>
      </c>
      <c r="E250" s="21">
        <f>IFERROR(__xludf.DUMMYFUNCTION("""COMPUTED_VALUE"""),-0.6684181374504613)</f>
        <v>-0.6684181375</v>
      </c>
      <c r="F250" s="21">
        <f>IFERROR(__xludf.DUMMYFUNCTION("""COMPUTED_VALUE"""),-1.480074948998424)</f>
        <v>-1.480074949</v>
      </c>
      <c r="G250" s="23">
        <f>IFERROR(__xludf.DUMMYFUNCTION("""COMPUTED_VALUE"""),0.010906835655793758)</f>
        <v>0.01090683566</v>
      </c>
      <c r="H250" s="4"/>
      <c r="I250" s="5" t="s">
        <v>1576</v>
      </c>
      <c r="J250" s="5" t="s">
        <v>1355</v>
      </c>
      <c r="K250" s="5">
        <v>69.0</v>
      </c>
      <c r="L250" s="5">
        <v>-0.811657</v>
      </c>
      <c r="M250" s="5">
        <v>-0.668418</v>
      </c>
      <c r="N250" s="5">
        <v>-1.480075</v>
      </c>
      <c r="O250" s="5">
        <v>0.010907</v>
      </c>
    </row>
    <row r="251">
      <c r="A251" s="12" t="str">
        <f>IFERROR(__xludf.DUMMYFUNCTION("""COMPUTED_VALUE"""),"Quinton Stephens")</f>
        <v>Quinton Stephens</v>
      </c>
      <c r="B251" s="13" t="str">
        <f>IFERROR(__xludf.DUMMYFUNCTION("""COMPUTED_VALUE"""),"TOR")</f>
        <v>TOR</v>
      </c>
      <c r="C251" s="14">
        <f>IFERROR(__xludf.DUMMYFUNCTION("""COMPUTED_VALUE"""),30.8)</f>
        <v>30.8</v>
      </c>
      <c r="D251" s="15">
        <f>IFERROR(__xludf.DUMMYFUNCTION("""COMPUTED_VALUE"""),-0.8428809501775746)</f>
        <v>-0.8428809502</v>
      </c>
      <c r="E251" s="15">
        <f>IFERROR(__xludf.DUMMYFUNCTION("""COMPUTED_VALUE"""),-0.6390197403004271)</f>
        <v>-0.6390197403</v>
      </c>
      <c r="F251" s="15">
        <f>IFERROR(__xludf.DUMMYFUNCTION("""COMPUTED_VALUE"""),-1.4819006904780017)</f>
        <v>-1.48190069</v>
      </c>
      <c r="G251" s="17">
        <f>IFERROR(__xludf.DUMMYFUNCTION("""COMPUTED_VALUE"""),0.004865382968532347)</f>
        <v>0.004865382969</v>
      </c>
      <c r="H251" s="4"/>
      <c r="I251" s="5" t="s">
        <v>2311</v>
      </c>
      <c r="J251" s="5" t="s">
        <v>2140</v>
      </c>
      <c r="K251" s="24">
        <v>31.0</v>
      </c>
      <c r="L251" s="5">
        <v>-0.842881</v>
      </c>
      <c r="M251" s="5">
        <v>-0.63902</v>
      </c>
      <c r="N251" s="5">
        <v>-1.481901</v>
      </c>
      <c r="O251" s="5">
        <v>0.004865</v>
      </c>
    </row>
    <row r="252">
      <c r="A252" s="18" t="str">
        <f>IFERROR(__xludf.DUMMYFUNCTION("""COMPUTED_VALUE"""),"Tarence Kinsey")</f>
        <v>Tarence Kinsey</v>
      </c>
      <c r="B252" s="19" t="str">
        <f>IFERROR(__xludf.DUMMYFUNCTION("""COMPUTED_VALUE"""),"HAPJ")</f>
        <v>HAPJ</v>
      </c>
      <c r="C252" s="20">
        <f>IFERROR(__xludf.DUMMYFUNCTION("""COMPUTED_VALUE"""),159.8)</f>
        <v>159.8</v>
      </c>
      <c r="D252" s="21">
        <f>IFERROR(__xludf.DUMMYFUNCTION("""COMPUTED_VALUE"""),-1.3825934217760012)</f>
        <v>-1.382593422</v>
      </c>
      <c r="E252" s="21">
        <f>IFERROR(__xludf.DUMMYFUNCTION("""COMPUTED_VALUE"""),-0.12818330846862458)</f>
        <v>-0.1281833085</v>
      </c>
      <c r="F252" s="21">
        <f>IFERROR(__xludf.DUMMYFUNCTION("""COMPUTED_VALUE"""),-1.5107767302446258)</f>
        <v>-1.51077673</v>
      </c>
      <c r="G252" s="23">
        <f>IFERROR(__xludf.DUMMYFUNCTION("""COMPUTED_VALUE"""),0.023843064129429683)</f>
        <v>0.02384306413</v>
      </c>
      <c r="H252" s="4"/>
      <c r="I252" s="5" t="s">
        <v>1697</v>
      </c>
      <c r="J252" s="5" t="s">
        <v>1572</v>
      </c>
      <c r="K252" s="5">
        <v>160.0</v>
      </c>
      <c r="L252" s="5">
        <v>-1.382593</v>
      </c>
      <c r="M252" s="5">
        <v>-0.128183</v>
      </c>
      <c r="N252" s="5">
        <v>-1.510777</v>
      </c>
      <c r="O252" s="5">
        <v>0.023843</v>
      </c>
    </row>
    <row r="253">
      <c r="A253" s="12" t="str">
        <f>IFERROR(__xludf.DUMMYFUNCTION("""COMPUTED_VALUE"""),"Filippo Baldi")</f>
        <v>Filippo Baldi</v>
      </c>
      <c r="B253" s="13" t="str">
        <f>IFERROR(__xludf.DUMMYFUNCTION("""COMPUTED_VALUE"""),"TREN")</f>
        <v>TREN</v>
      </c>
      <c r="C253" s="14">
        <f>IFERROR(__xludf.DUMMYFUNCTION("""COMPUTED_VALUE"""),67.6)</f>
        <v>67.6</v>
      </c>
      <c r="D253" s="15">
        <f>IFERROR(__xludf.DUMMYFUNCTION("""COMPUTED_VALUE"""),-0.8157865140542588)</f>
        <v>-0.8157865141</v>
      </c>
      <c r="E253" s="15">
        <f>IFERROR(__xludf.DUMMYFUNCTION("""COMPUTED_VALUE"""),-0.7745348123268039)</f>
        <v>-0.7745348123</v>
      </c>
      <c r="F253" s="15">
        <f>IFERROR(__xludf.DUMMYFUNCTION("""COMPUTED_VALUE"""),-1.5903213263810627)</f>
        <v>-1.590321326</v>
      </c>
      <c r="G253" s="17">
        <f>IFERROR(__xludf.DUMMYFUNCTION("""COMPUTED_VALUE"""),0.008312712098362452)</f>
        <v>0.008312712098</v>
      </c>
      <c r="H253" s="4"/>
      <c r="I253" s="5" t="s">
        <v>2182</v>
      </c>
      <c r="J253" s="5" t="s">
        <v>2143</v>
      </c>
      <c r="K253" s="5">
        <v>68.0</v>
      </c>
      <c r="L253" s="5">
        <v>-0.815787</v>
      </c>
      <c r="M253" s="5">
        <v>-0.774535</v>
      </c>
      <c r="N253" s="5">
        <v>-1.590321</v>
      </c>
      <c r="O253" s="5">
        <v>0.008313</v>
      </c>
    </row>
    <row r="254">
      <c r="A254" s="18" t="str">
        <f>IFERROR(__xludf.DUMMYFUNCTION("""COMPUTED_VALUE"""),"Kenny Hayes")</f>
        <v>Kenny Hayes</v>
      </c>
      <c r="B254" s="19" t="str">
        <f>IFERROR(__xludf.DUMMYFUNCTION("""COMPUTED_VALUE"""),"CSP")</f>
        <v>CSP</v>
      </c>
      <c r="C254" s="20">
        <f>IFERROR(__xludf.DUMMYFUNCTION("""COMPUTED_VALUE"""),396.4)</f>
        <v>396.4</v>
      </c>
      <c r="D254" s="21">
        <f>IFERROR(__xludf.DUMMYFUNCTION("""COMPUTED_VALUE"""),0.892557312382735)</f>
        <v>0.8925573124</v>
      </c>
      <c r="E254" s="21">
        <f>IFERROR(__xludf.DUMMYFUNCTION("""COMPUTED_VALUE"""),-2.5325048590945176)</f>
        <v>-2.532504859</v>
      </c>
      <c r="F254" s="21">
        <f>IFERROR(__xludf.DUMMYFUNCTION("""COMPUTED_VALUE"""),-1.6399475467117828)</f>
        <v>-1.639947547</v>
      </c>
      <c r="G254" s="23">
        <f>IFERROR(__xludf.DUMMYFUNCTION("""COMPUTED_VALUE"""),0.043516376018455205)</f>
        <v>0.04351637602</v>
      </c>
      <c r="H254" s="4"/>
      <c r="I254" s="5" t="s">
        <v>1385</v>
      </c>
      <c r="J254" s="5" t="s">
        <v>1327</v>
      </c>
      <c r="K254" s="24">
        <v>396.0</v>
      </c>
      <c r="L254" s="5">
        <v>0.892557</v>
      </c>
      <c r="M254" s="5">
        <v>-2.532505</v>
      </c>
      <c r="N254" s="5">
        <v>-1.639948</v>
      </c>
      <c r="O254" s="5">
        <v>0.043516</v>
      </c>
    </row>
    <row r="255">
      <c r="A255" s="12" t="str">
        <f>IFERROR(__xludf.DUMMYFUNCTION("""COMPUTED_VALUE"""),"Andrei Koscheev")</f>
        <v>Andrei Koscheev</v>
      </c>
      <c r="B255" s="13" t="str">
        <f>IFERROR(__xludf.DUMMYFUNCTION("""COMPUTED_VALUE"""),"UNI")</f>
        <v>UNI</v>
      </c>
      <c r="C255" s="14">
        <f>IFERROR(__xludf.DUMMYFUNCTION("""COMPUTED_VALUE"""),62.1)</f>
        <v>62.1</v>
      </c>
      <c r="D255" s="15">
        <f>IFERROR(__xludf.DUMMYFUNCTION("""COMPUTED_VALUE"""),-1.6356720247606213)</f>
        <v>-1.635672025</v>
      </c>
      <c r="E255" s="15">
        <f>IFERROR(__xludf.DUMMYFUNCTION("""COMPUTED_VALUE"""),-0.009192903789066342)</f>
        <v>-0.009192903789</v>
      </c>
      <c r="F255" s="15">
        <f>IFERROR(__xludf.DUMMYFUNCTION("""COMPUTED_VALUE"""),-1.6448649285496877)</f>
        <v>-1.644864929</v>
      </c>
      <c r="G255" s="17">
        <f>IFERROR(__xludf.DUMMYFUNCTION("""COMPUTED_VALUE"""),0.006636424941466955)</f>
        <v>0.006636424941</v>
      </c>
      <c r="H255" s="4"/>
      <c r="I255" s="5" t="s">
        <v>2868</v>
      </c>
      <c r="J255" s="5" t="s">
        <v>22</v>
      </c>
      <c r="K255" s="5">
        <v>62.0</v>
      </c>
      <c r="L255" s="5">
        <v>-1.635672</v>
      </c>
      <c r="M255" s="5">
        <v>-0.009193</v>
      </c>
      <c r="N255" s="5">
        <v>-1.644865</v>
      </c>
      <c r="O255" s="5">
        <v>0.006636</v>
      </c>
    </row>
    <row r="256">
      <c r="A256" s="18" t="str">
        <f>IFERROR(__xludf.DUMMYFUNCTION("""COMPUTED_VALUE"""),"Javi Salgado")</f>
        <v>Javi Salgado</v>
      </c>
      <c r="B256" s="19" t="str">
        <f>IFERROR(__xludf.DUMMYFUNCTION("""COMPUTED_VALUE"""),"BBB")</f>
        <v>BBB</v>
      </c>
      <c r="C256" s="20">
        <f>IFERROR(__xludf.DUMMYFUNCTION("""COMPUTED_VALUE"""),89.7)</f>
        <v>89.7</v>
      </c>
      <c r="D256" s="21">
        <f>IFERROR(__xludf.DUMMYFUNCTION("""COMPUTED_VALUE"""),0.5238533932392183)</f>
        <v>0.5238533932</v>
      </c>
      <c r="E256" s="21">
        <f>IFERROR(__xludf.DUMMYFUNCTION("""COMPUTED_VALUE"""),-2.1777781210444833)</f>
        <v>-2.177778121</v>
      </c>
      <c r="F256" s="21">
        <f>IFERROR(__xludf.DUMMYFUNCTION("""COMPUTED_VALUE"""),-1.6539247278052651)</f>
        <v>-1.653924728</v>
      </c>
      <c r="G256" s="23">
        <f>IFERROR(__xludf.DUMMYFUNCTION("""COMPUTED_VALUE"""),0.009463841416425435)</f>
        <v>0.009463841416</v>
      </c>
      <c r="H256" s="4"/>
      <c r="I256" s="5" t="s">
        <v>620</v>
      </c>
      <c r="J256" s="5" t="s">
        <v>113</v>
      </c>
      <c r="K256" s="5">
        <v>90.0</v>
      </c>
      <c r="L256" s="5">
        <v>0.523853</v>
      </c>
      <c r="M256" s="5">
        <v>-2.177778</v>
      </c>
      <c r="N256" s="5">
        <v>-1.653925</v>
      </c>
      <c r="O256" s="5">
        <v>0.009464</v>
      </c>
    </row>
    <row r="257">
      <c r="A257" s="12" t="str">
        <f>IFERROR(__xludf.DUMMYFUNCTION("""COMPUTED_VALUE"""),"Danilo Andjusic")</f>
        <v>Danilo Andjusic</v>
      </c>
      <c r="B257" s="13" t="str">
        <f>IFERROR(__xludf.DUMMYFUNCTION("""COMPUTED_VALUE"""),"UNI")</f>
        <v>UNI</v>
      </c>
      <c r="C257" s="14">
        <f>IFERROR(__xludf.DUMMYFUNCTION("""COMPUTED_VALUE"""),149.0)</f>
        <v>149</v>
      </c>
      <c r="D257" s="15">
        <f>IFERROR(__xludf.DUMMYFUNCTION("""COMPUTED_VALUE"""),-1.1565686058929896)</f>
        <v>-1.156568606</v>
      </c>
      <c r="E257" s="15">
        <f>IFERROR(__xludf.DUMMYFUNCTION("""COMPUTED_VALUE"""),-0.5157671919748776)</f>
        <v>-0.515767192</v>
      </c>
      <c r="F257" s="15">
        <f>IFERROR(__xludf.DUMMYFUNCTION("""COMPUTED_VALUE"""),-1.6723357978678672)</f>
        <v>-1.672335798</v>
      </c>
      <c r="G257" s="17">
        <f>IFERROR(__xludf.DUMMYFUNCTION("""COMPUTED_VALUE"""),0.014691437380995691)</f>
        <v>0.01469143738</v>
      </c>
      <c r="H257" s="4"/>
      <c r="I257" s="5" t="s">
        <v>2897</v>
      </c>
      <c r="J257" s="5" t="s">
        <v>22</v>
      </c>
      <c r="K257" s="5">
        <v>149.0</v>
      </c>
      <c r="L257" s="5">
        <v>-1.156569</v>
      </c>
      <c r="M257" s="5">
        <v>-0.515767</v>
      </c>
      <c r="N257" s="5">
        <v>-1.672336</v>
      </c>
      <c r="O257" s="5">
        <v>0.014691</v>
      </c>
    </row>
    <row r="258">
      <c r="A258" s="18" t="str">
        <f>IFERROR(__xludf.DUMMYFUNCTION("""COMPUTED_VALUE"""),"Martynas Echodas")</f>
        <v>Martynas Echodas</v>
      </c>
      <c r="B258" s="19" t="str">
        <f>IFERROR(__xludf.DUMMYFUNCTION("""COMPUTED_VALUE"""),"LIE")</f>
        <v>LIE</v>
      </c>
      <c r="C258" s="20">
        <f>IFERROR(__xludf.DUMMYFUNCTION("""COMPUTED_VALUE"""),261.3)</f>
        <v>261.3</v>
      </c>
      <c r="D258" s="21">
        <f>IFERROR(__xludf.DUMMYFUNCTION("""COMPUTED_VALUE"""),-0.4313688168689876)</f>
        <v>-0.4313688169</v>
      </c>
      <c r="E258" s="21">
        <f>IFERROR(__xludf.DUMMYFUNCTION("""COMPUTED_VALUE"""),-1.2443870529367924)</f>
        <v>-1.244387053</v>
      </c>
      <c r="F258" s="21">
        <f>IFERROR(__xludf.DUMMYFUNCTION("""COMPUTED_VALUE"""),-1.67575586980578)</f>
        <v>-1.67575587</v>
      </c>
      <c r="G258" s="23">
        <f>IFERROR(__xludf.DUMMYFUNCTION("""COMPUTED_VALUE"""),0.025629756602669067)</f>
        <v>0.0256297566</v>
      </c>
      <c r="H258" s="4"/>
      <c r="I258" s="5" t="s">
        <v>2366</v>
      </c>
      <c r="J258" s="5" t="s">
        <v>2352</v>
      </c>
      <c r="K258" s="5">
        <v>261.0</v>
      </c>
      <c r="L258" s="5">
        <v>-0.431369</v>
      </c>
      <c r="M258" s="5">
        <v>-1.244387</v>
      </c>
      <c r="N258" s="5">
        <v>-1.675756</v>
      </c>
      <c r="O258" s="5">
        <v>0.02563</v>
      </c>
    </row>
    <row r="259">
      <c r="A259" s="12" t="str">
        <f>IFERROR(__xludf.DUMMYFUNCTION("""COMPUTED_VALUE"""),"Florent Pietrus")</f>
        <v>Florent Pietrus</v>
      </c>
      <c r="B259" s="13" t="str">
        <f>IFERROR(__xludf.DUMMYFUNCTION("""COMPUTED_VALUE"""),"PLV")</f>
        <v>PLV</v>
      </c>
      <c r="C259" s="14">
        <f>IFERROR(__xludf.DUMMYFUNCTION("""COMPUTED_VALUE"""),58.1)</f>
        <v>58.1</v>
      </c>
      <c r="D259" s="15">
        <f>IFERROR(__xludf.DUMMYFUNCTION("""COMPUTED_VALUE"""),-1.2531275071533918)</f>
        <v>-1.253127507</v>
      </c>
      <c r="E259" s="15">
        <f>IFERROR(__xludf.DUMMYFUNCTION("""COMPUTED_VALUE"""),-0.4320043606463442)</f>
        <v>-0.4320043606</v>
      </c>
      <c r="F259" s="15">
        <f>IFERROR(__xludf.DUMMYFUNCTION("""COMPUTED_VALUE"""),-1.685131867799736)</f>
        <v>-1.685131868</v>
      </c>
      <c r="G259" s="17">
        <f>IFERROR(__xludf.DUMMYFUNCTION("""COMPUTED_VALUE"""),0.00557794757550003)</f>
        <v>0.005577947576</v>
      </c>
      <c r="H259" s="4"/>
      <c r="I259" s="5" t="s">
        <v>1403</v>
      </c>
      <c r="J259" s="5" t="s">
        <v>1355</v>
      </c>
      <c r="K259" s="5">
        <v>58.0</v>
      </c>
      <c r="L259" s="5">
        <v>-1.253128</v>
      </c>
      <c r="M259" s="5">
        <v>-0.432004</v>
      </c>
      <c r="N259" s="5">
        <v>-1.685132</v>
      </c>
      <c r="O259" s="5">
        <v>0.005578</v>
      </c>
    </row>
    <row r="260">
      <c r="A260" s="18" t="str">
        <f>IFERROR(__xludf.DUMMYFUNCTION("""COMPUTED_VALUE"""),"Artem Vikhrov")</f>
        <v>Artem Vikhrov</v>
      </c>
      <c r="B260" s="19" t="str">
        <f>IFERROR(__xludf.DUMMYFUNCTION("""COMPUTED_VALUE"""),"ZEN")</f>
        <v>ZEN</v>
      </c>
      <c r="C260" s="20">
        <f>IFERROR(__xludf.DUMMYFUNCTION("""COMPUTED_VALUE"""),116.3)</f>
        <v>116.3</v>
      </c>
      <c r="D260" s="21">
        <f>IFERROR(__xludf.DUMMYFUNCTION("""COMPUTED_VALUE"""),-1.4699526587119691)</f>
        <v>-1.469952659</v>
      </c>
      <c r="E260" s="21">
        <f>IFERROR(__xludf.DUMMYFUNCTION("""COMPUTED_VALUE"""),-0.24555368621572082)</f>
        <v>-0.2455536862</v>
      </c>
      <c r="F260" s="21">
        <f>IFERROR(__xludf.DUMMYFUNCTION("""COMPUTED_VALUE"""),-1.71550634492769)</f>
        <v>-1.715506345</v>
      </c>
      <c r="G260" s="23">
        <f>IFERROR(__xludf.DUMMYFUNCTION("""COMPUTED_VALUE"""),0.010087381733204163)</f>
        <v>0.01008738173</v>
      </c>
      <c r="H260" s="4"/>
      <c r="I260" s="5" t="s">
        <v>3014</v>
      </c>
      <c r="J260" s="5" t="s">
        <v>2816</v>
      </c>
      <c r="K260" s="5">
        <v>116.0</v>
      </c>
      <c r="L260" s="5">
        <v>-1.469953</v>
      </c>
      <c r="M260" s="5">
        <v>-0.245554</v>
      </c>
      <c r="N260" s="5">
        <v>-1.715506</v>
      </c>
      <c r="O260" s="5">
        <v>0.010087</v>
      </c>
    </row>
    <row r="261">
      <c r="A261" s="12" t="str">
        <f>IFERROR(__xludf.DUMMYFUNCTION("""COMPUTED_VALUE"""),"Yannick Franke")</f>
        <v>Yannick Franke</v>
      </c>
      <c r="B261" s="13" t="str">
        <f>IFERROR(__xludf.DUMMYFUNCTION("""COMPUTED_VALUE"""),"TREN")</f>
        <v>TREN</v>
      </c>
      <c r="C261" s="14">
        <f>IFERROR(__xludf.DUMMYFUNCTION("""COMPUTED_VALUE"""),153.7)</f>
        <v>153.7</v>
      </c>
      <c r="D261" s="15">
        <f>IFERROR(__xludf.DUMMYFUNCTION("""COMPUTED_VALUE"""),-0.07561131517542023)</f>
        <v>-0.07561131518</v>
      </c>
      <c r="E261" s="15">
        <f>IFERROR(__xludf.DUMMYFUNCTION("""COMPUTED_VALUE"""),-1.6625417245610616)</f>
        <v>-1.662541725</v>
      </c>
      <c r="F261" s="15">
        <f>IFERROR(__xludf.DUMMYFUNCTION("""COMPUTED_VALUE"""),-1.738153039736482)</f>
        <v>-1.73815304</v>
      </c>
      <c r="G261" s="17">
        <f>IFERROR(__xludf.DUMMYFUNCTION("""COMPUTED_VALUE"""),0.012080199063802059)</f>
        <v>0.01208019906</v>
      </c>
      <c r="H261" s="4"/>
      <c r="I261" s="5" t="s">
        <v>2296</v>
      </c>
      <c r="J261" s="5" t="s">
        <v>2143</v>
      </c>
      <c r="K261" s="24">
        <v>154.0</v>
      </c>
      <c r="L261" s="5">
        <v>-0.075611</v>
      </c>
      <c r="M261" s="5">
        <v>-1.662542</v>
      </c>
      <c r="N261" s="5">
        <v>-1.738153</v>
      </c>
      <c r="O261" s="5">
        <v>0.01208</v>
      </c>
    </row>
    <row r="262">
      <c r="A262" s="18" t="str">
        <f>IFERROR(__xludf.DUMMYFUNCTION("""COMPUTED_VALUE"""),"Damir Markota")</f>
        <v>Damir Markota</v>
      </c>
      <c r="B262" s="19" t="str">
        <f>IFERROR(__xludf.DUMMYFUNCTION("""COMPUTED_VALUE"""),"CED")</f>
        <v>CED</v>
      </c>
      <c r="C262" s="20">
        <f>IFERROR(__xludf.DUMMYFUNCTION("""COMPUTED_VALUE"""),178.1)</f>
        <v>178.1</v>
      </c>
      <c r="D262" s="21">
        <f>IFERROR(__xludf.DUMMYFUNCTION("""COMPUTED_VALUE"""),-0.8489569897904635)</f>
        <v>-0.8489569898</v>
      </c>
      <c r="E262" s="21">
        <f>IFERROR(__xludf.DUMMYFUNCTION("""COMPUTED_VALUE"""),-0.8933047717299597)</f>
        <v>-0.8933047717</v>
      </c>
      <c r="F262" s="21">
        <f>IFERROR(__xludf.DUMMYFUNCTION("""COMPUTED_VALUE"""),-1.7422617615204232)</f>
        <v>-1.742261762</v>
      </c>
      <c r="G262" s="23">
        <f>IFERROR(__xludf.DUMMYFUNCTION("""COMPUTED_VALUE"""),0.01388552353666481)</f>
        <v>0.01388552354</v>
      </c>
      <c r="H262" s="4"/>
      <c r="I262" s="5" t="s">
        <v>1021</v>
      </c>
      <c r="J262" s="5" t="s">
        <v>928</v>
      </c>
      <c r="K262" s="5">
        <v>178.0</v>
      </c>
      <c r="L262" s="5">
        <v>-0.848957</v>
      </c>
      <c r="M262" s="5">
        <v>-0.893305</v>
      </c>
      <c r="N262" s="5">
        <v>-1.742262</v>
      </c>
      <c r="O262" s="5">
        <v>0.013886</v>
      </c>
    </row>
    <row r="263">
      <c r="A263" s="12" t="str">
        <f>IFERROR(__xludf.DUMMYFUNCTION("""COMPUTED_VALUE"""),"Zygimantas Skucas")</f>
        <v>Zygimantas Skucas</v>
      </c>
      <c r="B263" s="13" t="str">
        <f>IFERROR(__xludf.DUMMYFUNCTION("""COMPUTED_VALUE"""),"TEC")</f>
        <v>TEC</v>
      </c>
      <c r="C263" s="14">
        <f>IFERROR(__xludf.DUMMYFUNCTION("""COMPUTED_VALUE"""),97.9)</f>
        <v>97.9</v>
      </c>
      <c r="D263" s="15">
        <f>IFERROR(__xludf.DUMMYFUNCTION("""COMPUTED_VALUE"""),-1.7332679348567888)</f>
        <v>-1.733267935</v>
      </c>
      <c r="E263" s="15">
        <f>IFERROR(__xludf.DUMMYFUNCTION("""COMPUTED_VALUE"""),-0.019929918017681292)</f>
        <v>-0.01992991802</v>
      </c>
      <c r="F263" s="15">
        <f>IFERROR(__xludf.DUMMYFUNCTION("""COMPUTED_VALUE"""),-1.75319785287447)</f>
        <v>-1.753197853</v>
      </c>
      <c r="G263" s="17">
        <f>IFERROR(__xludf.DUMMYFUNCTION("""COMPUTED_VALUE"""),0.008442429815186137)</f>
        <v>0.008442429815</v>
      </c>
      <c r="H263" s="4"/>
      <c r="I263" s="5" t="s">
        <v>2653</v>
      </c>
      <c r="J263" s="5" t="s">
        <v>2400</v>
      </c>
      <c r="K263" s="5">
        <v>98.0</v>
      </c>
      <c r="L263" s="5">
        <v>-1.733268</v>
      </c>
      <c r="M263" s="5">
        <v>-0.01993</v>
      </c>
      <c r="N263" s="5">
        <v>-1.753198</v>
      </c>
      <c r="O263" s="5">
        <v>0.008442</v>
      </c>
    </row>
    <row r="264">
      <c r="A264" s="18" t="str">
        <f>IFERROR(__xludf.DUMMYFUNCTION("""COMPUTED_VALUE"""),"Baris Ermis")</f>
        <v>Baris Ermis</v>
      </c>
      <c r="B264" s="19" t="str">
        <f>IFERROR(__xludf.DUMMYFUNCTION("""COMPUTED_VALUE"""),"TOF")</f>
        <v>TOF</v>
      </c>
      <c r="C264" s="20">
        <f>IFERROR(__xludf.DUMMYFUNCTION("""COMPUTED_VALUE"""),223.2)</f>
        <v>223.2</v>
      </c>
      <c r="D264" s="21">
        <f>IFERROR(__xludf.DUMMYFUNCTION("""COMPUTED_VALUE"""),0.17691598079460588)</f>
        <v>0.1769159808</v>
      </c>
      <c r="E264" s="21">
        <f>IFERROR(__xludf.DUMMYFUNCTION("""COMPUTED_VALUE"""),-1.933749029972343)</f>
        <v>-1.93374903</v>
      </c>
      <c r="F264" s="21">
        <f>IFERROR(__xludf.DUMMYFUNCTION("""COMPUTED_VALUE"""),-1.756833049177737)</f>
        <v>-1.756833049</v>
      </c>
      <c r="G264" s="23">
        <f>IFERROR(__xludf.DUMMYFUNCTION("""COMPUTED_VALUE"""),0.01653398726857815)</f>
        <v>0.01653398727</v>
      </c>
      <c r="H264" s="4"/>
      <c r="I264" s="5" t="s">
        <v>1944</v>
      </c>
      <c r="J264" s="5" t="s">
        <v>1878</v>
      </c>
      <c r="K264" s="5">
        <v>223.0</v>
      </c>
      <c r="L264" s="5">
        <v>0.176916</v>
      </c>
      <c r="M264" s="5">
        <v>-1.933749</v>
      </c>
      <c r="N264" s="5">
        <v>-1.756833</v>
      </c>
      <c r="O264" s="5">
        <v>0.016534</v>
      </c>
    </row>
    <row r="265">
      <c r="A265" s="12" t="str">
        <f>IFERROR(__xludf.DUMMYFUNCTION("""COMPUTED_VALUE"""),"Vasilije Vucetic")</f>
        <v>Vasilije Vucetic</v>
      </c>
      <c r="B265" s="13" t="str">
        <f>IFERROR(__xludf.DUMMYFUNCTION("""COMPUTED_VALUE"""),"BBB")</f>
        <v>BBB</v>
      </c>
      <c r="C265" s="14">
        <f>IFERROR(__xludf.DUMMYFUNCTION("""COMPUTED_VALUE"""),78.5)</f>
        <v>78.5</v>
      </c>
      <c r="D265" s="15">
        <f>IFERROR(__xludf.DUMMYFUNCTION("""COMPUTED_VALUE"""),-1.0325075934634202)</f>
        <v>-1.032507593</v>
      </c>
      <c r="E265" s="15">
        <f>IFERROR(__xludf.DUMMYFUNCTION("""COMPUTED_VALUE"""),-0.7708833181176535)</f>
        <v>-0.7708833181</v>
      </c>
      <c r="F265" s="15">
        <f>IFERROR(__xludf.DUMMYFUNCTION("""COMPUTED_VALUE"""),-1.8033909115810738)</f>
        <v>-1.803390912</v>
      </c>
      <c r="G265" s="17">
        <f>IFERROR(__xludf.DUMMYFUNCTION("""COMPUTED_VALUE"""),0.004705195667315935)</f>
        <v>0.004705195667</v>
      </c>
      <c r="H265" s="4"/>
      <c r="I265" s="5" t="s">
        <v>597</v>
      </c>
      <c r="J265" s="5" t="s">
        <v>113</v>
      </c>
      <c r="K265" s="5">
        <v>79.0</v>
      </c>
      <c r="L265" s="5">
        <v>-1.032508</v>
      </c>
      <c r="M265" s="5">
        <v>-0.770883</v>
      </c>
      <c r="N265" s="5">
        <v>-1.803391</v>
      </c>
      <c r="O265" s="5">
        <v>0.004705</v>
      </c>
    </row>
    <row r="266">
      <c r="A266" s="18" t="str">
        <f>IFERROR(__xludf.DUMMYFUNCTION("""COMPUTED_VALUE"""),"Bar Timor")</f>
        <v>Bar Timor</v>
      </c>
      <c r="B266" s="19" t="str">
        <f>IFERROR(__xludf.DUMMYFUNCTION("""COMPUTED_VALUE"""),"HAPJ")</f>
        <v>HAPJ</v>
      </c>
      <c r="C266" s="20">
        <f>IFERROR(__xludf.DUMMYFUNCTION("""COMPUTED_VALUE"""),74.7)</f>
        <v>74.7</v>
      </c>
      <c r="D266" s="21">
        <f>IFERROR(__xludf.DUMMYFUNCTION("""COMPUTED_VALUE"""),-1.3611083489883242)</f>
        <v>-1.361108349</v>
      </c>
      <c r="E266" s="21">
        <f>IFERROR(__xludf.DUMMYFUNCTION("""COMPUTED_VALUE"""),-0.5043287588518535)</f>
        <v>-0.5043287589</v>
      </c>
      <c r="F266" s="21">
        <f>IFERROR(__xludf.DUMMYFUNCTION("""COMPUTED_VALUE"""),-1.8654371078401777)</f>
        <v>-1.865437108</v>
      </c>
      <c r="G266" s="23">
        <f>IFERROR(__xludf.DUMMYFUNCTION("""COMPUTED_VALUE"""),0.003065660799675839)</f>
        <v>0.0030656608</v>
      </c>
      <c r="H266" s="4"/>
      <c r="I266" s="5" t="s">
        <v>1612</v>
      </c>
      <c r="J266" s="5" t="s">
        <v>1572</v>
      </c>
      <c r="K266" s="5">
        <v>75.0</v>
      </c>
      <c r="L266" s="5">
        <v>-1.361108</v>
      </c>
      <c r="M266" s="5">
        <v>-0.504329</v>
      </c>
      <c r="N266" s="5">
        <v>-1.865437</v>
      </c>
      <c r="O266" s="5">
        <v>0.003066</v>
      </c>
    </row>
    <row r="267">
      <c r="A267" s="12" t="str">
        <f>IFERROR(__xludf.DUMMYFUNCTION("""COMPUTED_VALUE"""),"Chris Johnson")</f>
        <v>Chris Johnson</v>
      </c>
      <c r="B267" s="13" t="str">
        <f>IFERROR(__xludf.DUMMYFUNCTION("""COMPUTED_VALUE"""),"CED")</f>
        <v>CED</v>
      </c>
      <c r="C267" s="14">
        <f>IFERROR(__xludf.DUMMYFUNCTION("""COMPUTED_VALUE"""),132.4)</f>
        <v>132.4</v>
      </c>
      <c r="D267" s="15">
        <f>IFERROR(__xludf.DUMMYFUNCTION("""COMPUTED_VALUE"""),-2.751037742300249)</f>
        <v>-2.751037742</v>
      </c>
      <c r="E267" s="15">
        <f>IFERROR(__xludf.DUMMYFUNCTION("""COMPUTED_VALUE"""),0.8425027849271809)</f>
        <v>0.8425027849</v>
      </c>
      <c r="F267" s="15">
        <f>IFERROR(__xludf.DUMMYFUNCTION("""COMPUTED_VALUE"""),-1.908534957373068)</f>
        <v>-1.908534957</v>
      </c>
      <c r="G267" s="17">
        <f>IFERROR(__xludf.DUMMYFUNCTION("""COMPUTED_VALUE"""),0.0036632166940846274)</f>
        <v>0.003663216694</v>
      </c>
      <c r="H267" s="4"/>
      <c r="I267" s="5" t="s">
        <v>1108</v>
      </c>
      <c r="J267" s="5" t="s">
        <v>928</v>
      </c>
      <c r="K267" s="5">
        <v>132.0</v>
      </c>
      <c r="L267" s="5">
        <v>-2.751038</v>
      </c>
      <c r="M267" s="5">
        <v>0.842503</v>
      </c>
      <c r="N267" s="5">
        <v>-1.908535</v>
      </c>
      <c r="O267" s="5">
        <v>0.003663</v>
      </c>
    </row>
    <row r="268">
      <c r="A268" s="18" t="str">
        <f>IFERROR(__xludf.DUMMYFUNCTION("""COMPUTED_VALUE"""),"Mouhammadou Jaiteh")</f>
        <v>Mouhammadou Jaiteh</v>
      </c>
      <c r="B268" s="19" t="str">
        <f>IFERROR(__xludf.DUMMYFUNCTION("""COMPUTED_VALUE"""),"CSP")</f>
        <v>CSP</v>
      </c>
      <c r="C268" s="20">
        <f>IFERROR(__xludf.DUMMYFUNCTION("""COMPUTED_VALUE"""),325.0)</f>
        <v>325</v>
      </c>
      <c r="D268" s="21">
        <f>IFERROR(__xludf.DUMMYFUNCTION("""COMPUTED_VALUE"""),-3.0456119465020635)</f>
        <v>-3.045611947</v>
      </c>
      <c r="E268" s="21">
        <f>IFERROR(__xludf.DUMMYFUNCTION("""COMPUTED_VALUE"""),1.1270769751393455)</f>
        <v>1.127076975</v>
      </c>
      <c r="F268" s="21">
        <f>IFERROR(__xludf.DUMMYFUNCTION("""COMPUTED_VALUE"""),-1.918534971362718)</f>
        <v>-1.918534971</v>
      </c>
      <c r="G268" s="23">
        <f>IFERROR(__xludf.DUMMYFUNCTION("""COMPUTED_VALUE"""),0.008072496697847473)</f>
        <v>0.008072496698</v>
      </c>
      <c r="H268" s="4"/>
      <c r="I268" s="5" t="s">
        <v>1402</v>
      </c>
      <c r="J268" s="5" t="s">
        <v>1327</v>
      </c>
      <c r="K268" s="5">
        <v>325.0</v>
      </c>
      <c r="L268" s="5">
        <v>-3.045612</v>
      </c>
      <c r="M268" s="5">
        <v>1.127077</v>
      </c>
      <c r="N268" s="5">
        <v>-1.918535</v>
      </c>
      <c r="O268" s="5">
        <v>0.008072</v>
      </c>
    </row>
    <row r="269">
      <c r="A269" s="12" t="str">
        <f>IFERROR(__xludf.DUMMYFUNCTION("""COMPUTED_VALUE"""),"Rod Odom")</f>
        <v>Rod Odom</v>
      </c>
      <c r="B269" s="13" t="str">
        <f>IFERROR(__xludf.DUMMYFUNCTION("""COMPUTED_VALUE"""),"PLV")</f>
        <v>PLV</v>
      </c>
      <c r="C269" s="14">
        <f>IFERROR(__xludf.DUMMYFUNCTION("""COMPUTED_VALUE"""),179.2)</f>
        <v>179.2</v>
      </c>
      <c r="D269" s="15">
        <f>IFERROR(__xludf.DUMMYFUNCTION("""COMPUTED_VALUE"""),-0.8355345092816581)</f>
        <v>-0.8355345093</v>
      </c>
      <c r="E269" s="15">
        <f>IFERROR(__xludf.DUMMYFUNCTION("""COMPUTED_VALUE"""),-1.097178892740795)</f>
        <v>-1.097178893</v>
      </c>
      <c r="F269" s="15">
        <f>IFERROR(__xludf.DUMMYFUNCTION("""COMPUTED_VALUE"""),-1.9327134020224532)</f>
        <v>-1.932713402</v>
      </c>
      <c r="G269" s="17">
        <f>IFERROR(__xludf.DUMMYFUNCTION("""COMPUTED_VALUE"""),0.003676513492073713)</f>
        <v>0.003676513492</v>
      </c>
      <c r="H269" s="4"/>
      <c r="I269" s="5" t="s">
        <v>1548</v>
      </c>
      <c r="J269" s="5" t="s">
        <v>1355</v>
      </c>
      <c r="K269" s="24">
        <v>179.0</v>
      </c>
      <c r="L269" s="5">
        <v>-0.835535</v>
      </c>
      <c r="M269" s="5">
        <v>-1.097179</v>
      </c>
      <c r="N269" s="5">
        <v>-1.932713</v>
      </c>
      <c r="O269" s="5">
        <v>0.003677</v>
      </c>
    </row>
    <row r="270">
      <c r="A270" s="18" t="str">
        <f>IFERROR(__xludf.DUMMYFUNCTION("""COMPUTED_VALUE"""),"Axel Hervelle")</f>
        <v>Axel Hervelle</v>
      </c>
      <c r="B270" s="19" t="str">
        <f>IFERROR(__xludf.DUMMYFUNCTION("""COMPUTED_VALUE"""),"BBB")</f>
        <v>BBB</v>
      </c>
      <c r="C270" s="20">
        <f>IFERROR(__xludf.DUMMYFUNCTION("""COMPUTED_VALUE"""),185.4)</f>
        <v>185.4</v>
      </c>
      <c r="D270" s="21">
        <f>IFERROR(__xludf.DUMMYFUNCTION("""COMPUTED_VALUE"""),-0.05285423306004938)</f>
        <v>-0.05285423306</v>
      </c>
      <c r="E270" s="21">
        <f>IFERROR(__xludf.DUMMYFUNCTION("""COMPUTED_VALUE"""),-1.8908252648798503)</f>
        <v>-1.890825265</v>
      </c>
      <c r="F270" s="21">
        <f>IFERROR(__xludf.DUMMYFUNCTION("""COMPUTED_VALUE"""),-1.9436794979398997)</f>
        <v>-1.943679498</v>
      </c>
      <c r="G270" s="23">
        <f>IFERROR(__xludf.DUMMYFUNCTION("""COMPUTED_VALUE"""),0.003183322871034069)</f>
        <v>0.003183322871</v>
      </c>
      <c r="H270" s="4"/>
      <c r="I270" s="5" t="s">
        <v>595</v>
      </c>
      <c r="J270" s="5" t="s">
        <v>113</v>
      </c>
      <c r="K270" s="5">
        <v>185.0</v>
      </c>
      <c r="L270" s="5">
        <v>-0.052854</v>
      </c>
      <c r="M270" s="5">
        <v>-1.890825</v>
      </c>
      <c r="N270" s="5">
        <v>-1.943679</v>
      </c>
      <c r="O270" s="5">
        <v>0.003183</v>
      </c>
    </row>
    <row r="271">
      <c r="A271" s="12" t="str">
        <f>IFERROR(__xludf.DUMMYFUNCTION("""COMPUTED_VALUE"""),"Mindaugas Girdziunas")</f>
        <v>Mindaugas Girdziunas</v>
      </c>
      <c r="B271" s="13" t="str">
        <f>IFERROR(__xludf.DUMMYFUNCTION("""COMPUTED_VALUE"""),"LIE")</f>
        <v>LIE</v>
      </c>
      <c r="C271" s="14">
        <f>IFERROR(__xludf.DUMMYFUNCTION("""COMPUTED_VALUE"""),120.0)</f>
        <v>120</v>
      </c>
      <c r="D271" s="15">
        <f>IFERROR(__xludf.DUMMYFUNCTION("""COMPUTED_VALUE"""),-0.6090535077654082)</f>
        <v>-0.6090535078</v>
      </c>
      <c r="E271" s="15">
        <f>IFERROR(__xludf.DUMMYFUNCTION("""COMPUTED_VALUE"""),-1.3581864636741139)</f>
        <v>-1.358186464</v>
      </c>
      <c r="F271" s="15">
        <f>IFERROR(__xludf.DUMMYFUNCTION("""COMPUTED_VALUE"""),-1.9672399714395221)</f>
        <v>-1.967239971</v>
      </c>
      <c r="G271" s="17">
        <f>IFERROR(__xludf.DUMMYFUNCTION("""COMPUTED_VALUE"""),0.0011892097661580835)</f>
        <v>0.001189209766</v>
      </c>
      <c r="H271" s="4"/>
      <c r="I271" s="5" t="s">
        <v>2395</v>
      </c>
      <c r="J271" s="5" t="s">
        <v>2352</v>
      </c>
      <c r="K271" s="5">
        <v>120.0</v>
      </c>
      <c r="L271" s="5">
        <v>-0.609054</v>
      </c>
      <c r="M271" s="5">
        <v>-1.358186</v>
      </c>
      <c r="N271" s="5">
        <v>-1.96724</v>
      </c>
      <c r="O271" s="5">
        <v>0.001189</v>
      </c>
    </row>
    <row r="272">
      <c r="A272" s="18" t="str">
        <f>IFERROR(__xludf.DUMMYFUNCTION("""COMPUTED_VALUE"""),"Josh Carter")</f>
        <v>Josh Carter</v>
      </c>
      <c r="B272" s="19" t="str">
        <f>IFERROR(__xludf.DUMMYFUNCTION("""COMPUTED_VALUE"""),"CSP")</f>
        <v>CSP</v>
      </c>
      <c r="C272" s="20">
        <f>IFERROR(__xludf.DUMMYFUNCTION("""COMPUTED_VALUE"""),363.4)</f>
        <v>363.4</v>
      </c>
      <c r="D272" s="21">
        <f>IFERROR(__xludf.DUMMYFUNCTION("""COMPUTED_VALUE"""),0.9691751749278971)</f>
        <v>0.9691751749</v>
      </c>
      <c r="E272" s="21">
        <f>IFERROR(__xludf.DUMMYFUNCTION("""COMPUTED_VALUE"""),-2.9523012578318375)</f>
        <v>-2.952301258</v>
      </c>
      <c r="F272" s="21">
        <f>IFERROR(__xludf.DUMMYFUNCTION("""COMPUTED_VALUE"""),-1.9831260829039405)</f>
        <v>-1.983126083</v>
      </c>
      <c r="G272" s="23">
        <f>IFERROR(__xludf.DUMMYFUNCTION("""COMPUTED_VALUE"""),0.0018696233980196948)</f>
        <v>0.001869623398</v>
      </c>
      <c r="H272" s="4"/>
      <c r="I272" s="5" t="s">
        <v>1377</v>
      </c>
      <c r="J272" s="5" t="s">
        <v>1327</v>
      </c>
      <c r="K272" s="5">
        <v>363.0</v>
      </c>
      <c r="L272" s="5">
        <v>0.969175</v>
      </c>
      <c r="M272" s="5">
        <v>-2.952301</v>
      </c>
      <c r="N272" s="5">
        <v>-1.983126</v>
      </c>
      <c r="O272" s="5">
        <v>0.00187</v>
      </c>
    </row>
    <row r="273">
      <c r="A273" s="12" t="str">
        <f>IFERROR(__xludf.DUMMYFUNCTION("""COMPUTED_VALUE"""),"David Jelinek")</f>
        <v>David Jelinek</v>
      </c>
      <c r="B273" s="13" t="str">
        <f>IFERROR(__xludf.DUMMYFUNCTION("""COMPUTED_VALUE"""),"AND")</f>
        <v>AND</v>
      </c>
      <c r="C273" s="14">
        <f>IFERROR(__xludf.DUMMYFUNCTION("""COMPUTED_VALUE"""),189.3)</f>
        <v>189.3</v>
      </c>
      <c r="D273" s="15">
        <f>IFERROR(__xludf.DUMMYFUNCTION("""COMPUTED_VALUE"""),-1.6212608970791311)</f>
        <v>-1.621260897</v>
      </c>
      <c r="E273" s="15">
        <f>IFERROR(__xludf.DUMMYFUNCTION("""COMPUTED_VALUE"""),-0.39735280195655576)</f>
        <v>-0.397352802</v>
      </c>
      <c r="F273" s="15">
        <f>IFERROR(__xludf.DUMMYFUNCTION("""COMPUTED_VALUE"""),-2.018613699035687)</f>
        <v>-2.018613699</v>
      </c>
      <c r="G273" s="17">
        <f>IFERROR(__xludf.DUMMYFUNCTION("""COMPUTED_VALUE"""),-0.0010743138460141074)</f>
        <v>-0.001074313846</v>
      </c>
      <c r="H273" s="4"/>
      <c r="I273" s="5" t="s">
        <v>359</v>
      </c>
      <c r="J273" s="5" t="s">
        <v>89</v>
      </c>
      <c r="K273" s="5">
        <v>189.0</v>
      </c>
      <c r="L273" s="5">
        <v>-1.621261</v>
      </c>
      <c r="M273" s="5">
        <v>-0.397353</v>
      </c>
      <c r="N273" s="5">
        <v>-2.018614</v>
      </c>
      <c r="O273" s="5">
        <v>-0.001074</v>
      </c>
    </row>
    <row r="274">
      <c r="A274" s="18" t="str">
        <f>IFERROR(__xludf.DUMMYFUNCTION("""COMPUTED_VALUE"""),"Milic Starovlah")</f>
        <v>Milic Starovlah</v>
      </c>
      <c r="B274" s="19" t="str">
        <f>IFERROR(__xludf.DUMMYFUNCTION("""COMPUTED_VALUE"""),"BUD")</f>
        <v>BUD</v>
      </c>
      <c r="C274" s="20">
        <f>IFERROR(__xludf.DUMMYFUNCTION("""COMPUTED_VALUE"""),91.9)</f>
        <v>91.9</v>
      </c>
      <c r="D274" s="21">
        <f>IFERROR(__xludf.DUMMYFUNCTION("""COMPUTED_VALUE"""),-2.1836467953305587)</f>
        <v>-2.183646795</v>
      </c>
      <c r="E274" s="21">
        <f>IFERROR(__xludf.DUMMYFUNCTION("""COMPUTED_VALUE"""),0.13124835913991095)</f>
        <v>0.1312483591</v>
      </c>
      <c r="F274" s="21">
        <f>IFERROR(__xludf.DUMMYFUNCTION("""COMPUTED_VALUE"""),-2.0523984361906478)</f>
        <v>-2.052398436</v>
      </c>
      <c r="G274" s="23">
        <f>IFERROR(__xludf.DUMMYFUNCTION("""COMPUTED_VALUE"""),-0.0014480829077598899)</f>
        <v>-0.001448082908</v>
      </c>
      <c r="H274" s="4"/>
      <c r="I274" s="5" t="s">
        <v>1079</v>
      </c>
      <c r="J274" s="5" t="s">
        <v>914</v>
      </c>
      <c r="K274" s="5">
        <v>92.0</v>
      </c>
      <c r="L274" s="5">
        <v>-2.183647</v>
      </c>
      <c r="M274" s="5">
        <v>0.131248</v>
      </c>
      <c r="N274" s="5">
        <v>-2.052398</v>
      </c>
      <c r="O274" s="5">
        <v>-0.001448</v>
      </c>
    </row>
    <row r="275">
      <c r="A275" s="12" t="str">
        <f>IFERROR(__xludf.DUMMYFUNCTION("""COMPUTED_VALUE"""),"Kalin Lucas")</f>
        <v>Kalin Lucas</v>
      </c>
      <c r="B275" s="13" t="str">
        <f>IFERROR(__xludf.DUMMYFUNCTION("""COMPUTED_VALUE"""),"HAPJ")</f>
        <v>HAPJ</v>
      </c>
      <c r="C275" s="14">
        <f>IFERROR(__xludf.DUMMYFUNCTION("""COMPUTED_VALUE"""),127.8)</f>
        <v>127.8</v>
      </c>
      <c r="D275" s="15">
        <f>IFERROR(__xludf.DUMMYFUNCTION("""COMPUTED_VALUE"""),-0.9397011554611475)</f>
        <v>-0.9397011555</v>
      </c>
      <c r="E275" s="15">
        <f>IFERROR(__xludf.DUMMYFUNCTION("""COMPUTED_VALUE"""),-1.1400671243809297)</f>
        <v>-1.140067124</v>
      </c>
      <c r="F275" s="15">
        <f>IFERROR(__xludf.DUMMYFUNCTION("""COMPUTED_VALUE"""),-2.079768279842077)</f>
        <v>-2.07976828</v>
      </c>
      <c r="G275" s="17">
        <f>IFERROR(__xludf.DUMMYFUNCTION("""COMPUTED_VALUE"""),-0.0031091327586049797)</f>
        <v>-0.003109132759</v>
      </c>
      <c r="H275" s="4"/>
      <c r="I275" s="5" t="s">
        <v>1843</v>
      </c>
      <c r="J275" s="5" t="s">
        <v>1572</v>
      </c>
      <c r="K275" s="5">
        <v>128.0</v>
      </c>
      <c r="L275" s="5">
        <v>-0.939701</v>
      </c>
      <c r="M275" s="5">
        <v>-1.140067</v>
      </c>
      <c r="N275" s="5">
        <v>-2.079768</v>
      </c>
      <c r="O275" s="5">
        <v>-0.003109</v>
      </c>
    </row>
    <row r="276">
      <c r="A276" s="18" t="str">
        <f>IFERROR(__xludf.DUMMYFUNCTION("""COMPUTED_VALUE"""),"Cyrille Eliezer-Vanerot")</f>
        <v>Cyrille Eliezer-Vanerot</v>
      </c>
      <c r="B276" s="19" t="str">
        <f>IFERROR(__xludf.DUMMYFUNCTION("""COMPUTED_VALUE"""),"PLV")</f>
        <v>PLV</v>
      </c>
      <c r="C276" s="20">
        <f>IFERROR(__xludf.DUMMYFUNCTION("""COMPUTED_VALUE"""),93.4)</f>
        <v>93.4</v>
      </c>
      <c r="D276" s="21">
        <f>IFERROR(__xludf.DUMMYFUNCTION("""COMPUTED_VALUE"""),-1.742923947920682)</f>
        <v>-1.742923948</v>
      </c>
      <c r="E276" s="21">
        <f>IFERROR(__xludf.DUMMYFUNCTION("""COMPUTED_VALUE"""),-0.3500529116992539)</f>
        <v>-0.3500529117</v>
      </c>
      <c r="F276" s="21">
        <f>IFERROR(__xludf.DUMMYFUNCTION("""COMPUTED_VALUE"""),-2.092976859619936)</f>
        <v>-2.09297686</v>
      </c>
      <c r="G276" s="23">
        <f>IFERROR(__xludf.DUMMYFUNCTION("""COMPUTED_VALUE"""),-0.0026478375546402223)</f>
        <v>-0.002647837555</v>
      </c>
      <c r="H276" s="4"/>
      <c r="I276" s="5" t="s">
        <v>1604</v>
      </c>
      <c r="J276" s="5" t="s">
        <v>1355</v>
      </c>
      <c r="K276" s="5">
        <v>93.0</v>
      </c>
      <c r="L276" s="5">
        <v>-1.742924</v>
      </c>
      <c r="M276" s="5">
        <v>-0.350053</v>
      </c>
      <c r="N276" s="5">
        <v>-2.092977</v>
      </c>
      <c r="O276" s="5">
        <v>-0.002648</v>
      </c>
    </row>
    <row r="277">
      <c r="A277" s="12" t="str">
        <f>IFERROR(__xludf.DUMMYFUNCTION("""COMPUTED_VALUE"""),"A.J. Slaughter")</f>
        <v>A.J. Slaughter</v>
      </c>
      <c r="B277" s="13" t="str">
        <f>IFERROR(__xludf.DUMMYFUNCTION("""COMPUTED_VALUE"""),"LYV")</f>
        <v>LYV</v>
      </c>
      <c r="C277" s="14">
        <f>IFERROR(__xludf.DUMMYFUNCTION("""COMPUTED_VALUE"""),393.9)</f>
        <v>393.9</v>
      </c>
      <c r="D277" s="15">
        <f>IFERROR(__xludf.DUMMYFUNCTION("""COMPUTED_VALUE"""),1.1711391886359004)</f>
        <v>1.171139189</v>
      </c>
      <c r="E277" s="15">
        <f>IFERROR(__xludf.DUMMYFUNCTION("""COMPUTED_VALUE"""),-3.2906749430690203)</f>
        <v>-3.290674943</v>
      </c>
      <c r="F277" s="15">
        <f>IFERROR(__xludf.DUMMYFUNCTION("""COMPUTED_VALUE"""),-2.11953575443312)</f>
        <v>-2.119535754</v>
      </c>
      <c r="G277" s="17">
        <f>IFERROR(__xludf.DUMMYFUNCTION("""COMPUTED_VALUE"""),-0.014678142822337129)</f>
        <v>-0.01467814282</v>
      </c>
      <c r="H277" s="4"/>
      <c r="I277" s="5" t="s">
        <v>1429</v>
      </c>
      <c r="J277" s="5" t="s">
        <v>1342</v>
      </c>
      <c r="K277" s="5">
        <v>394.0</v>
      </c>
      <c r="L277" s="5">
        <v>1.171139</v>
      </c>
      <c r="M277" s="5">
        <v>-3.290675</v>
      </c>
      <c r="N277" s="5">
        <v>-2.119536</v>
      </c>
      <c r="O277" s="5">
        <v>-0.014678</v>
      </c>
    </row>
    <row r="278">
      <c r="A278" s="18" t="str">
        <f>IFERROR(__xludf.DUMMYFUNCTION("""COMPUTED_VALUE"""),"Shane Hammink")</f>
        <v>Shane Hammink</v>
      </c>
      <c r="B278" s="19" t="str">
        <f>IFERROR(__xludf.DUMMYFUNCTION("""COMPUTED_VALUE"""),"BBB")</f>
        <v>BBB</v>
      </c>
      <c r="C278" s="20">
        <f>IFERROR(__xludf.DUMMYFUNCTION("""COMPUTED_VALUE"""),189.4)</f>
        <v>189.4</v>
      </c>
      <c r="D278" s="21">
        <f>IFERROR(__xludf.DUMMYFUNCTION("""COMPUTED_VALUE"""),-1.0349774831478256)</f>
        <v>-1.034977483</v>
      </c>
      <c r="E278" s="21">
        <f>IFERROR(__xludf.DUMMYFUNCTION("""COMPUTED_VALUE"""),-1.0970894123594543)</f>
        <v>-1.097089412</v>
      </c>
      <c r="F278" s="21">
        <f>IFERROR(__xludf.DUMMYFUNCTION("""COMPUTED_VALUE"""),-2.13206689550728)</f>
        <v>-2.132066896</v>
      </c>
      <c r="G278" s="23">
        <f>IFERROR(__xludf.DUMMYFUNCTION("""COMPUTED_VALUE"""),-0.007625676645764911)</f>
        <v>-0.007625676646</v>
      </c>
      <c r="H278" s="4"/>
      <c r="I278" s="5" t="s">
        <v>579</v>
      </c>
      <c r="J278" s="5" t="s">
        <v>113</v>
      </c>
      <c r="K278" s="5">
        <v>189.0</v>
      </c>
      <c r="L278" s="5">
        <v>-1.034977</v>
      </c>
      <c r="M278" s="5">
        <v>-1.097089</v>
      </c>
      <c r="N278" s="5">
        <v>-2.132067</v>
      </c>
      <c r="O278" s="5">
        <v>-0.007626</v>
      </c>
    </row>
    <row r="279">
      <c r="A279" s="12" t="str">
        <f>IFERROR(__xludf.DUMMYFUNCTION("""COMPUTED_VALUE"""),"Vanja Marinkovic")</f>
        <v>Vanja Marinkovic</v>
      </c>
      <c r="B279" s="13" t="str">
        <f>IFERROR(__xludf.DUMMYFUNCTION("""COMPUTED_VALUE"""),"PAR")</f>
        <v>PAR</v>
      </c>
      <c r="C279" s="14">
        <f>IFERROR(__xludf.DUMMYFUNCTION("""COMPUTED_VALUE"""),227.7)</f>
        <v>227.7</v>
      </c>
      <c r="D279" s="15">
        <f>IFERROR(__xludf.DUMMYFUNCTION("""COMPUTED_VALUE"""),0.565691037537338)</f>
        <v>0.5656910375</v>
      </c>
      <c r="E279" s="15">
        <f>IFERROR(__xludf.DUMMYFUNCTION("""COMPUTED_VALUE"""),-2.7289888978473136)</f>
        <v>-2.728988898</v>
      </c>
      <c r="F279" s="15">
        <f>IFERROR(__xludf.DUMMYFUNCTION("""COMPUTED_VALUE"""),-2.1632978603099757)</f>
        <v>-2.16329786</v>
      </c>
      <c r="G279" s="17">
        <f>IFERROR(__xludf.DUMMYFUNCTION("""COMPUTED_VALUE"""),-0.011337957642604158)</f>
        <v>-0.01133795764</v>
      </c>
      <c r="H279" s="4"/>
      <c r="I279" s="5" t="s">
        <v>1270</v>
      </c>
      <c r="J279" s="5" t="s">
        <v>962</v>
      </c>
      <c r="K279" s="5">
        <v>228.0</v>
      </c>
      <c r="L279" s="5">
        <v>0.565691</v>
      </c>
      <c r="M279" s="5">
        <v>-2.728989</v>
      </c>
      <c r="N279" s="5">
        <v>-2.163298</v>
      </c>
      <c r="O279" s="5">
        <v>-0.011338</v>
      </c>
    </row>
    <row r="280">
      <c r="A280" s="18" t="str">
        <f>IFERROR(__xludf.DUMMYFUNCTION("""COMPUTED_VALUE"""),"Albert Oliver")</f>
        <v>Albert Oliver</v>
      </c>
      <c r="B280" s="19" t="str">
        <f>IFERROR(__xludf.DUMMYFUNCTION("""COMPUTED_VALUE"""),"GCN")</f>
        <v>GCN</v>
      </c>
      <c r="C280" s="20">
        <f>IFERROR(__xludf.DUMMYFUNCTION("""COMPUTED_VALUE"""),265.4)</f>
        <v>265.4</v>
      </c>
      <c r="D280" s="21">
        <f>IFERROR(__xludf.DUMMYFUNCTION("""COMPUTED_VALUE"""),0.2802523063800016)</f>
        <v>0.2802523064</v>
      </c>
      <c r="E280" s="21">
        <f>IFERROR(__xludf.DUMMYFUNCTION("""COMPUTED_VALUE"""),-2.519171976490053)</f>
        <v>-2.519171976</v>
      </c>
      <c r="F280" s="21">
        <f>IFERROR(__xludf.DUMMYFUNCTION("""COMPUTED_VALUE"""),-2.238919670110051)</f>
        <v>-2.23891967</v>
      </c>
      <c r="G280" s="23">
        <f>IFERROR(__xludf.DUMMYFUNCTION("""COMPUTED_VALUE"""),-0.018936534531549247)</f>
        <v>-0.01893653453</v>
      </c>
      <c r="H280" s="4"/>
      <c r="I280" s="5" t="s">
        <v>399</v>
      </c>
      <c r="J280" s="5" t="s">
        <v>97</v>
      </c>
      <c r="K280" s="5">
        <v>265.0</v>
      </c>
      <c r="L280" s="5">
        <v>0.280252</v>
      </c>
      <c r="M280" s="5">
        <v>-2.519172</v>
      </c>
      <c r="N280" s="5">
        <v>-2.23892</v>
      </c>
      <c r="O280" s="5">
        <v>-0.018937</v>
      </c>
    </row>
    <row r="281">
      <c r="A281" s="12" t="str">
        <f>IFERROR(__xludf.DUMMYFUNCTION("""COMPUTED_VALUE"""),"Bennet Hundt")</f>
        <v>Bennet Hundt</v>
      </c>
      <c r="B281" s="13" t="str">
        <f>IFERROR(__xludf.DUMMYFUNCTION("""COMPUTED_VALUE"""),"BER")</f>
        <v>BER</v>
      </c>
      <c r="C281" s="14">
        <f>IFERROR(__xludf.DUMMYFUNCTION("""COMPUTED_VALUE"""),69.8)</f>
        <v>69.8</v>
      </c>
      <c r="D281" s="15">
        <f>IFERROR(__xludf.DUMMYFUNCTION("""COMPUTED_VALUE"""),-1.5144952819390243)</f>
        <v>-1.514495282</v>
      </c>
      <c r="E281" s="15">
        <f>IFERROR(__xludf.DUMMYFUNCTION("""COMPUTED_VALUE"""),-0.7409598289951718)</f>
        <v>-0.740959829</v>
      </c>
      <c r="F281" s="15">
        <f>IFERROR(__xludf.DUMMYFUNCTION("""COMPUTED_VALUE"""),-2.255455110934196)</f>
        <v>-2.255455111</v>
      </c>
      <c r="G281" s="17">
        <f>IFERROR(__xludf.DUMMYFUNCTION("""COMPUTED_VALUE"""),-0.005414719704103269)</f>
        <v>-0.005414719704</v>
      </c>
      <c r="H281" s="4"/>
      <c r="I281" s="5" t="s">
        <v>1006</v>
      </c>
      <c r="J281" s="5" t="s">
        <v>634</v>
      </c>
      <c r="K281" s="5">
        <v>70.0</v>
      </c>
      <c r="L281" s="5">
        <v>-1.514495</v>
      </c>
      <c r="M281" s="5">
        <v>-0.74096</v>
      </c>
      <c r="N281" s="5">
        <v>-2.255455</v>
      </c>
      <c r="O281" s="5">
        <v>-0.005415</v>
      </c>
    </row>
    <row r="282">
      <c r="A282" s="18" t="str">
        <f>IFERROR(__xludf.DUMMYFUNCTION("""COMPUTED_VALUE"""),"Aleksa Ilic")</f>
        <v>Aleksa Ilic</v>
      </c>
      <c r="B282" s="19" t="str">
        <f>IFERROR(__xludf.DUMMYFUNCTION("""COMPUTED_VALUE"""),"BUD")</f>
        <v>BUD</v>
      </c>
      <c r="C282" s="20">
        <f>IFERROR(__xludf.DUMMYFUNCTION("""COMPUTED_VALUE"""),225.2)</f>
        <v>225.2</v>
      </c>
      <c r="D282" s="21">
        <f>IFERROR(__xludf.DUMMYFUNCTION("""COMPUTED_VALUE"""),-4.078084219337372)</f>
        <v>-4.078084219</v>
      </c>
      <c r="E282" s="21">
        <f>IFERROR(__xludf.DUMMYFUNCTION("""COMPUTED_VALUE"""),1.8129986886379927)</f>
        <v>1.812998689</v>
      </c>
      <c r="F282" s="21">
        <f>IFERROR(__xludf.DUMMYFUNCTION("""COMPUTED_VALUE"""),-2.265085530699379)</f>
        <v>-2.265085531</v>
      </c>
      <c r="G282" s="23">
        <f>IFERROR(__xludf.DUMMYFUNCTION("""COMPUTED_VALUE"""),-0.01795204794454162)</f>
        <v>-0.01795204794</v>
      </c>
      <c r="H282" s="4"/>
      <c r="I282" s="5" t="s">
        <v>946</v>
      </c>
      <c r="J282" s="5" t="s">
        <v>914</v>
      </c>
      <c r="K282" s="5">
        <v>225.0</v>
      </c>
      <c r="L282" s="5">
        <v>-4.078084</v>
      </c>
      <c r="M282" s="5">
        <v>1.812999</v>
      </c>
      <c r="N282" s="5">
        <v>-2.265086</v>
      </c>
      <c r="O282" s="5">
        <v>-0.017952</v>
      </c>
    </row>
    <row r="283">
      <c r="A283" s="12" t="str">
        <f>IFERROR(__xludf.DUMMYFUNCTION("""COMPUTED_VALUE"""),"Dejan Todorovic")</f>
        <v>Dejan Todorovic</v>
      </c>
      <c r="B283" s="13" t="str">
        <f>IFERROR(__xludf.DUMMYFUNCTION("""COMPUTED_VALUE"""),"BBB")</f>
        <v>BBB</v>
      </c>
      <c r="C283" s="14">
        <f>IFERROR(__xludf.DUMMYFUNCTION("""COMPUTED_VALUE"""),260.1)</f>
        <v>260.1</v>
      </c>
      <c r="D283" s="15">
        <f>IFERROR(__xludf.DUMMYFUNCTION("""COMPUTED_VALUE"""),1.7057151033455793)</f>
        <v>1.705715103</v>
      </c>
      <c r="E283" s="15">
        <f>IFERROR(__xludf.DUMMYFUNCTION("""COMPUTED_VALUE"""),-3.9770923290746665)</f>
        <v>-3.977092329</v>
      </c>
      <c r="F283" s="15">
        <f>IFERROR(__xludf.DUMMYFUNCTION("""COMPUTED_VALUE"""),-2.271377225729087)</f>
        <v>-2.271377226</v>
      </c>
      <c r="G283" s="17">
        <f>IFERROR(__xludf.DUMMYFUNCTION("""COMPUTED_VALUE"""),-0.021518807112124748)</f>
        <v>-0.02151880711</v>
      </c>
      <c r="H283" s="4"/>
      <c r="I283" s="5" t="s">
        <v>585</v>
      </c>
      <c r="J283" s="5" t="s">
        <v>113</v>
      </c>
      <c r="K283" s="5">
        <v>260.0</v>
      </c>
      <c r="L283" s="5">
        <v>1.705715</v>
      </c>
      <c r="M283" s="5">
        <v>-3.977092</v>
      </c>
      <c r="N283" s="5">
        <v>-2.271377</v>
      </c>
      <c r="O283" s="5">
        <v>-0.021519</v>
      </c>
    </row>
    <row r="284">
      <c r="A284" s="18" t="str">
        <f>IFERROR(__xludf.DUMMYFUNCTION("""COMPUTED_VALUE"""),"Stefan Peno")</f>
        <v>Stefan Peno</v>
      </c>
      <c r="B284" s="19" t="str">
        <f>IFERROR(__xludf.DUMMYFUNCTION("""COMPUTED_VALUE"""),"BER")</f>
        <v>BER</v>
      </c>
      <c r="C284" s="20">
        <f>IFERROR(__xludf.DUMMYFUNCTION("""COMPUTED_VALUE"""),288.1)</f>
        <v>288.1</v>
      </c>
      <c r="D284" s="21">
        <f>IFERROR(__xludf.DUMMYFUNCTION("""COMPUTED_VALUE"""),-1.2083580539586298)</f>
        <v>-1.208358054</v>
      </c>
      <c r="E284" s="21">
        <f>IFERROR(__xludf.DUMMYFUNCTION("""COMPUTED_VALUE"""),-1.1309561167981708)</f>
        <v>-1.130956117</v>
      </c>
      <c r="F284" s="21">
        <f>IFERROR(__xludf.DUMMYFUNCTION("""COMPUTED_VALUE"""),-2.3393141707568006)</f>
        <v>-2.339314171</v>
      </c>
      <c r="G284" s="23">
        <f>IFERROR(__xludf.DUMMYFUNCTION("""COMPUTED_VALUE"""),-0.02968596814169201)</f>
        <v>-0.02968596814</v>
      </c>
      <c r="H284" s="4"/>
      <c r="I284" s="5" t="s">
        <v>951</v>
      </c>
      <c r="J284" s="5" t="s">
        <v>634</v>
      </c>
      <c r="K284" s="24">
        <v>288.0</v>
      </c>
      <c r="L284" s="5">
        <v>-1.208358</v>
      </c>
      <c r="M284" s="5">
        <v>-1.130956</v>
      </c>
      <c r="N284" s="5">
        <v>-2.339314</v>
      </c>
      <c r="O284" s="5">
        <v>-0.029686</v>
      </c>
    </row>
    <row r="285">
      <c r="A285" s="12" t="str">
        <f>IFERROR(__xludf.DUMMYFUNCTION("""COMPUTED_VALUE"""),"Jordan Taylor")</f>
        <v>Jordan Taylor</v>
      </c>
      <c r="B285" s="13" t="str">
        <f>IFERROR(__xludf.DUMMYFUNCTION("""COMPUTED_VALUE"""),"GAL")</f>
        <v>GAL</v>
      </c>
      <c r="C285" s="14">
        <f>IFERROR(__xludf.DUMMYFUNCTION("""COMPUTED_VALUE"""),205.7)</f>
        <v>205.7</v>
      </c>
      <c r="D285" s="15">
        <f>IFERROR(__xludf.DUMMYFUNCTION("""COMPUTED_VALUE"""),-1.2395741457701197)</f>
        <v>-1.239574146</v>
      </c>
      <c r="E285" s="15">
        <f>IFERROR(__xludf.DUMMYFUNCTION("""COMPUTED_VALUE"""),-1.110657042359473)</f>
        <v>-1.110657042</v>
      </c>
      <c r="F285" s="15">
        <f>IFERROR(__xludf.DUMMYFUNCTION("""COMPUTED_VALUE"""),-2.3502311881295928)</f>
        <v>-2.350231188</v>
      </c>
      <c r="G285" s="17">
        <f>IFERROR(__xludf.DUMMYFUNCTION("""COMPUTED_VALUE"""),-0.021148012607413492)</f>
        <v>-0.02114801261</v>
      </c>
      <c r="H285" s="4"/>
      <c r="I285" s="5" t="s">
        <v>2064</v>
      </c>
      <c r="J285" s="5" t="s">
        <v>1592</v>
      </c>
      <c r="K285" s="5">
        <v>206.0</v>
      </c>
      <c r="L285" s="5">
        <v>-1.239574</v>
      </c>
      <c r="M285" s="5">
        <v>-1.110657</v>
      </c>
      <c r="N285" s="5">
        <v>-2.350231</v>
      </c>
      <c r="O285" s="5">
        <v>-0.021148</v>
      </c>
    </row>
    <row r="286">
      <c r="A286" s="18" t="str">
        <f>IFERROR(__xludf.DUMMYFUNCTION("""COMPUTED_VALUE"""),"DaJuan Summers")</f>
        <v>DaJuan Summers</v>
      </c>
      <c r="B286" s="19" t="str">
        <f>IFERROR(__xludf.DUMMYFUNCTION("""COMPUTED_VALUE"""),"GAL")</f>
        <v>GAL</v>
      </c>
      <c r="C286" s="20">
        <f>IFERROR(__xludf.DUMMYFUNCTION("""COMPUTED_VALUE"""),383.6)</f>
        <v>383.6</v>
      </c>
      <c r="D286" s="21">
        <f>IFERROR(__xludf.DUMMYFUNCTION("""COMPUTED_VALUE"""),-0.4008270216312825)</f>
        <v>-0.4008270216</v>
      </c>
      <c r="E286" s="21">
        <f>IFERROR(__xludf.DUMMYFUNCTION("""COMPUTED_VALUE"""),-1.9601768076890078)</f>
        <v>-1.960176808</v>
      </c>
      <c r="F286" s="21">
        <f>IFERROR(__xludf.DUMMYFUNCTION("""COMPUTED_VALUE"""),-2.3610038293202904)</f>
        <v>-2.361003829</v>
      </c>
      <c r="G286" s="23">
        <f>IFERROR(__xludf.DUMMYFUNCTION("""COMPUTED_VALUE"""),-0.04065096491056325)</f>
        <v>-0.04065096491</v>
      </c>
      <c r="H286" s="4"/>
      <c r="I286" s="5" t="s">
        <v>2078</v>
      </c>
      <c r="J286" s="5" t="s">
        <v>1592</v>
      </c>
      <c r="K286" s="5">
        <v>384.0</v>
      </c>
      <c r="L286" s="5">
        <v>-0.400827</v>
      </c>
      <c r="M286" s="5">
        <v>-1.960177</v>
      </c>
      <c r="N286" s="5">
        <v>-2.361004</v>
      </c>
      <c r="O286" s="5">
        <v>-0.040651</v>
      </c>
    </row>
    <row r="287">
      <c r="A287" s="12" t="str">
        <f>IFERROR(__xludf.DUMMYFUNCTION("""COMPUTED_VALUE"""),"Ben Madgen")</f>
        <v>Ben Madgen</v>
      </c>
      <c r="B287" s="13" t="str">
        <f>IFERROR(__xludf.DUMMYFUNCTION("""COMPUTED_VALUE"""),"LIE")</f>
        <v>LIE</v>
      </c>
      <c r="C287" s="14">
        <f>IFERROR(__xludf.DUMMYFUNCTION("""COMPUTED_VALUE"""),189.0)</f>
        <v>189</v>
      </c>
      <c r="D287" s="15">
        <f>IFERROR(__xludf.DUMMYFUNCTION("""COMPUTED_VALUE"""),-1.1732968148482932)</f>
        <v>-1.173296815</v>
      </c>
      <c r="E287" s="15">
        <f>IFERROR(__xludf.DUMMYFUNCTION("""COMPUTED_VALUE"""),-1.212385981369062)</f>
        <v>-1.212385981</v>
      </c>
      <c r="F287" s="15">
        <f>IFERROR(__xludf.DUMMYFUNCTION("""COMPUTED_VALUE"""),-2.3856827962173552)</f>
        <v>-2.385682796</v>
      </c>
      <c r="G287" s="17">
        <f>IFERROR(__xludf.DUMMYFUNCTION("""COMPUTED_VALUE"""),-0.02205083404033761)</f>
        <v>-0.02205083404</v>
      </c>
      <c r="H287" s="4"/>
      <c r="I287" s="5" t="s">
        <v>2491</v>
      </c>
      <c r="J287" s="5" t="s">
        <v>2352</v>
      </c>
      <c r="K287" s="5">
        <v>189.0</v>
      </c>
      <c r="L287" s="5">
        <v>-1.173297</v>
      </c>
      <c r="M287" s="5">
        <v>-1.212386</v>
      </c>
      <c r="N287" s="5">
        <v>-2.385683</v>
      </c>
      <c r="O287" s="5">
        <v>-0.022051</v>
      </c>
    </row>
    <row r="288">
      <c r="A288" s="18" t="str">
        <f>IFERROR(__xludf.DUMMYFUNCTION("""COMPUTED_VALUE"""),"Ivan Fevrier")</f>
        <v>Ivan Fevrier</v>
      </c>
      <c r="B288" s="19" t="str">
        <f>IFERROR(__xludf.DUMMYFUNCTION("""COMPUTED_VALUE"""),"PLV")</f>
        <v>PLV</v>
      </c>
      <c r="C288" s="20">
        <f>IFERROR(__xludf.DUMMYFUNCTION("""COMPUTED_VALUE"""),88.5)</f>
        <v>88.5</v>
      </c>
      <c r="D288" s="21">
        <f>IFERROR(__xludf.DUMMYFUNCTION("""COMPUTED_VALUE"""),-1.9136462629568358)</f>
        <v>-1.913646263</v>
      </c>
      <c r="E288" s="21">
        <f>IFERROR(__xludf.DUMMYFUNCTION("""COMPUTED_VALUE"""),-0.5299920542205498)</f>
        <v>-0.5299920542</v>
      </c>
      <c r="F288" s="21">
        <f>IFERROR(__xludf.DUMMYFUNCTION("""COMPUTED_VALUE"""),-2.4436383171773857)</f>
        <v>-2.443638317</v>
      </c>
      <c r="G288" s="23">
        <f>IFERROR(__xludf.DUMMYFUNCTION("""COMPUTED_VALUE"""),-0.011971316360355129)</f>
        <v>-0.01197131636</v>
      </c>
      <c r="H288" s="4"/>
      <c r="I288" s="5" t="s">
        <v>1487</v>
      </c>
      <c r="J288" s="5" t="s">
        <v>1355</v>
      </c>
      <c r="K288" s="5">
        <v>89.0</v>
      </c>
      <c r="L288" s="5">
        <v>-1.913646</v>
      </c>
      <c r="M288" s="5">
        <v>-0.529992</v>
      </c>
      <c r="N288" s="5">
        <v>-2.443638</v>
      </c>
      <c r="O288" s="5">
        <v>-0.011971</v>
      </c>
    </row>
    <row r="289">
      <c r="A289" s="12" t="str">
        <f>IFERROR(__xludf.DUMMYFUNCTION("""COMPUTED_VALUE"""),"Przemek Karnowski")</f>
        <v>Przemek Karnowski</v>
      </c>
      <c r="B289" s="13" t="str">
        <f>IFERROR(__xludf.DUMMYFUNCTION("""COMPUTED_VALUE"""),"AND")</f>
        <v>AND</v>
      </c>
      <c r="C289" s="14">
        <f>IFERROR(__xludf.DUMMYFUNCTION("""COMPUTED_VALUE"""),182.8)</f>
        <v>182.8</v>
      </c>
      <c r="D289" s="15">
        <f>IFERROR(__xludf.DUMMYFUNCTION("""COMPUTED_VALUE"""),-3.0567525256025934)</f>
        <v>-3.056752526</v>
      </c>
      <c r="E289" s="15">
        <f>IFERROR(__xludf.DUMMYFUNCTION("""COMPUTED_VALUE"""),0.5896298156240851)</f>
        <v>0.5896298156</v>
      </c>
      <c r="F289" s="15">
        <f>IFERROR(__xludf.DUMMYFUNCTION("""COMPUTED_VALUE"""),-2.4671227099785082)</f>
        <v>-2.46712271</v>
      </c>
      <c r="G289" s="17">
        <f>IFERROR(__xludf.DUMMYFUNCTION("""COMPUTED_VALUE"""),-0.02603484789607508)</f>
        <v>-0.0260348479</v>
      </c>
      <c r="H289" s="4"/>
      <c r="I289" s="5" t="s">
        <v>596</v>
      </c>
      <c r="J289" s="5" t="s">
        <v>89</v>
      </c>
      <c r="K289" s="5">
        <v>183.0</v>
      </c>
      <c r="L289" s="5">
        <v>-3.056753</v>
      </c>
      <c r="M289" s="5">
        <v>0.58963</v>
      </c>
      <c r="N289" s="5">
        <v>-2.467123</v>
      </c>
      <c r="O289" s="5">
        <v>-0.026035</v>
      </c>
    </row>
    <row r="290">
      <c r="A290" s="18" t="str">
        <f>IFERROR(__xludf.DUMMYFUNCTION("""COMPUTED_VALUE"""),"Goksenin Koksal")</f>
        <v>Goksenin Koksal</v>
      </c>
      <c r="B290" s="19" t="str">
        <f>IFERROR(__xludf.DUMMYFUNCTION("""COMPUTED_VALUE"""),"GAL")</f>
        <v>GAL</v>
      </c>
      <c r="C290" s="20">
        <f>IFERROR(__xludf.DUMMYFUNCTION("""COMPUTED_VALUE"""),274.6)</f>
        <v>274.6</v>
      </c>
      <c r="D290" s="21">
        <f>IFERROR(__xludf.DUMMYFUNCTION("""COMPUTED_VALUE"""),-0.31379788654370544)</f>
        <v>-0.3137978865</v>
      </c>
      <c r="E290" s="21">
        <f>IFERROR(__xludf.DUMMYFUNCTION("""COMPUTED_VALUE"""),-2.1784247250886866)</f>
        <v>-2.178424725</v>
      </c>
      <c r="F290" s="21">
        <f>IFERROR(__xludf.DUMMYFUNCTION("""COMPUTED_VALUE"""),-2.492222611632392)</f>
        <v>-2.492222612</v>
      </c>
      <c r="G290" s="23">
        <f>IFERROR(__xludf.DUMMYFUNCTION("""COMPUTED_VALUE"""),-0.03967733961163621)</f>
        <v>-0.03967733961</v>
      </c>
      <c r="H290" s="4"/>
      <c r="I290" s="5" t="s">
        <v>2057</v>
      </c>
      <c r="J290" s="5" t="s">
        <v>1592</v>
      </c>
      <c r="K290" s="5">
        <v>275.0</v>
      </c>
      <c r="L290" s="5">
        <v>-0.313798</v>
      </c>
      <c r="M290" s="5">
        <v>-2.178425</v>
      </c>
      <c r="N290" s="5">
        <v>-2.492223</v>
      </c>
      <c r="O290" s="5">
        <v>-0.039677</v>
      </c>
    </row>
    <row r="291">
      <c r="A291" s="12" t="str">
        <f>IFERROR(__xludf.DUMMYFUNCTION("""COMPUTED_VALUE"""),"Gal Mekel")</f>
        <v>Gal Mekel</v>
      </c>
      <c r="B291" s="13" t="str">
        <f>IFERROR(__xludf.DUMMYFUNCTION("""COMPUTED_VALUE"""),"GCN")</f>
        <v>GCN</v>
      </c>
      <c r="C291" s="14">
        <f>IFERROR(__xludf.DUMMYFUNCTION("""COMPUTED_VALUE"""),380.5)</f>
        <v>380.5</v>
      </c>
      <c r="D291" s="15">
        <f>IFERROR(__xludf.DUMMYFUNCTION("""COMPUTED_VALUE"""),0.15587382355031298)</f>
        <v>0.1558738236</v>
      </c>
      <c r="E291" s="15">
        <f>IFERROR(__xludf.DUMMYFUNCTION("""COMPUTED_VALUE"""),-2.6564215388388144)</f>
        <v>-2.656421539</v>
      </c>
      <c r="F291" s="15">
        <f>IFERROR(__xludf.DUMMYFUNCTION("""COMPUTED_VALUE"""),-2.5005477152885014)</f>
        <v>-2.500547715</v>
      </c>
      <c r="G291" s="17">
        <f>IFERROR(__xludf.DUMMYFUNCTION("""COMPUTED_VALUE"""),-0.05687845927765914)</f>
        <v>-0.05687845928</v>
      </c>
      <c r="H291" s="4"/>
      <c r="I291" s="5" t="s">
        <v>580</v>
      </c>
      <c r="J291" s="5" t="s">
        <v>97</v>
      </c>
      <c r="K291" s="5">
        <v>381.0</v>
      </c>
      <c r="L291" s="5">
        <v>0.155874</v>
      </c>
      <c r="M291" s="5">
        <v>-2.656422</v>
      </c>
      <c r="N291" s="5">
        <v>-2.500548</v>
      </c>
      <c r="O291" s="5">
        <v>-0.056878</v>
      </c>
    </row>
    <row r="292">
      <c r="A292" s="18" t="str">
        <f>IFERROR(__xludf.DUMMYFUNCTION("""COMPUTED_VALUE"""),"Lucio Redivo")</f>
        <v>Lucio Redivo</v>
      </c>
      <c r="B292" s="19" t="str">
        <f>IFERROR(__xludf.DUMMYFUNCTION("""COMPUTED_VALUE"""),"BBB")</f>
        <v>BBB</v>
      </c>
      <c r="C292" s="20">
        <f>IFERROR(__xludf.DUMMYFUNCTION("""COMPUTED_VALUE"""),156.2)</f>
        <v>156.2</v>
      </c>
      <c r="D292" s="21">
        <f>IFERROR(__xludf.DUMMYFUNCTION("""COMPUTED_VALUE"""),0.9245266720210726)</f>
        <v>0.924526672</v>
      </c>
      <c r="E292" s="21">
        <f>IFERROR(__xludf.DUMMYFUNCTION("""COMPUTED_VALUE"""),-3.463897679995936)</f>
        <v>-3.46389768</v>
      </c>
      <c r="F292" s="21">
        <f>IFERROR(__xludf.DUMMYFUNCTION("""COMPUTED_VALUE"""),-2.539371007974863)</f>
        <v>-2.539371008</v>
      </c>
      <c r="G292" s="23">
        <f>IFERROR(__xludf.DUMMYFUNCTION("""COMPUTED_VALUE"""),-0.02568461560021804)</f>
        <v>-0.0256846156</v>
      </c>
      <c r="H292" s="4"/>
      <c r="I292" s="5" t="s">
        <v>602</v>
      </c>
      <c r="J292" s="5" t="s">
        <v>113</v>
      </c>
      <c r="K292" s="5">
        <v>156.0</v>
      </c>
      <c r="L292" s="5">
        <v>0.924527</v>
      </c>
      <c r="M292" s="5">
        <v>-3.463898</v>
      </c>
      <c r="N292" s="5">
        <v>-2.539371</v>
      </c>
      <c r="O292" s="5">
        <v>-0.025685</v>
      </c>
    </row>
    <row r="293">
      <c r="A293" s="12" t="str">
        <f>IFERROR(__xludf.DUMMYFUNCTION("""COMPUTED_VALUE"""),"Anton Ponkrashov")</f>
        <v>Anton Ponkrashov</v>
      </c>
      <c r="B293" s="13" t="str">
        <f>IFERROR(__xludf.DUMMYFUNCTION("""COMPUTED_VALUE"""),"UNI")</f>
        <v>UNI</v>
      </c>
      <c r="C293" s="14">
        <f>IFERROR(__xludf.DUMMYFUNCTION("""COMPUTED_VALUE"""),368.2)</f>
        <v>368.2</v>
      </c>
      <c r="D293" s="15">
        <f>IFERROR(__xludf.DUMMYFUNCTION("""COMPUTED_VALUE"""),-1.0187640078143119)</f>
        <v>-1.018764008</v>
      </c>
      <c r="E293" s="15">
        <f>IFERROR(__xludf.DUMMYFUNCTION("""COMPUTED_VALUE"""),-1.5585399630913508)</f>
        <v>-1.558539963</v>
      </c>
      <c r="F293" s="15">
        <f>IFERROR(__xludf.DUMMYFUNCTION("""COMPUTED_VALUE"""),-2.5773039709056627)</f>
        <v>-2.577303971</v>
      </c>
      <c r="G293" s="17">
        <f>IFERROR(__xludf.DUMMYFUNCTION("""COMPUTED_VALUE"""),-0.06396425593382697)</f>
        <v>-0.06396425593</v>
      </c>
      <c r="H293" s="4"/>
      <c r="I293" s="5" t="s">
        <v>2903</v>
      </c>
      <c r="J293" s="5" t="s">
        <v>22</v>
      </c>
      <c r="K293" s="5">
        <v>368.0</v>
      </c>
      <c r="L293" s="5">
        <v>-1.018764</v>
      </c>
      <c r="M293" s="5">
        <v>-1.55854</v>
      </c>
      <c r="N293" s="5">
        <v>-2.577304</v>
      </c>
      <c r="O293" s="5">
        <v>-0.063964</v>
      </c>
    </row>
    <row r="294">
      <c r="A294" s="18" t="str">
        <f>IFERROR(__xludf.DUMMYFUNCTION("""COMPUTED_VALUE"""),"Emir Preldzic")</f>
        <v>Emir Preldzic</v>
      </c>
      <c r="B294" s="19" t="str">
        <f>IFERROR(__xludf.DUMMYFUNCTION("""COMPUTED_VALUE"""),"GAL")</f>
        <v>GAL</v>
      </c>
      <c r="C294" s="20">
        <f>IFERROR(__xludf.DUMMYFUNCTION("""COMPUTED_VALUE"""),226.0)</f>
        <v>226</v>
      </c>
      <c r="D294" s="21">
        <f>IFERROR(__xludf.DUMMYFUNCTION("""COMPUTED_VALUE"""),-2.818825063371251)</f>
        <v>-2.818825063</v>
      </c>
      <c r="E294" s="21">
        <f>IFERROR(__xludf.DUMMYFUNCTION("""COMPUTED_VALUE"""),0.19939327714373967)</f>
        <v>0.1993932771</v>
      </c>
      <c r="F294" s="21">
        <f>IFERROR(__xludf.DUMMYFUNCTION("""COMPUTED_VALUE"""),-2.619431786227511)</f>
        <v>-2.619431786</v>
      </c>
      <c r="G294" s="23">
        <f>IFERROR(__xludf.DUMMYFUNCTION("""COMPUTED_VALUE"""),-0.04109437485090798)</f>
        <v>-0.04109437485</v>
      </c>
      <c r="H294" s="4"/>
      <c r="I294" s="5" t="s">
        <v>1927</v>
      </c>
      <c r="J294" s="5" t="s">
        <v>1592</v>
      </c>
      <c r="K294" s="5">
        <v>226.0</v>
      </c>
      <c r="L294" s="5">
        <v>-2.818825</v>
      </c>
      <c r="M294" s="5">
        <v>0.199393</v>
      </c>
      <c r="N294" s="5">
        <v>-2.619432</v>
      </c>
      <c r="O294" s="5">
        <v>-0.041094</v>
      </c>
    </row>
    <row r="295">
      <c r="A295" s="12" t="str">
        <f>IFERROR(__xludf.DUMMYFUNCTION("""COMPUTED_VALUE"""),"Ryan Thompson")</f>
        <v>Ryan Thompson</v>
      </c>
      <c r="B295" s="13" t="str">
        <f>IFERROR(__xludf.DUMMYFUNCTION("""COMPUTED_VALUE"""),"RUL")</f>
        <v>RUL</v>
      </c>
      <c r="C295" s="14">
        <f>IFERROR(__xludf.DUMMYFUNCTION("""COMPUTED_VALUE"""),206.8)</f>
        <v>206.8</v>
      </c>
      <c r="D295" s="15">
        <f>IFERROR(__xludf.DUMMYFUNCTION("""COMPUTED_VALUE"""),-0.2987891396019071)</f>
        <v>-0.2987891396</v>
      </c>
      <c r="E295" s="15">
        <f>IFERROR(__xludf.DUMMYFUNCTION("""COMPUTED_VALUE"""),-2.4029249645700252)</f>
        <v>-2.402924965</v>
      </c>
      <c r="F295" s="15">
        <f>IFERROR(__xludf.DUMMYFUNCTION("""COMPUTED_VALUE"""),-2.7017141041719324)</f>
        <v>-2.701714104</v>
      </c>
      <c r="G295" s="17">
        <f>IFERROR(__xludf.DUMMYFUNCTION("""COMPUTED_VALUE"""),-0.044237794739658824)</f>
        <v>-0.04423779474</v>
      </c>
      <c r="H295" s="4"/>
      <c r="I295" s="5" t="s">
        <v>1034</v>
      </c>
      <c r="J295" s="5" t="s">
        <v>693</v>
      </c>
      <c r="K295" s="5">
        <v>207.0</v>
      </c>
      <c r="L295" s="5">
        <v>-0.298789</v>
      </c>
      <c r="M295" s="5">
        <v>-2.402925</v>
      </c>
      <c r="N295" s="5">
        <v>-2.701714</v>
      </c>
      <c r="O295" s="5">
        <v>-0.044238</v>
      </c>
    </row>
    <row r="296">
      <c r="A296" s="18" t="str">
        <f>IFERROR(__xludf.DUMMYFUNCTION("""COMPUTED_VALUE"""),"Ksystof Lavrinovic")</f>
        <v>Ksystof Lavrinovic</v>
      </c>
      <c r="B296" s="19" t="str">
        <f>IFERROR(__xludf.DUMMYFUNCTION("""COMPUTED_VALUE"""),"TEC")</f>
        <v>TEC</v>
      </c>
      <c r="C296" s="20">
        <f>IFERROR(__xludf.DUMMYFUNCTION("""COMPUTED_VALUE"""),222.6)</f>
        <v>222.6</v>
      </c>
      <c r="D296" s="21">
        <f>IFERROR(__xludf.DUMMYFUNCTION("""COMPUTED_VALUE"""),-1.364626515318218)</f>
        <v>-1.364626515</v>
      </c>
      <c r="E296" s="21">
        <f>IFERROR(__xludf.DUMMYFUNCTION("""COMPUTED_VALUE"""),-1.3395801213625906)</f>
        <v>-1.339580121</v>
      </c>
      <c r="F296" s="21">
        <f>IFERROR(__xludf.DUMMYFUNCTION("""COMPUTED_VALUE"""),-2.7042066366808086)</f>
        <v>-2.704206637</v>
      </c>
      <c r="G296" s="23">
        <f>IFERROR(__xludf.DUMMYFUNCTION("""COMPUTED_VALUE"""),-0.05477231625734915)</f>
        <v>-0.05477231626</v>
      </c>
      <c r="H296" s="4"/>
      <c r="I296" s="5" t="s">
        <v>2446</v>
      </c>
      <c r="J296" s="5" t="s">
        <v>2400</v>
      </c>
      <c r="K296" s="5">
        <v>223.0</v>
      </c>
      <c r="L296" s="5">
        <v>-1.364627</v>
      </c>
      <c r="M296" s="5">
        <v>-1.33958</v>
      </c>
      <c r="N296" s="5">
        <v>-2.704207</v>
      </c>
      <c r="O296" s="5">
        <v>-0.054772</v>
      </c>
    </row>
    <row r="297">
      <c r="A297" s="12" t="str">
        <f>IFERROR(__xludf.DUMMYFUNCTION("""COMPUTED_VALUE"""),"Niccolo De Vico")</f>
        <v>Niccolo De Vico</v>
      </c>
      <c r="B297" s="13" t="str">
        <f>IFERROR(__xludf.DUMMYFUNCTION("""COMPUTED_VALUE"""),"REG")</f>
        <v>REG</v>
      </c>
      <c r="C297" s="14">
        <f>IFERROR(__xludf.DUMMYFUNCTION("""COMPUTED_VALUE"""),178.6)</f>
        <v>178.6</v>
      </c>
      <c r="D297" s="15">
        <f>IFERROR(__xludf.DUMMYFUNCTION("""COMPUTED_VALUE"""),-2.5152288072453097)</f>
        <v>-2.515228807</v>
      </c>
      <c r="E297" s="15">
        <f>IFERROR(__xludf.DUMMYFUNCTION("""COMPUTED_VALUE"""),-0.2685665996926394)</f>
        <v>-0.2685665997</v>
      </c>
      <c r="F297" s="15">
        <f>IFERROR(__xludf.DUMMYFUNCTION("""COMPUTED_VALUE"""),-2.783795406937949)</f>
        <v>-2.783795407</v>
      </c>
      <c r="G297" s="17">
        <f>IFERROR(__xludf.DUMMYFUNCTION("""COMPUTED_VALUE"""),-0.042427083759255836)</f>
        <v>-0.04242708376</v>
      </c>
      <c r="H297" s="4"/>
      <c r="I297" s="5" t="s">
        <v>2390</v>
      </c>
      <c r="J297" s="5" t="s">
        <v>2135</v>
      </c>
      <c r="K297" s="5">
        <v>179.0</v>
      </c>
      <c r="L297" s="5">
        <v>-2.515229</v>
      </c>
      <c r="M297" s="5">
        <v>-0.268567</v>
      </c>
      <c r="N297" s="5">
        <v>-2.783795</v>
      </c>
      <c r="O297" s="5">
        <v>-0.042427</v>
      </c>
    </row>
    <row r="298">
      <c r="A298" s="18" t="str">
        <f>IFERROR(__xludf.DUMMYFUNCTION("""COMPUTED_VALUE"""),"Jonathan Tabu")</f>
        <v>Jonathan Tabu</v>
      </c>
      <c r="B298" s="19" t="str">
        <f>IFERROR(__xludf.DUMMYFUNCTION("""COMPUTED_VALUE"""),"BBB")</f>
        <v>BBB</v>
      </c>
      <c r="C298" s="20">
        <f>IFERROR(__xludf.DUMMYFUNCTION("""COMPUTED_VALUE"""),162.2)</f>
        <v>162.2</v>
      </c>
      <c r="D298" s="21">
        <f>IFERROR(__xludf.DUMMYFUNCTION("""COMPUTED_VALUE"""),-0.19876244088650105)</f>
        <v>-0.1987624409</v>
      </c>
      <c r="E298" s="21">
        <f>IFERROR(__xludf.DUMMYFUNCTION("""COMPUTED_VALUE"""),-2.585465568272776)</f>
        <v>-2.585465568</v>
      </c>
      <c r="F298" s="21">
        <f>IFERROR(__xludf.DUMMYFUNCTION("""COMPUTED_VALUE"""),-2.784228009159277)</f>
        <v>-2.784228009</v>
      </c>
      <c r="G298" s="23">
        <f>IFERROR(__xludf.DUMMYFUNCTION("""COMPUTED_VALUE"""),-0.03877909247392348)</f>
        <v>-0.03877909247</v>
      </c>
      <c r="H298" s="4"/>
      <c r="I298" s="5" t="s">
        <v>534</v>
      </c>
      <c r="J298" s="5" t="s">
        <v>113</v>
      </c>
      <c r="K298" s="5">
        <v>162.0</v>
      </c>
      <c r="L298" s="5">
        <v>-0.198762</v>
      </c>
      <c r="M298" s="5">
        <v>-2.585466</v>
      </c>
      <c r="N298" s="5">
        <v>-2.784228</v>
      </c>
      <c r="O298" s="5">
        <v>-0.038779</v>
      </c>
    </row>
    <row r="299">
      <c r="A299" s="12" t="str">
        <f>IFERROR(__xludf.DUMMYFUNCTION("""COMPUTED_VALUE"""),"Nikola Tanaskovic")</f>
        <v>Nikola Tanaskovic</v>
      </c>
      <c r="B299" s="13" t="str">
        <f>IFERROR(__xludf.DUMMYFUNCTION("""COMPUTED_VALUE"""),"PAR")</f>
        <v>PAR</v>
      </c>
      <c r="C299" s="14">
        <f>IFERROR(__xludf.DUMMYFUNCTION("""COMPUTED_VALUE"""),98.0)</f>
        <v>98</v>
      </c>
      <c r="D299" s="15">
        <f>IFERROR(__xludf.DUMMYFUNCTION("""COMPUTED_VALUE"""),-1.2941465123857072)</f>
        <v>-1.294146512</v>
      </c>
      <c r="E299" s="15">
        <f>IFERROR(__xludf.DUMMYFUNCTION("""COMPUTED_VALUE"""),-1.5059433654778256)</f>
        <v>-1.505943365</v>
      </c>
      <c r="F299" s="15">
        <f>IFERROR(__xludf.DUMMYFUNCTION("""COMPUTED_VALUE"""),-2.800089877863533)</f>
        <v>-2.800089878</v>
      </c>
      <c r="G299" s="17">
        <f>IFERROR(__xludf.DUMMYFUNCTION("""COMPUTED_VALUE"""),-0.02390871070618709)</f>
        <v>-0.02390871071</v>
      </c>
      <c r="H299" s="4"/>
      <c r="I299" s="5" t="s">
        <v>1099</v>
      </c>
      <c r="J299" s="5" t="s">
        <v>962</v>
      </c>
      <c r="K299" s="5">
        <v>98.0</v>
      </c>
      <c r="L299" s="5">
        <v>-1.294147</v>
      </c>
      <c r="M299" s="5">
        <v>-1.505943</v>
      </c>
      <c r="N299" s="5">
        <v>-2.80009</v>
      </c>
      <c r="O299" s="5">
        <v>-0.023909</v>
      </c>
    </row>
    <row r="300">
      <c r="A300" s="18" t="str">
        <f>IFERROR(__xludf.DUMMYFUNCTION("""COMPUTED_VALUE"""),"Strahinja Gavrilovic")</f>
        <v>Strahinja Gavrilovic</v>
      </c>
      <c r="B300" s="19" t="str">
        <f>IFERROR(__xludf.DUMMYFUNCTION("""COMPUTED_VALUE"""),"PAR")</f>
        <v>PAR</v>
      </c>
      <c r="C300" s="20">
        <f>IFERROR(__xludf.DUMMYFUNCTION("""COMPUTED_VALUE"""),122.8)</f>
        <v>122.8</v>
      </c>
      <c r="D300" s="21">
        <f>IFERROR(__xludf.DUMMYFUNCTION("""COMPUTED_VALUE"""),-1.3782677169361608)</f>
        <v>-1.378267717</v>
      </c>
      <c r="E300" s="21">
        <f>IFERROR(__xludf.DUMMYFUNCTION("""COMPUTED_VALUE"""),-1.4470545858471193)</f>
        <v>-1.447054586</v>
      </c>
      <c r="F300" s="21">
        <f>IFERROR(__xludf.DUMMYFUNCTION("""COMPUTED_VALUE"""),-2.82532230278328)</f>
        <v>-2.825322303</v>
      </c>
      <c r="G300" s="23">
        <f>IFERROR(__xludf.DUMMYFUNCTION("""COMPUTED_VALUE"""),-0.03090389740832674)</f>
        <v>-0.03090389741</v>
      </c>
      <c r="H300" s="4"/>
      <c r="I300" s="5" t="s">
        <v>1183</v>
      </c>
      <c r="J300" s="5" t="s">
        <v>962</v>
      </c>
      <c r="K300" s="5">
        <v>123.0</v>
      </c>
      <c r="L300" s="5">
        <v>-1.378268</v>
      </c>
      <c r="M300" s="5">
        <v>-1.447055</v>
      </c>
      <c r="N300" s="5">
        <v>-2.825322</v>
      </c>
      <c r="O300" s="5">
        <v>-0.030904</v>
      </c>
    </row>
    <row r="301">
      <c r="A301" s="12" t="str">
        <f>IFERROR(__xludf.DUMMYFUNCTION("""COMPUTED_VALUE"""),"DeMarcus Nelson")</f>
        <v>DeMarcus Nelson</v>
      </c>
      <c r="B301" s="13" t="str">
        <f>IFERROR(__xludf.DUMMYFUNCTION("""COMPUTED_VALUE"""),"LYV")</f>
        <v>LYV</v>
      </c>
      <c r="C301" s="14">
        <f>IFERROR(__xludf.DUMMYFUNCTION("""COMPUTED_VALUE"""),267.8)</f>
        <v>267.8</v>
      </c>
      <c r="D301" s="15">
        <f>IFERROR(__xludf.DUMMYFUNCTION("""COMPUTED_VALUE"""),-3.9675985103596902)</f>
        <v>-3.96759851</v>
      </c>
      <c r="E301" s="15">
        <f>IFERROR(__xludf.DUMMYFUNCTION("""COMPUTED_VALUE"""),1.0994532095783849)</f>
        <v>1.09945321</v>
      </c>
      <c r="F301" s="15">
        <f>IFERROR(__xludf.DUMMYFUNCTION("""COMPUTED_VALUE"""),-2.8681453007813054)</f>
        <v>-2.868145301</v>
      </c>
      <c r="G301" s="17">
        <f>IFERROR(__xludf.DUMMYFUNCTION("""COMPUTED_VALUE"""),-0.07247534526324055)</f>
        <v>-0.07247534526</v>
      </c>
      <c r="H301" s="4"/>
      <c r="I301" s="5" t="s">
        <v>1497</v>
      </c>
      <c r="J301" s="5" t="s">
        <v>1342</v>
      </c>
      <c r="K301" s="5">
        <v>268.0</v>
      </c>
      <c r="L301" s="5">
        <v>-3.967599</v>
      </c>
      <c r="M301" s="5">
        <v>1.099453</v>
      </c>
      <c r="N301" s="5">
        <v>-2.868145</v>
      </c>
      <c r="O301" s="5">
        <v>-0.072475</v>
      </c>
    </row>
    <row r="302">
      <c r="A302" s="18" t="str">
        <f>IFERROR(__xludf.DUMMYFUNCTION("""COMPUTED_VALUE"""),"Jimmy Baron")</f>
        <v>Jimmy Baron</v>
      </c>
      <c r="B302" s="19" t="str">
        <f>IFERROR(__xludf.DUMMYFUNCTION("""COMPUTED_VALUE"""),"LIE")</f>
        <v>LIE</v>
      </c>
      <c r="C302" s="20">
        <f>IFERROR(__xludf.DUMMYFUNCTION("""COMPUTED_VALUE"""),368.0)</f>
        <v>368</v>
      </c>
      <c r="D302" s="21">
        <f>IFERROR(__xludf.DUMMYFUNCTION("""COMPUTED_VALUE"""),-0.18893677807843456)</f>
        <v>-0.1889367781</v>
      </c>
      <c r="E302" s="21">
        <f>IFERROR(__xludf.DUMMYFUNCTION("""COMPUTED_VALUE"""),-2.6819054894357324)</f>
        <v>-2.681905489</v>
      </c>
      <c r="F302" s="21">
        <f>IFERROR(__xludf.DUMMYFUNCTION("""COMPUTED_VALUE"""),-2.870842267514167)</f>
        <v>-2.870842268</v>
      </c>
      <c r="G302" s="23">
        <f>IFERROR(__xludf.DUMMYFUNCTION("""COMPUTED_VALUE"""),-0.09694385107218106)</f>
        <v>-0.09694385107</v>
      </c>
      <c r="H302" s="4"/>
      <c r="I302" s="5" t="s">
        <v>2425</v>
      </c>
      <c r="J302" s="5" t="s">
        <v>2352</v>
      </c>
      <c r="K302" s="5">
        <v>368.0</v>
      </c>
      <c r="L302" s="5">
        <v>-0.188937</v>
      </c>
      <c r="M302" s="5">
        <v>-2.681905</v>
      </c>
      <c r="N302" s="5">
        <v>-2.870842</v>
      </c>
      <c r="O302" s="5">
        <v>-0.096944</v>
      </c>
    </row>
    <row r="303">
      <c r="A303" s="12" t="str">
        <f>IFERROR(__xludf.DUMMYFUNCTION("""COMPUTED_VALUE"""),"Andreja Stevanovic")</f>
        <v>Andreja Stevanovic</v>
      </c>
      <c r="B303" s="13" t="str">
        <f>IFERROR(__xludf.DUMMYFUNCTION("""COMPUTED_VALUE"""),"PAR")</f>
        <v>PAR</v>
      </c>
      <c r="C303" s="14">
        <f>IFERROR(__xludf.DUMMYFUNCTION("""COMPUTED_VALUE"""),86.4)</f>
        <v>86.4</v>
      </c>
      <c r="D303" s="15">
        <f>IFERROR(__xludf.DUMMYFUNCTION("""COMPUTED_VALUE"""),-1.5745274216129332)</f>
        <v>-1.574527422</v>
      </c>
      <c r="E303" s="15">
        <f>IFERROR(__xludf.DUMMYFUNCTION("""COMPUTED_VALUE"""),-1.3939783722222536)</f>
        <v>-1.393978372</v>
      </c>
      <c r="F303" s="15">
        <f>IFERROR(__xludf.DUMMYFUNCTION("""COMPUTED_VALUE"""),-2.968505793835187)</f>
        <v>-2.968505794</v>
      </c>
      <c r="G303" s="17">
        <f>IFERROR(__xludf.DUMMYFUNCTION("""COMPUTED_VALUE"""),-0.02551568728826402)</f>
        <v>-0.02551568729</v>
      </c>
      <c r="H303" s="4"/>
      <c r="I303" s="5" t="s">
        <v>1180</v>
      </c>
      <c r="J303" s="5" t="s">
        <v>962</v>
      </c>
      <c r="K303" s="5">
        <v>86.0</v>
      </c>
      <c r="L303" s="5">
        <v>-1.574527</v>
      </c>
      <c r="M303" s="5">
        <v>-1.393978</v>
      </c>
      <c r="N303" s="5">
        <v>-2.968506</v>
      </c>
      <c r="O303" s="5">
        <v>-0.025516</v>
      </c>
    </row>
    <row r="304">
      <c r="A304" s="18" t="str">
        <f>IFERROR(__xludf.DUMMYFUNCTION("""COMPUTED_VALUE"""),"Patrick Miller")</f>
        <v>Patrick Miller</v>
      </c>
      <c r="B304" s="19" t="str">
        <f>IFERROR(__xludf.DUMMYFUNCTION("""COMPUTED_VALUE"""),"PAR")</f>
        <v>PAR</v>
      </c>
      <c r="C304" s="20">
        <f>IFERROR(__xludf.DUMMYFUNCTION("""COMPUTED_VALUE"""),263.5)</f>
        <v>263.5</v>
      </c>
      <c r="D304" s="21">
        <f>IFERROR(__xludf.DUMMYFUNCTION("""COMPUTED_VALUE"""),1.7389068329248156)</f>
        <v>1.738906833</v>
      </c>
      <c r="E304" s="21">
        <f>IFERROR(__xludf.DUMMYFUNCTION("""COMPUTED_VALUE"""),-4.779523460922859)</f>
        <v>-4.779523461</v>
      </c>
      <c r="F304" s="21">
        <f>IFERROR(__xludf.DUMMYFUNCTION("""COMPUTED_VALUE"""),-3.0406166279980438)</f>
        <v>-3.040616628</v>
      </c>
      <c r="G304" s="23">
        <f>IFERROR(__xludf.DUMMYFUNCTION("""COMPUTED_VALUE"""),-0.08361085915249622)</f>
        <v>-0.08361085915</v>
      </c>
      <c r="H304" s="4"/>
      <c r="I304" s="5" t="s">
        <v>990</v>
      </c>
      <c r="J304" s="5" t="s">
        <v>962</v>
      </c>
      <c r="K304" s="5">
        <v>264.0</v>
      </c>
      <c r="L304" s="5">
        <v>1.738907</v>
      </c>
      <c r="M304" s="5">
        <v>-4.779523</v>
      </c>
      <c r="N304" s="5">
        <v>-3.040617</v>
      </c>
      <c r="O304" s="5">
        <v>-0.083611</v>
      </c>
    </row>
    <row r="305">
      <c r="A305" s="12" t="str">
        <f>IFERROR(__xludf.DUMMYFUNCTION("""COMPUTED_VALUE"""),"Tim Schneider")</f>
        <v>Tim Schneider</v>
      </c>
      <c r="B305" s="13" t="str">
        <f>IFERROR(__xludf.DUMMYFUNCTION("""COMPUTED_VALUE"""),"BER")</f>
        <v>BER</v>
      </c>
      <c r="C305" s="14">
        <f>IFERROR(__xludf.DUMMYFUNCTION("""COMPUTED_VALUE"""),178.6)</f>
        <v>178.6</v>
      </c>
      <c r="D305" s="15">
        <f>IFERROR(__xludf.DUMMYFUNCTION("""COMPUTED_VALUE"""),-1.9159931433228572)</f>
        <v>-1.915993143</v>
      </c>
      <c r="E305" s="15">
        <f>IFERROR(__xludf.DUMMYFUNCTION("""COMPUTED_VALUE"""),-1.1776740339945986)</f>
        <v>-1.177674034</v>
      </c>
      <c r="F305" s="15">
        <f>IFERROR(__xludf.DUMMYFUNCTION("""COMPUTED_VALUE"""),-3.0936671773174558)</f>
        <v>-3.093667177</v>
      </c>
      <c r="G305" s="17">
        <f>IFERROR(__xludf.DUMMYFUNCTION("""COMPUTED_VALUE"""),-0.059316100770462836)</f>
        <v>-0.05931610077</v>
      </c>
      <c r="H305" s="4"/>
      <c r="I305" s="5" t="s">
        <v>718</v>
      </c>
      <c r="J305" s="5" t="s">
        <v>634</v>
      </c>
      <c r="K305" s="5">
        <v>179.0</v>
      </c>
      <c r="L305" s="5">
        <v>-1.915993</v>
      </c>
      <c r="M305" s="5">
        <v>-1.177674</v>
      </c>
      <c r="N305" s="5">
        <v>-3.093667</v>
      </c>
      <c r="O305" s="5">
        <v>-0.059316</v>
      </c>
    </row>
    <row r="306">
      <c r="A306" s="18" t="str">
        <f>IFERROR(__xludf.DUMMYFUNCTION("""COMPUTED_VALUE"""),"Ismet Akpinar")</f>
        <v>Ismet Akpinar</v>
      </c>
      <c r="B306" s="19" t="str">
        <f>IFERROR(__xludf.DUMMYFUNCTION("""COMPUTED_VALUE"""),"RUL")</f>
        <v>RUL</v>
      </c>
      <c r="C306" s="20">
        <f>IFERROR(__xludf.DUMMYFUNCTION("""COMPUTED_VALUE"""),186.7)</f>
        <v>186.7</v>
      </c>
      <c r="D306" s="21">
        <f>IFERROR(__xludf.DUMMYFUNCTION("""COMPUTED_VALUE"""),-1.2582966583108481)</f>
        <v>-1.258296658</v>
      </c>
      <c r="E306" s="21">
        <f>IFERROR(__xludf.DUMMYFUNCTION("""COMPUTED_VALUE"""),-1.835481157583331)</f>
        <v>-1.835481158</v>
      </c>
      <c r="F306" s="21">
        <f>IFERROR(__xludf.DUMMYFUNCTION("""COMPUTED_VALUE"""),-3.093777815894179)</f>
        <v>-3.093777816</v>
      </c>
      <c r="G306" s="23">
        <f>IFERROR(__xludf.DUMMYFUNCTION("""COMPUTED_VALUE"""),-0.06225240836509129)</f>
        <v>-0.06225240837</v>
      </c>
      <c r="H306" s="4"/>
      <c r="I306" s="5" t="s">
        <v>981</v>
      </c>
      <c r="J306" s="5" t="s">
        <v>693</v>
      </c>
      <c r="K306" s="5">
        <v>187.0</v>
      </c>
      <c r="L306" s="5">
        <v>-1.258297</v>
      </c>
      <c r="M306" s="5">
        <v>-1.835481</v>
      </c>
      <c r="N306" s="5">
        <v>-3.093778</v>
      </c>
      <c r="O306" s="5">
        <v>-0.062252</v>
      </c>
    </row>
    <row r="307">
      <c r="A307" s="12" t="str">
        <f>IFERROR(__xludf.DUMMYFUNCTION("""COMPUTED_VALUE"""),"Ivan Paunic")</f>
        <v>Ivan Paunic</v>
      </c>
      <c r="B307" s="13" t="str">
        <f>IFERROR(__xludf.DUMMYFUNCTION("""COMPUTED_VALUE"""),"TOF")</f>
        <v>TOF</v>
      </c>
      <c r="C307" s="14">
        <f>IFERROR(__xludf.DUMMYFUNCTION("""COMPUTED_VALUE"""),166.1)</f>
        <v>166.1</v>
      </c>
      <c r="D307" s="15">
        <f>IFERROR(__xludf.DUMMYFUNCTION("""COMPUTED_VALUE"""),-1.205246034071287)</f>
        <v>-1.205246034</v>
      </c>
      <c r="E307" s="15">
        <f>IFERROR(__xludf.DUMMYFUNCTION("""COMPUTED_VALUE"""),-1.9790027851540524)</f>
        <v>-1.979002785</v>
      </c>
      <c r="F307" s="15">
        <f>IFERROR(__xludf.DUMMYFUNCTION("""COMPUTED_VALUE"""),-3.1842488192253393)</f>
        <v>-3.184248819</v>
      </c>
      <c r="G307" s="17">
        <f>IFERROR(__xludf.DUMMYFUNCTION("""COMPUTED_VALUE"""),-0.05992271087804416)</f>
        <v>-0.05992271088</v>
      </c>
      <c r="H307" s="4"/>
      <c r="I307" s="5" t="s">
        <v>2053</v>
      </c>
      <c r="J307" s="5" t="s">
        <v>1878</v>
      </c>
      <c r="K307" s="5">
        <v>166.0</v>
      </c>
      <c r="L307" s="5">
        <v>-1.205246</v>
      </c>
      <c r="M307" s="5">
        <v>-1.979003</v>
      </c>
      <c r="N307" s="5">
        <v>-3.184249</v>
      </c>
      <c r="O307" s="5">
        <v>-0.059923</v>
      </c>
    </row>
    <row r="308">
      <c r="A308" s="18" t="str">
        <f>IFERROR(__xludf.DUMMYFUNCTION("""COMPUTED_VALUE"""),"Louis Campbell")</f>
        <v>Louis Campbell</v>
      </c>
      <c r="B308" s="19" t="str">
        <f>IFERROR(__xludf.DUMMYFUNCTION("""COMPUTED_VALUE"""),"PLV")</f>
        <v>PLV</v>
      </c>
      <c r="C308" s="20">
        <f>IFERROR(__xludf.DUMMYFUNCTION("""COMPUTED_VALUE"""),233.2)</f>
        <v>233.2</v>
      </c>
      <c r="D308" s="21">
        <f>IFERROR(__xludf.DUMMYFUNCTION("""COMPUTED_VALUE"""),-2.9142713812887675)</f>
        <v>-2.914271381</v>
      </c>
      <c r="E308" s="21">
        <f>IFERROR(__xludf.DUMMYFUNCTION("""COMPUTED_VALUE"""),-0.27673324372225405)</f>
        <v>-0.2767332437</v>
      </c>
      <c r="F308" s="21">
        <f>IFERROR(__xludf.DUMMYFUNCTION("""COMPUTED_VALUE"""),-3.1910046250110216)</f>
        <v>-3.191004625</v>
      </c>
      <c r="G308" s="23">
        <f>IFERROR(__xludf.DUMMYFUNCTION("""COMPUTED_VALUE"""),-0.08468599254820915)</f>
        <v>-0.08468599255</v>
      </c>
      <c r="H308" s="4"/>
      <c r="I308" s="5" t="s">
        <v>1534</v>
      </c>
      <c r="J308" s="5" t="s">
        <v>1355</v>
      </c>
      <c r="K308" s="5">
        <v>233.0</v>
      </c>
      <c r="L308" s="5">
        <v>-2.914271</v>
      </c>
      <c r="M308" s="5">
        <v>-0.276733</v>
      </c>
      <c r="N308" s="5">
        <v>-3.191005</v>
      </c>
      <c r="O308" s="5">
        <v>-0.084686</v>
      </c>
    </row>
    <row r="309">
      <c r="A309" s="12" t="str">
        <f>IFERROR(__xludf.DUMMYFUNCTION("""COMPUTED_VALUE"""),"Maxime Roos")</f>
        <v>Maxime Roos</v>
      </c>
      <c r="B309" s="13" t="str">
        <f>IFERROR(__xludf.DUMMYFUNCTION("""COMPUTED_VALUE"""),"PLV")</f>
        <v>PLV</v>
      </c>
      <c r="C309" s="14">
        <f>IFERROR(__xludf.DUMMYFUNCTION("""COMPUTED_VALUE"""),139.9)</f>
        <v>139.9</v>
      </c>
      <c r="D309" s="15">
        <f>IFERROR(__xludf.DUMMYFUNCTION("""COMPUTED_VALUE"""),-3.742993161942225)</f>
        <v>-3.742993162</v>
      </c>
      <c r="E309" s="15">
        <f>IFERROR(__xludf.DUMMYFUNCTION("""COMPUTED_VALUE"""),0.5160381492629402)</f>
        <v>0.5160381493</v>
      </c>
      <c r="F309" s="15">
        <f>IFERROR(__xludf.DUMMYFUNCTION("""COMPUTED_VALUE"""),-3.226955012679285)</f>
        <v>-3.226955013</v>
      </c>
      <c r="G309" s="17">
        <f>IFERROR(__xludf.DUMMYFUNCTION("""COMPUTED_VALUE"""),-0.052337857649738126)</f>
        <v>-0.05233785765</v>
      </c>
      <c r="H309" s="4"/>
      <c r="I309" s="5" t="s">
        <v>1519</v>
      </c>
      <c r="J309" s="5" t="s">
        <v>1355</v>
      </c>
      <c r="K309" s="5">
        <v>140.0</v>
      </c>
      <c r="L309" s="5">
        <v>-3.742993</v>
      </c>
      <c r="M309" s="5">
        <v>0.516038</v>
      </c>
      <c r="N309" s="5">
        <v>-3.226955</v>
      </c>
      <c r="O309" s="5">
        <v>-0.052338</v>
      </c>
    </row>
    <row r="310">
      <c r="A310" s="18" t="str">
        <f>IFERROR(__xludf.DUMMYFUNCTION("""COMPUTED_VALUE"""),"Austin Daye")</f>
        <v>Austin Daye</v>
      </c>
      <c r="B310" s="19" t="str">
        <f>IFERROR(__xludf.DUMMYFUNCTION("""COMPUTED_VALUE"""),"HAPJ")</f>
        <v>HAPJ</v>
      </c>
      <c r="C310" s="20">
        <f>IFERROR(__xludf.DUMMYFUNCTION("""COMPUTED_VALUE"""),180.2)</f>
        <v>180.2</v>
      </c>
      <c r="D310" s="21">
        <f>IFERROR(__xludf.DUMMYFUNCTION("""COMPUTED_VALUE"""),-2.4285041198274695)</f>
        <v>-2.42850412</v>
      </c>
      <c r="E310" s="21">
        <f>IFERROR(__xludf.DUMMYFUNCTION("""COMPUTED_VALUE"""),-0.8228683346328682)</f>
        <v>-0.8228683346</v>
      </c>
      <c r="F310" s="21">
        <f>IFERROR(__xludf.DUMMYFUNCTION("""COMPUTED_VALUE"""),-3.2513724544603377)</f>
        <v>-3.251372454</v>
      </c>
      <c r="G310" s="23">
        <f>IFERROR(__xludf.DUMMYFUNCTION("""COMPUTED_VALUE"""),-0.06877325243522818)</f>
        <v>-0.06877325244</v>
      </c>
      <c r="H310" s="4"/>
      <c r="I310" s="5" t="s">
        <v>1668</v>
      </c>
      <c r="J310" s="5" t="s">
        <v>1572</v>
      </c>
      <c r="K310" s="5">
        <v>180.0</v>
      </c>
      <c r="L310" s="5">
        <v>-2.428504</v>
      </c>
      <c r="M310" s="5">
        <v>-0.822868</v>
      </c>
      <c r="N310" s="5">
        <v>-3.251372</v>
      </c>
      <c r="O310" s="5">
        <v>-0.068773</v>
      </c>
    </row>
    <row r="311">
      <c r="A311" s="12" t="str">
        <f>IFERROR(__xludf.DUMMYFUNCTION("""COMPUTED_VALUE"""),"Klemen Prepelic")</f>
        <v>Klemen Prepelic</v>
      </c>
      <c r="B311" s="13" t="str">
        <f>IFERROR(__xludf.DUMMYFUNCTION("""COMPUTED_VALUE"""),"PLV")</f>
        <v>PLV</v>
      </c>
      <c r="C311" s="14">
        <f>IFERROR(__xludf.DUMMYFUNCTION("""COMPUTED_VALUE"""),243.1)</f>
        <v>243.1</v>
      </c>
      <c r="D311" s="15">
        <f>IFERROR(__xludf.DUMMYFUNCTION("""COMPUTED_VALUE"""),0.2253988982866849)</f>
        <v>0.2253988983</v>
      </c>
      <c r="E311" s="15">
        <f>IFERROR(__xludf.DUMMYFUNCTION("""COMPUTED_VALUE"""),-3.510455574496074)</f>
        <v>-3.510455574</v>
      </c>
      <c r="F311" s="15">
        <f>IFERROR(__xludf.DUMMYFUNCTION("""COMPUTED_VALUE"""),-3.2850566762093893)</f>
        <v>-3.285056676</v>
      </c>
      <c r="G311" s="17">
        <f>IFERROR(__xludf.DUMMYFUNCTION("""COMPUTED_VALUE"""),-0.09525259781664218)</f>
        <v>-0.09525259782</v>
      </c>
      <c r="H311" s="4"/>
      <c r="I311" s="5" t="s">
        <v>1406</v>
      </c>
      <c r="J311" s="5" t="s">
        <v>1355</v>
      </c>
      <c r="K311" s="5">
        <v>243.0</v>
      </c>
      <c r="L311" s="5">
        <v>0.225399</v>
      </c>
      <c r="M311" s="5">
        <v>-3.510456</v>
      </c>
      <c r="N311" s="5">
        <v>-3.285057</v>
      </c>
      <c r="O311" s="5">
        <v>-0.095253</v>
      </c>
    </row>
    <row r="312">
      <c r="A312" s="18" t="str">
        <f>IFERROR(__xludf.DUMMYFUNCTION("""COMPUTED_VALUE"""),"Isaac Fotu")</f>
        <v>Isaac Fotu</v>
      </c>
      <c r="B312" s="19" t="str">
        <f>IFERROR(__xludf.DUMMYFUNCTION("""COMPUTED_VALUE"""),"RUL")</f>
        <v>RUL</v>
      </c>
      <c r="C312" s="20">
        <f>IFERROR(__xludf.DUMMYFUNCTION("""COMPUTED_VALUE"""),237.7)</f>
        <v>237.7</v>
      </c>
      <c r="D312" s="21">
        <f>IFERROR(__xludf.DUMMYFUNCTION("""COMPUTED_VALUE"""),-0.6489661174095309)</f>
        <v>-0.6489661174</v>
      </c>
      <c r="E312" s="21">
        <f>IFERROR(__xludf.DUMMYFUNCTION("""COMPUTED_VALUE"""),-2.6730282519729434)</f>
        <v>-2.673028252</v>
      </c>
      <c r="F312" s="21">
        <f>IFERROR(__xludf.DUMMYFUNCTION("""COMPUTED_VALUE"""),-3.3219943693824745)</f>
        <v>-3.321994369</v>
      </c>
      <c r="G312" s="23">
        <f>IFERROR(__xludf.DUMMYFUNCTION("""COMPUTED_VALUE"""),-0.09579470760308546)</f>
        <v>-0.0957947076</v>
      </c>
      <c r="H312" s="4"/>
      <c r="I312" s="5" t="s">
        <v>692</v>
      </c>
      <c r="J312" s="5" t="s">
        <v>693</v>
      </c>
      <c r="K312" s="5">
        <v>238.0</v>
      </c>
      <c r="L312" s="5">
        <v>-0.648966</v>
      </c>
      <c r="M312" s="5">
        <v>-2.673028</v>
      </c>
      <c r="N312" s="5">
        <v>-3.321994</v>
      </c>
      <c r="O312" s="5">
        <v>-0.095795</v>
      </c>
    </row>
    <row r="313">
      <c r="A313" s="12" t="str">
        <f>IFERROR(__xludf.DUMMYFUNCTION("""COMPUTED_VALUE"""),"Andrew Albicy")</f>
        <v>Andrew Albicy</v>
      </c>
      <c r="B313" s="13" t="str">
        <f>IFERROR(__xludf.DUMMYFUNCTION("""COMPUTED_VALUE"""),"AND")</f>
        <v>AND</v>
      </c>
      <c r="C313" s="14">
        <f>IFERROR(__xludf.DUMMYFUNCTION("""COMPUTED_VALUE"""),207.2)</f>
        <v>207.2</v>
      </c>
      <c r="D313" s="15">
        <f>IFERROR(__xludf.DUMMYFUNCTION("""COMPUTED_VALUE"""),-0.6971143053200175)</f>
        <v>-0.6971143053</v>
      </c>
      <c r="E313" s="15">
        <f>IFERROR(__xludf.DUMMYFUNCTION("""COMPUTED_VALUE"""),-2.690370140628521)</f>
        <v>-2.690370141</v>
      </c>
      <c r="F313" s="15">
        <f>IFERROR(__xludf.DUMMYFUNCTION("""COMPUTED_VALUE"""),-3.3874844459485383)</f>
        <v>-3.387484446</v>
      </c>
      <c r="G313" s="17">
        <f>IFERROR(__xludf.DUMMYFUNCTION("""COMPUTED_VALUE"""),-0.08765279032260671)</f>
        <v>-0.08765279032</v>
      </c>
      <c r="H313" s="4"/>
      <c r="I313" s="5" t="s">
        <v>270</v>
      </c>
      <c r="J313" s="5" t="s">
        <v>89</v>
      </c>
      <c r="K313" s="5">
        <v>207.0</v>
      </c>
      <c r="L313" s="5">
        <v>-0.697114</v>
      </c>
      <c r="M313" s="5">
        <v>-2.69037</v>
      </c>
      <c r="N313" s="5">
        <v>-3.387484</v>
      </c>
      <c r="O313" s="5">
        <v>-0.087653</v>
      </c>
    </row>
    <row r="314">
      <c r="A314" s="18" t="str">
        <f>IFERROR(__xludf.DUMMYFUNCTION("""COMPUTED_VALUE"""),"Djoko Salic")</f>
        <v>Djoko Salic</v>
      </c>
      <c r="B314" s="19" t="str">
        <f>IFERROR(__xludf.DUMMYFUNCTION("""COMPUTED_VALUE"""),"PAR")</f>
        <v>PAR</v>
      </c>
      <c r="C314" s="20">
        <f>IFERROR(__xludf.DUMMYFUNCTION("""COMPUTED_VALUE"""),194.7)</f>
        <v>194.7</v>
      </c>
      <c r="D314" s="21">
        <f>IFERROR(__xludf.DUMMYFUNCTION("""COMPUTED_VALUE"""),-0.6826931939427927)</f>
        <v>-0.6826931939</v>
      </c>
      <c r="E314" s="21">
        <f>IFERROR(__xludf.DUMMYFUNCTION("""COMPUTED_VALUE"""),-2.705984633879032)</f>
        <v>-2.705984634</v>
      </c>
      <c r="F314" s="21">
        <f>IFERROR(__xludf.DUMMYFUNCTION("""COMPUTED_VALUE"""),-3.388677827821825)</f>
        <v>-3.388677828</v>
      </c>
      <c r="G314" s="23">
        <f>IFERROR(__xludf.DUMMYFUNCTION("""COMPUTED_VALUE"""),-0.08244394374915667)</f>
        <v>-0.08244394375</v>
      </c>
      <c r="H314" s="4"/>
      <c r="I314" s="5" t="s">
        <v>1325</v>
      </c>
      <c r="J314" s="5" t="s">
        <v>962</v>
      </c>
      <c r="K314" s="5">
        <v>195.0</v>
      </c>
      <c r="L314" s="5">
        <v>-0.682693</v>
      </c>
      <c r="M314" s="5">
        <v>-2.705985</v>
      </c>
      <c r="N314" s="5">
        <v>-3.388678</v>
      </c>
      <c r="O314" s="5">
        <v>-0.082444</v>
      </c>
    </row>
    <row r="315">
      <c r="A315" s="12" t="str">
        <f>IFERROR(__xludf.DUMMYFUNCTION("""COMPUTED_VALUE"""),"Yotam Halperin")</f>
        <v>Yotam Halperin</v>
      </c>
      <c r="B315" s="13" t="str">
        <f>IFERROR(__xludf.DUMMYFUNCTION("""COMPUTED_VALUE"""),"HAPJ")</f>
        <v>HAPJ</v>
      </c>
      <c r="C315" s="14">
        <f>IFERROR(__xludf.DUMMYFUNCTION("""COMPUTED_VALUE"""),141.9)</f>
        <v>141.9</v>
      </c>
      <c r="D315" s="15">
        <f>IFERROR(__xludf.DUMMYFUNCTION("""COMPUTED_VALUE"""),-1.9257388401609055)</f>
        <v>-1.92573884</v>
      </c>
      <c r="E315" s="15">
        <f>IFERROR(__xludf.DUMMYFUNCTION("""COMPUTED_VALUE"""),-1.4771033891386038)</f>
        <v>-1.477103389</v>
      </c>
      <c r="F315" s="15">
        <f>IFERROR(__xludf.DUMMYFUNCTION("""COMPUTED_VALUE"""),-3.4028422292995093)</f>
        <v>-3.402842229</v>
      </c>
      <c r="G315" s="17">
        <f>IFERROR(__xludf.DUMMYFUNCTION("""COMPUTED_VALUE"""),-0.06071128319838783)</f>
        <v>-0.0607112832</v>
      </c>
      <c r="H315" s="4"/>
      <c r="I315" s="5" t="s">
        <v>1589</v>
      </c>
      <c r="J315" s="5" t="s">
        <v>1572</v>
      </c>
      <c r="K315" s="5">
        <v>142.0</v>
      </c>
      <c r="L315" s="5">
        <v>-1.925739</v>
      </c>
      <c r="M315" s="5">
        <v>-1.477103</v>
      </c>
      <c r="N315" s="5">
        <v>-3.402842</v>
      </c>
      <c r="O315" s="5">
        <v>-0.060711</v>
      </c>
    </row>
    <row r="316">
      <c r="A316" s="18" t="str">
        <f>IFERROR(__xludf.DUMMYFUNCTION("""COMPUTED_VALUE"""),"Luca Lechthaler")</f>
        <v>Luca Lechthaler</v>
      </c>
      <c r="B316" s="19" t="str">
        <f>IFERROR(__xludf.DUMMYFUNCTION("""COMPUTED_VALUE"""),"TREN")</f>
        <v>TREN</v>
      </c>
      <c r="C316" s="20">
        <f>IFERROR(__xludf.DUMMYFUNCTION("""COMPUTED_VALUE"""),91.2)</f>
        <v>91.2</v>
      </c>
      <c r="D316" s="21">
        <f>IFERROR(__xludf.DUMMYFUNCTION("""COMPUTED_VALUE"""),-2.8764936349368613)</f>
        <v>-2.876493635</v>
      </c>
      <c r="E316" s="21">
        <f>IFERROR(__xludf.DUMMYFUNCTION("""COMPUTED_VALUE"""),-0.5636162844757884)</f>
        <v>-0.5636162845</v>
      </c>
      <c r="F316" s="21">
        <f>IFERROR(__xludf.DUMMYFUNCTION("""COMPUTED_VALUE"""),-3.4401099194126497)</f>
        <v>-3.440109919</v>
      </c>
      <c r="G316" s="23">
        <f>IFERROR(__xludf.DUMMYFUNCTION("""COMPUTED_VALUE"""),-0.03942240968388919)</f>
        <v>-0.03942240968</v>
      </c>
      <c r="H316" s="4"/>
      <c r="I316" s="5" t="s">
        <v>2360</v>
      </c>
      <c r="J316" s="5" t="s">
        <v>2143</v>
      </c>
      <c r="K316" s="5">
        <v>91.0</v>
      </c>
      <c r="L316" s="5">
        <v>-2.876494</v>
      </c>
      <c r="M316" s="5">
        <v>-0.563616</v>
      </c>
      <c r="N316" s="5">
        <v>-3.44011</v>
      </c>
      <c r="O316" s="5">
        <v>-0.039422</v>
      </c>
    </row>
    <row r="317">
      <c r="A317" s="12" t="str">
        <f>IFERROR(__xludf.DUMMYFUNCTION("""COMPUTED_VALUE"""),"Valerio Mazzola")</f>
        <v>Valerio Mazzola</v>
      </c>
      <c r="B317" s="13" t="str">
        <f>IFERROR(__xludf.DUMMYFUNCTION("""COMPUTED_VALUE"""),"TOR")</f>
        <v>TOR</v>
      </c>
      <c r="C317" s="14">
        <f>IFERROR(__xludf.DUMMYFUNCTION("""COMPUTED_VALUE"""),190.1)</f>
        <v>190.1</v>
      </c>
      <c r="D317" s="15">
        <f>IFERROR(__xludf.DUMMYFUNCTION("""COMPUTED_VALUE"""),-2.6753075651163023)</f>
        <v>-2.675307565</v>
      </c>
      <c r="E317" s="15">
        <f>IFERROR(__xludf.DUMMYFUNCTION("""COMPUTED_VALUE"""),-0.8004824060784146)</f>
        <v>-0.8004824061</v>
      </c>
      <c r="F317" s="15">
        <f>IFERROR(__xludf.DUMMYFUNCTION("""COMPUTED_VALUE"""),-3.475789971194717)</f>
        <v>-3.475789971</v>
      </c>
      <c r="G317" s="17">
        <f>IFERROR(__xludf.DUMMYFUNCTION("""COMPUTED_VALUE"""),-0.08553817342977707)</f>
        <v>-0.08553817343</v>
      </c>
      <c r="H317" s="4"/>
      <c r="I317" s="5" t="s">
        <v>2450</v>
      </c>
      <c r="J317" s="5" t="s">
        <v>2140</v>
      </c>
      <c r="K317" s="5">
        <v>190.0</v>
      </c>
      <c r="L317" s="5">
        <v>-2.675308</v>
      </c>
      <c r="M317" s="5">
        <v>-0.800482</v>
      </c>
      <c r="N317" s="5">
        <v>-3.47579</v>
      </c>
      <c r="O317" s="5">
        <v>-0.085538</v>
      </c>
    </row>
    <row r="318">
      <c r="A318" s="18" t="str">
        <f>IFERROR(__xludf.DUMMYFUNCTION("""COMPUTED_VALUE"""),"Jean-Frederic Morency")</f>
        <v>Jean-Frederic Morency</v>
      </c>
      <c r="B318" s="19" t="str">
        <f>IFERROR(__xludf.DUMMYFUNCTION("""COMPUTED_VALUE"""),"CSP")</f>
        <v>CSP</v>
      </c>
      <c r="C318" s="20">
        <f>IFERROR(__xludf.DUMMYFUNCTION("""COMPUTED_VALUE"""),221.8)</f>
        <v>221.8</v>
      </c>
      <c r="D318" s="21">
        <f>IFERROR(__xludf.DUMMYFUNCTION("""COMPUTED_VALUE"""),-3.2376661745239317)</f>
        <v>-3.237666175</v>
      </c>
      <c r="E318" s="21">
        <f>IFERROR(__xludf.DUMMYFUNCTION("""COMPUTED_VALUE"""),-0.23977536734476956)</f>
        <v>-0.2397753673</v>
      </c>
      <c r="F318" s="21">
        <f>IFERROR(__xludf.DUMMYFUNCTION("""COMPUTED_VALUE"""),-3.4774415418687012)</f>
        <v>-3.477441542</v>
      </c>
      <c r="G318" s="23">
        <f>IFERROR(__xludf.DUMMYFUNCTION("""COMPUTED_VALUE"""),-0.0999137244817063)</f>
        <v>-0.09991372448</v>
      </c>
      <c r="H318" s="4"/>
      <c r="I318" s="5" t="s">
        <v>1419</v>
      </c>
      <c r="J318" s="5" t="s">
        <v>1327</v>
      </c>
      <c r="K318" s="5">
        <v>222.0</v>
      </c>
      <c r="L318" s="5">
        <v>-3.237666</v>
      </c>
      <c r="M318" s="5">
        <v>-0.239775</v>
      </c>
      <c r="N318" s="5">
        <v>-3.477442</v>
      </c>
      <c r="O318" s="5">
        <v>-0.099914</v>
      </c>
    </row>
    <row r="319">
      <c r="A319" s="12" t="str">
        <f>IFERROR(__xludf.DUMMYFUNCTION("""COMPUTED_VALUE"""),"Trey Lewis")</f>
        <v>Trey Lewis</v>
      </c>
      <c r="B319" s="13" t="str">
        <f>IFERROR(__xludf.DUMMYFUNCTION("""COMPUTED_VALUE"""),"RUL")</f>
        <v>RUL</v>
      </c>
      <c r="C319" s="14">
        <f>IFERROR(__xludf.DUMMYFUNCTION("""COMPUTED_VALUE"""),239.3)</f>
        <v>239.3</v>
      </c>
      <c r="D319" s="15">
        <f>IFERROR(__xludf.DUMMYFUNCTION("""COMPUTED_VALUE"""),1.1268105484120303)</f>
        <v>1.126810548</v>
      </c>
      <c r="E319" s="15">
        <f>IFERROR(__xludf.DUMMYFUNCTION("""COMPUTED_VALUE"""),-4.656814828006025)</f>
        <v>-4.656814828</v>
      </c>
      <c r="F319" s="15">
        <f>IFERROR(__xludf.DUMMYFUNCTION("""COMPUTED_VALUE"""),-3.5300042795939954)</f>
        <v>-3.53000428</v>
      </c>
      <c r="G319" s="17">
        <f>IFERROR(__xludf.DUMMYFUNCTION("""COMPUTED_VALUE"""),-0.11161384596505076)</f>
        <v>-0.111613846</v>
      </c>
      <c r="H319" s="4"/>
      <c r="I319" s="5" t="s">
        <v>1162</v>
      </c>
      <c r="J319" s="5" t="s">
        <v>693</v>
      </c>
      <c r="K319" s="5">
        <v>239.0</v>
      </c>
      <c r="L319" s="5">
        <v>1.126811</v>
      </c>
      <c r="M319" s="5">
        <v>-4.656815</v>
      </c>
      <c r="N319" s="5">
        <v>-3.530004</v>
      </c>
      <c r="O319" s="5">
        <v>-0.111614</v>
      </c>
    </row>
    <row r="320">
      <c r="A320" s="18" t="str">
        <f>IFERROR(__xludf.DUMMYFUNCTION("""COMPUTED_VALUE"""),"Aleksandar Aranitovic")</f>
        <v>Aleksandar Aranitovic</v>
      </c>
      <c r="B320" s="19" t="str">
        <f>IFERROR(__xludf.DUMMYFUNCTION("""COMPUTED_VALUE"""),"PAR")</f>
        <v>PAR</v>
      </c>
      <c r="C320" s="20">
        <f>IFERROR(__xludf.DUMMYFUNCTION("""COMPUTED_VALUE"""),130.8)</f>
        <v>130.8</v>
      </c>
      <c r="D320" s="21">
        <f>IFERROR(__xludf.DUMMYFUNCTION("""COMPUTED_VALUE"""),-2.1798652961637286)</f>
        <v>-2.179865296</v>
      </c>
      <c r="E320" s="21">
        <f>IFERROR(__xludf.DUMMYFUNCTION("""COMPUTED_VALUE"""),-1.4425427980089531)</f>
        <v>-1.442542798</v>
      </c>
      <c r="F320" s="21">
        <f>IFERROR(__xludf.DUMMYFUNCTION("""COMPUTED_VALUE"""),-3.6224080941726817)</f>
        <v>-3.622408094</v>
      </c>
      <c r="G320" s="23">
        <f>IFERROR(__xludf.DUMMYFUNCTION("""COMPUTED_VALUE"""),-0.0647081753475786)</f>
        <v>-0.06470817535</v>
      </c>
      <c r="H320" s="4"/>
      <c r="I320" s="5" t="s">
        <v>975</v>
      </c>
      <c r="J320" s="5" t="s">
        <v>962</v>
      </c>
      <c r="K320" s="5">
        <v>131.0</v>
      </c>
      <c r="L320" s="5">
        <v>-2.179865</v>
      </c>
      <c r="M320" s="5">
        <v>-1.442543</v>
      </c>
      <c r="N320" s="5">
        <v>-3.622408</v>
      </c>
      <c r="O320" s="5">
        <v>-0.064708</v>
      </c>
    </row>
    <row r="321">
      <c r="A321" s="12" t="str">
        <f>IFERROR(__xludf.DUMMYFUNCTION("""COMPUTED_VALUE"""),"Yogev Ohayon")</f>
        <v>Yogev Ohayon</v>
      </c>
      <c r="B321" s="13" t="str">
        <f>IFERROR(__xludf.DUMMYFUNCTION("""COMPUTED_VALUE"""),"HAPJ")</f>
        <v>HAPJ</v>
      </c>
      <c r="C321" s="14">
        <f>IFERROR(__xludf.DUMMYFUNCTION("""COMPUTED_VALUE"""),190.9)</f>
        <v>190.9</v>
      </c>
      <c r="D321" s="15">
        <f>IFERROR(__xludf.DUMMYFUNCTION("""COMPUTED_VALUE"""),-3.7206369491788904)</f>
        <v>-3.720636949</v>
      </c>
      <c r="E321" s="15">
        <f>IFERROR(__xludf.DUMMYFUNCTION("""COMPUTED_VALUE"""),0.02961813772890398)</f>
        <v>0.02961813773</v>
      </c>
      <c r="F321" s="15">
        <f>IFERROR(__xludf.DUMMYFUNCTION("""COMPUTED_VALUE"""),-3.6910188114499864)</f>
        <v>-3.691018811</v>
      </c>
      <c r="G321" s="17">
        <f>IFERROR(__xludf.DUMMYFUNCTION("""COMPUTED_VALUE"""),-0.09845381588000993)</f>
        <v>-0.09845381588</v>
      </c>
      <c r="H321" s="4"/>
      <c r="I321" s="5" t="s">
        <v>1801</v>
      </c>
      <c r="J321" s="5" t="s">
        <v>1572</v>
      </c>
      <c r="K321" s="5">
        <v>191.0</v>
      </c>
      <c r="L321" s="5">
        <v>-3.720637</v>
      </c>
      <c r="M321" s="5">
        <v>0.029618</v>
      </c>
      <c r="N321" s="5">
        <v>-3.691019</v>
      </c>
      <c r="O321" s="5">
        <v>-0.098454</v>
      </c>
    </row>
    <row r="322">
      <c r="A322" s="18" t="str">
        <f>IFERROR(__xludf.DUMMYFUNCTION("""COMPUTED_VALUE"""),"Rakeem Christmas")</f>
        <v>Rakeem Christmas</v>
      </c>
      <c r="B322" s="19" t="str">
        <f>IFERROR(__xludf.DUMMYFUNCTION("""COMPUTED_VALUE"""),"GAL")</f>
        <v>GAL</v>
      </c>
      <c r="C322" s="20">
        <f>IFERROR(__xludf.DUMMYFUNCTION("""COMPUTED_VALUE"""),80.0)</f>
        <v>80</v>
      </c>
      <c r="D322" s="21">
        <f>IFERROR(__xludf.DUMMYFUNCTION("""COMPUTED_VALUE"""),-2.7857949486105027)</f>
        <v>-2.785794949</v>
      </c>
      <c r="E322" s="21">
        <f>IFERROR(__xludf.DUMMYFUNCTION("""COMPUTED_VALUE"""),-0.9917132819669203)</f>
        <v>-0.991713282</v>
      </c>
      <c r="F322" s="21">
        <f>IFERROR(__xludf.DUMMYFUNCTION("""COMPUTED_VALUE"""),-3.777508230577423)</f>
        <v>-3.777508231</v>
      </c>
      <c r="G322" s="23">
        <f>IFERROR(__xludf.DUMMYFUNCTION("""COMPUTED_VALUE"""),-0.041742846307688805)</f>
        <v>-0.04174284631</v>
      </c>
      <c r="H322" s="4"/>
      <c r="I322" s="5" t="s">
        <v>368</v>
      </c>
      <c r="J322" s="5" t="s">
        <v>1592</v>
      </c>
      <c r="K322" s="5">
        <v>80.0</v>
      </c>
      <c r="L322" s="5">
        <v>-2.785795</v>
      </c>
      <c r="M322" s="5">
        <v>-0.991713</v>
      </c>
      <c r="N322" s="5">
        <v>-3.777508</v>
      </c>
      <c r="O322" s="5">
        <v>-0.041743</v>
      </c>
    </row>
    <row r="323">
      <c r="A323" s="12" t="str">
        <f>IFERROR(__xludf.DUMMYFUNCTION("""COMPUTED_VALUE"""),"Brian Conklin")</f>
        <v>Brian Conklin</v>
      </c>
      <c r="B323" s="13" t="str">
        <f>IFERROR(__xludf.DUMMYFUNCTION("""COMPUTED_VALUE"""),"CSP")</f>
        <v>CSP</v>
      </c>
      <c r="C323" s="14">
        <f>IFERROR(__xludf.DUMMYFUNCTION("""COMPUTED_VALUE"""),291.9)</f>
        <v>291.9</v>
      </c>
      <c r="D323" s="15">
        <f>IFERROR(__xludf.DUMMYFUNCTION("""COMPUTED_VALUE"""),-2.2613866666792934)</f>
        <v>-2.261386667</v>
      </c>
      <c r="E323" s="15">
        <f>IFERROR(__xludf.DUMMYFUNCTION("""COMPUTED_VALUE"""),-1.5535328590612059)</f>
        <v>-1.553532859</v>
      </c>
      <c r="F323" s="15">
        <f>IFERROR(__xludf.DUMMYFUNCTION("""COMPUTED_VALUE"""),-3.8149195257404993)</f>
        <v>-3.814919526</v>
      </c>
      <c r="G323" s="17">
        <f>IFERROR(__xludf.DUMMYFUNCTION("""COMPUTED_VALUE"""),-0.16152686663759525)</f>
        <v>-0.1615268666</v>
      </c>
      <c r="H323" s="4"/>
      <c r="I323" s="5" t="s">
        <v>1480</v>
      </c>
      <c r="J323" s="5" t="s">
        <v>1327</v>
      </c>
      <c r="K323" s="5">
        <v>292.0</v>
      </c>
      <c r="L323" s="5">
        <v>-2.261387</v>
      </c>
      <c r="M323" s="5">
        <v>-1.553533</v>
      </c>
      <c r="N323" s="5">
        <v>-3.81492</v>
      </c>
      <c r="O323" s="5">
        <v>-0.161527</v>
      </c>
    </row>
    <row r="324">
      <c r="A324" s="18" t="str">
        <f>IFERROR(__xludf.DUMMYFUNCTION("""COMPUTED_VALUE"""),"Kyle Gibson")</f>
        <v>Kyle Gibson</v>
      </c>
      <c r="B324" s="19" t="str">
        <f>IFERROR(__xludf.DUMMYFUNCTION("""COMPUTED_VALUE"""),"BUD")</f>
        <v>BUD</v>
      </c>
      <c r="C324" s="20">
        <f>IFERROR(__xludf.DUMMYFUNCTION("""COMPUTED_VALUE"""),490.4)</f>
        <v>490.4</v>
      </c>
      <c r="D324" s="21">
        <f>IFERROR(__xludf.DUMMYFUNCTION("""COMPUTED_VALUE"""),-2.7133230953760257)</f>
        <v>-2.713323095</v>
      </c>
      <c r="E324" s="21">
        <f>IFERROR(__xludf.DUMMYFUNCTION("""COMPUTED_VALUE"""),-1.1887218343799733)</f>
        <v>-1.188721834</v>
      </c>
      <c r="F324" s="21">
        <f>IFERROR(__xludf.DUMMYFUNCTION("""COMPUTED_VALUE"""),-3.902044929755999)</f>
        <v>-3.90204493</v>
      </c>
      <c r="G324" s="23">
        <f>IFERROR(__xludf.DUMMYFUNCTION("""COMPUTED_VALUE"""),-0.2804986809157293)</f>
        <v>-0.2804986809</v>
      </c>
      <c r="H324" s="4"/>
      <c r="I324" s="5" t="s">
        <v>1163</v>
      </c>
      <c r="J324" s="5" t="s">
        <v>914</v>
      </c>
      <c r="K324" s="5">
        <v>490.0</v>
      </c>
      <c r="L324" s="5">
        <v>-2.713323</v>
      </c>
      <c r="M324" s="5">
        <v>-1.188722</v>
      </c>
      <c r="N324" s="5">
        <v>-3.902045</v>
      </c>
      <c r="O324" s="5">
        <v>-0.280499</v>
      </c>
    </row>
    <row r="325">
      <c r="A325" s="12" t="str">
        <f>IFERROR(__xludf.DUMMYFUNCTION("""COMPUTED_VALUE"""),"Danny Gibson")</f>
        <v>Danny Gibson</v>
      </c>
      <c r="B325" s="13" t="str">
        <f>IFERROR(__xludf.DUMMYFUNCTION("""COMPUTED_VALUE"""),"CSP")</f>
        <v>CSP</v>
      </c>
      <c r="C325" s="14">
        <f>IFERROR(__xludf.DUMMYFUNCTION("""COMPUTED_VALUE"""),332.6)</f>
        <v>332.6</v>
      </c>
      <c r="D325" s="15">
        <f>IFERROR(__xludf.DUMMYFUNCTION("""COMPUTED_VALUE"""),0.5364279119773014)</f>
        <v>0.536427912</v>
      </c>
      <c r="E325" s="15">
        <f>IFERROR(__xludf.DUMMYFUNCTION("""COMPUTED_VALUE"""),-4.485604606450199)</f>
        <v>-4.485604606</v>
      </c>
      <c r="F325" s="15">
        <f>IFERROR(__xludf.DUMMYFUNCTION("""COMPUTED_VALUE"""),-3.9491766944728974)</f>
        <v>-3.949176694</v>
      </c>
      <c r="G325" s="17">
        <f>IFERROR(__xludf.DUMMYFUNCTION("""COMPUTED_VALUE"""),-0.19766362488560585)</f>
        <v>-0.1976636249</v>
      </c>
      <c r="H325" s="4"/>
      <c r="I325" s="5" t="s">
        <v>1518</v>
      </c>
      <c r="J325" s="5" t="s">
        <v>1327</v>
      </c>
      <c r="K325" s="5">
        <v>333.0</v>
      </c>
      <c r="L325" s="5">
        <v>0.536428</v>
      </c>
      <c r="M325" s="5">
        <v>-4.485605</v>
      </c>
      <c r="N325" s="5">
        <v>-3.949177</v>
      </c>
      <c r="O325" s="5">
        <v>-0.197664</v>
      </c>
    </row>
    <row r="326">
      <c r="A326" s="18" t="str">
        <f>IFERROR(__xludf.DUMMYFUNCTION("""COMPUTED_VALUE"""),"Lorenzo Williams")</f>
        <v>Lorenzo Williams</v>
      </c>
      <c r="B326" s="19" t="str">
        <f>IFERROR(__xludf.DUMMYFUNCTION("""COMPUTED_VALUE"""),"TEC")</f>
        <v>TEC</v>
      </c>
      <c r="C326" s="20">
        <f>IFERROR(__xludf.DUMMYFUNCTION("""COMPUTED_VALUE"""),204.5)</f>
        <v>204.5</v>
      </c>
      <c r="D326" s="21">
        <f>IFERROR(__xludf.DUMMYFUNCTION("""COMPUTED_VALUE"""),-3.0859995280927297)</f>
        <v>-3.085999528</v>
      </c>
      <c r="E326" s="21">
        <f>IFERROR(__xludf.DUMMYFUNCTION("""COMPUTED_VALUE"""),-0.9553030570346728)</f>
        <v>-0.955303057</v>
      </c>
      <c r="F326" s="21">
        <f>IFERROR(__xludf.DUMMYFUNCTION("""COMPUTED_VALUE"""),-4.0413025851274025)</f>
        <v>-4.041302585</v>
      </c>
      <c r="G326" s="23">
        <f>IFERROR(__xludf.DUMMYFUNCTION("""COMPUTED_VALUE"""),-0.14586010818394424)</f>
        <v>-0.1458601082</v>
      </c>
      <c r="H326" s="4"/>
      <c r="I326" s="5" t="s">
        <v>2582</v>
      </c>
      <c r="J326" s="5" t="s">
        <v>2400</v>
      </c>
      <c r="K326" s="5">
        <v>205.0</v>
      </c>
      <c r="L326" s="5">
        <v>-3.086</v>
      </c>
      <c r="M326" s="5">
        <v>-0.955303</v>
      </c>
      <c r="N326" s="5">
        <v>-4.041303</v>
      </c>
      <c r="O326" s="5">
        <v>-0.14586</v>
      </c>
    </row>
    <row r="327">
      <c r="A327" s="12" t="str">
        <f>IFERROR(__xludf.DUMMYFUNCTION("""COMPUTED_VALUE"""),"Gary Talton")</f>
        <v>Gary Talton</v>
      </c>
      <c r="B327" s="13" t="str">
        <f>IFERROR(__xludf.DUMMYFUNCTION("""COMPUTED_VALUE"""),"TEC")</f>
        <v>TEC</v>
      </c>
      <c r="C327" s="14">
        <f>IFERROR(__xludf.DUMMYFUNCTION("""COMPUTED_VALUE"""),187.4)</f>
        <v>187.4</v>
      </c>
      <c r="D327" s="15">
        <f>IFERROR(__xludf.DUMMYFUNCTION("""COMPUTED_VALUE"""),-2.9680319032475495)</f>
        <v>-2.968031903</v>
      </c>
      <c r="E327" s="15">
        <f>IFERROR(__xludf.DUMMYFUNCTION("""COMPUTED_VALUE"""),-1.1144039104686216)</f>
        <v>-1.11440391</v>
      </c>
      <c r="F327" s="15">
        <f>IFERROR(__xludf.DUMMYFUNCTION("""COMPUTED_VALUE"""),-4.082435813716171)</f>
        <v>-4.082435814</v>
      </c>
      <c r="G327" s="17">
        <f>IFERROR(__xludf.DUMMYFUNCTION("""COMPUTED_VALUE"""),-0.13635687642835845)</f>
        <v>-0.1363568764</v>
      </c>
      <c r="H327" s="4"/>
      <c r="I327" s="5" t="s">
        <v>1057</v>
      </c>
      <c r="J327" s="5" t="s">
        <v>2400</v>
      </c>
      <c r="K327" s="5">
        <v>187.0</v>
      </c>
      <c r="L327" s="5">
        <v>-2.968032</v>
      </c>
      <c r="M327" s="5">
        <v>-1.114404</v>
      </c>
      <c r="N327" s="5">
        <v>-4.082436</v>
      </c>
      <c r="O327" s="5">
        <v>-0.136357</v>
      </c>
    </row>
    <row r="328">
      <c r="A328" s="18" t="str">
        <f>IFERROR(__xludf.DUMMYFUNCTION("""COMPUTED_VALUE"""),"Per Gunther")</f>
        <v>Per Gunther</v>
      </c>
      <c r="B328" s="19" t="str">
        <f>IFERROR(__xludf.DUMMYFUNCTION("""COMPUTED_VALUE"""),"RUL")</f>
        <v>RUL</v>
      </c>
      <c r="C328" s="20">
        <f>IFERROR(__xludf.DUMMYFUNCTION("""COMPUTED_VALUE"""),137.7)</f>
        <v>137.7</v>
      </c>
      <c r="D328" s="21">
        <f>IFERROR(__xludf.DUMMYFUNCTION("""COMPUTED_VALUE"""),-1.6859651619105405)</f>
        <v>-1.685965162</v>
      </c>
      <c r="E328" s="21">
        <f>IFERROR(__xludf.DUMMYFUNCTION("""COMPUTED_VALUE"""),-2.487421487784765)</f>
        <v>-2.487421488</v>
      </c>
      <c r="F328" s="21">
        <f>IFERROR(__xludf.DUMMYFUNCTION("""COMPUTED_VALUE"""),-4.173386649695305)</f>
        <v>-4.17338665</v>
      </c>
      <c r="G328" s="23">
        <f>IFERROR(__xludf.DUMMYFUNCTION("""COMPUTED_VALUE"""),-0.09123335887845468)</f>
        <v>-0.09123335888</v>
      </c>
      <c r="H328" s="4"/>
      <c r="I328" s="5" t="s">
        <v>1221</v>
      </c>
      <c r="J328" s="5" t="s">
        <v>693</v>
      </c>
      <c r="K328" s="5">
        <v>138.0</v>
      </c>
      <c r="L328" s="5">
        <v>-1.685965</v>
      </c>
      <c r="M328" s="5">
        <v>-2.487421</v>
      </c>
      <c r="N328" s="5">
        <v>-4.173387</v>
      </c>
      <c r="O328" s="5">
        <v>-0.091233</v>
      </c>
    </row>
    <row r="329">
      <c r="A329" s="12" t="str">
        <f>IFERROR(__xludf.DUMMYFUNCTION("""COMPUTED_VALUE"""),"Ricardo Fischer")</f>
        <v>Ricardo Fischer</v>
      </c>
      <c r="B329" s="13" t="str">
        <f>IFERROR(__xludf.DUMMYFUNCTION("""COMPUTED_VALUE"""),"BBB")</f>
        <v>BBB</v>
      </c>
      <c r="C329" s="14">
        <f>IFERROR(__xludf.DUMMYFUNCTION("""COMPUTED_VALUE"""),149.8)</f>
        <v>149.8</v>
      </c>
      <c r="D329" s="15">
        <f>IFERROR(__xludf.DUMMYFUNCTION("""COMPUTED_VALUE"""),-1.22241092158419)</f>
        <v>-1.222410922</v>
      </c>
      <c r="E329" s="15">
        <f>IFERROR(__xludf.DUMMYFUNCTION("""COMPUTED_VALUE"""),-2.990537177947476)</f>
        <v>-2.990537178</v>
      </c>
      <c r="F329" s="15">
        <f>IFERROR(__xludf.DUMMYFUNCTION("""COMPUTED_VALUE"""),-4.212948099531666)</f>
        <v>-4.2129481</v>
      </c>
      <c r="G329" s="17">
        <f>IFERROR(__xludf.DUMMYFUNCTION("""COMPUTED_VALUE"""),-0.1010619058406359)</f>
        <v>-0.1010619058</v>
      </c>
      <c r="H329" s="4"/>
      <c r="I329" s="5" t="s">
        <v>623</v>
      </c>
      <c r="J329" s="5" t="s">
        <v>113</v>
      </c>
      <c r="K329" s="5">
        <v>150.0</v>
      </c>
      <c r="L329" s="5">
        <v>-1.222411</v>
      </c>
      <c r="M329" s="5">
        <v>-2.990537</v>
      </c>
      <c r="N329" s="5">
        <v>-4.212948</v>
      </c>
      <c r="O329" s="5">
        <v>-0.101062</v>
      </c>
    </row>
    <row r="330">
      <c r="A330" s="18" t="str">
        <f>IFERROR(__xludf.DUMMYFUNCTION("""COMPUTED_VALUE"""),"Antonio Iannuzzi")</f>
        <v>Antonio Iannuzzi</v>
      </c>
      <c r="B330" s="19" t="str">
        <f>IFERROR(__xludf.DUMMYFUNCTION("""COMPUTED_VALUE"""),"TOR")</f>
        <v>TOR</v>
      </c>
      <c r="C330" s="20">
        <f>IFERROR(__xludf.DUMMYFUNCTION("""COMPUTED_VALUE"""),315.3)</f>
        <v>315.3</v>
      </c>
      <c r="D330" s="21">
        <f>IFERROR(__xludf.DUMMYFUNCTION("""COMPUTED_VALUE"""),-3.673076252881387)</f>
        <v>-3.673076253</v>
      </c>
      <c r="E330" s="21">
        <f>IFERROR(__xludf.DUMMYFUNCTION("""COMPUTED_VALUE"""),-0.6239690398813895)</f>
        <v>-0.6239690399</v>
      </c>
      <c r="F330" s="21">
        <f>IFERROR(__xludf.DUMMYFUNCTION("""COMPUTED_VALUE"""),-4.2970452927627765)</f>
        <v>-4.297045293</v>
      </c>
      <c r="G330" s="23">
        <f>IFERROR(__xludf.DUMMYFUNCTION("""COMPUTED_VALUE"""),-0.220824283471407)</f>
        <v>-0.2208242835</v>
      </c>
      <c r="H330" s="4"/>
      <c r="I330" s="5" t="s">
        <v>2458</v>
      </c>
      <c r="J330" s="5" t="s">
        <v>2140</v>
      </c>
      <c r="K330" s="5">
        <v>315.0</v>
      </c>
      <c r="L330" s="5">
        <v>-3.673076</v>
      </c>
      <c r="M330" s="5">
        <v>-0.623969</v>
      </c>
      <c r="N330" s="5">
        <v>-4.297045</v>
      </c>
      <c r="O330" s="5">
        <v>-0.220824</v>
      </c>
    </row>
    <row r="331">
      <c r="A331" s="12" t="str">
        <f>IFERROR(__xludf.DUMMYFUNCTION("""COMPUTED_VALUE"""),"Shayne Whittington")</f>
        <v>Shayne Whittington</v>
      </c>
      <c r="B331" s="13" t="str">
        <f>IFERROR(__xludf.DUMMYFUNCTION("""COMPUTED_VALUE"""),"ZEN")</f>
        <v>ZEN</v>
      </c>
      <c r="C331" s="14">
        <f>IFERROR(__xludf.DUMMYFUNCTION("""COMPUTED_VALUE"""),135.8)</f>
        <v>135.8</v>
      </c>
      <c r="D331" s="15">
        <f>IFERROR(__xludf.DUMMYFUNCTION("""COMPUTED_VALUE"""),-2.6541014120372117)</f>
        <v>-2.654101412</v>
      </c>
      <c r="E331" s="15">
        <f>IFERROR(__xludf.DUMMYFUNCTION("""COMPUTED_VALUE"""),-1.6630913364398308)</f>
        <v>-1.663091336</v>
      </c>
      <c r="F331" s="15">
        <f>IFERROR(__xludf.DUMMYFUNCTION("""COMPUTED_VALUE"""),-4.3171927484770425)</f>
        <v>-4.317192748</v>
      </c>
      <c r="G331" s="17">
        <f>IFERROR(__xludf.DUMMYFUNCTION("""COMPUTED_VALUE"""),-0.09593743147657999)</f>
        <v>-0.09593743148</v>
      </c>
      <c r="H331" s="4"/>
      <c r="I331" s="5" t="s">
        <v>2852</v>
      </c>
      <c r="J331" s="5" t="s">
        <v>2816</v>
      </c>
      <c r="K331" s="5">
        <v>136.0</v>
      </c>
      <c r="L331" s="5">
        <v>-2.654101</v>
      </c>
      <c r="M331" s="5">
        <v>-1.663091</v>
      </c>
      <c r="N331" s="5">
        <v>-4.317193</v>
      </c>
      <c r="O331" s="5">
        <v>-0.095937</v>
      </c>
    </row>
    <row r="332">
      <c r="A332" s="18" t="str">
        <f>IFERROR(__xludf.DUMMYFUNCTION("""COMPUTED_VALUE"""),"Federico Mussini")</f>
        <v>Federico Mussini</v>
      </c>
      <c r="B332" s="19" t="str">
        <f>IFERROR(__xludf.DUMMYFUNCTION("""COMPUTED_VALUE"""),"REG")</f>
        <v>REG</v>
      </c>
      <c r="C332" s="20">
        <f>IFERROR(__xludf.DUMMYFUNCTION("""COMPUTED_VALUE"""),155.2)</f>
        <v>155.2</v>
      </c>
      <c r="D332" s="21">
        <f>IFERROR(__xludf.DUMMYFUNCTION("""COMPUTED_VALUE"""),-3.795438823805075)</f>
        <v>-3.795438824</v>
      </c>
      <c r="E332" s="21">
        <f>IFERROR(__xludf.DUMMYFUNCTION("""COMPUTED_VALUE"""),-0.532778962691411)</f>
        <v>-0.5327789627</v>
      </c>
      <c r="F332" s="21">
        <f>IFERROR(__xludf.DUMMYFUNCTION("""COMPUTED_VALUE"""),-4.328217786496486)</f>
        <v>-4.328217786</v>
      </c>
      <c r="G332" s="23">
        <f>IFERROR(__xludf.DUMMYFUNCTION("""COMPUTED_VALUE"""),-0.10951518277744411)</f>
        <v>-0.1095151828</v>
      </c>
      <c r="H332" s="4"/>
      <c r="I332" s="5" t="s">
        <v>2496</v>
      </c>
      <c r="J332" s="5" t="s">
        <v>2135</v>
      </c>
      <c r="K332" s="5">
        <v>155.0</v>
      </c>
      <c r="L332" s="5">
        <v>-3.795439</v>
      </c>
      <c r="M332" s="5">
        <v>-0.532779</v>
      </c>
      <c r="N332" s="5">
        <v>-4.328218</v>
      </c>
      <c r="O332" s="5">
        <v>-0.109515</v>
      </c>
    </row>
    <row r="333">
      <c r="A333" s="12" t="str">
        <f>IFERROR(__xludf.DUMMYFUNCTION("""COMPUTED_VALUE"""),"Gintaras Leonavicius")</f>
        <v>Gintaras Leonavicius</v>
      </c>
      <c r="B333" s="13" t="str">
        <f>IFERROR(__xludf.DUMMYFUNCTION("""COMPUTED_VALUE"""),"TEC")</f>
        <v>TEC</v>
      </c>
      <c r="C333" s="14">
        <f>IFERROR(__xludf.DUMMYFUNCTION("""COMPUTED_VALUE"""),135.1)</f>
        <v>135.1</v>
      </c>
      <c r="D333" s="15">
        <f>IFERROR(__xludf.DUMMYFUNCTION("""COMPUTED_VALUE"""),-3.8302086114824587)</f>
        <v>-3.830208611</v>
      </c>
      <c r="E333" s="15">
        <f>IFERROR(__xludf.DUMMYFUNCTION("""COMPUTED_VALUE"""),-0.5080010833730593)</f>
        <v>-0.5080010834</v>
      </c>
      <c r="F333" s="15">
        <f>IFERROR(__xludf.DUMMYFUNCTION("""COMPUTED_VALUE"""),-4.338209694855518)</f>
        <v>-4.338209695</v>
      </c>
      <c r="G333" s="17">
        <f>IFERROR(__xludf.DUMMYFUNCTION("""COMPUTED_VALUE"""),-0.11037599696396617)</f>
        <v>-0.110375997</v>
      </c>
      <c r="H333" s="4"/>
      <c r="I333" s="5" t="s">
        <v>2608</v>
      </c>
      <c r="J333" s="5" t="s">
        <v>2400</v>
      </c>
      <c r="K333" s="5">
        <v>135.0</v>
      </c>
      <c r="L333" s="5">
        <v>-3.830209</v>
      </c>
      <c r="M333" s="5">
        <v>-0.508001</v>
      </c>
      <c r="N333" s="5">
        <v>-4.33821</v>
      </c>
      <c r="O333" s="5">
        <v>-0.110376</v>
      </c>
    </row>
    <row r="334">
      <c r="A334" s="18" t="str">
        <f>IFERROR(__xludf.DUMMYFUNCTION("""COMPUTED_VALUE"""),"Alen Omic")</f>
        <v>Alen Omic</v>
      </c>
      <c r="B334" s="19" t="str">
        <f>IFERROR(__xludf.DUMMYFUNCTION("""COMPUTED_VALUE"""),"HAPJ")</f>
        <v>HAPJ</v>
      </c>
      <c r="C334" s="20">
        <f>IFERROR(__xludf.DUMMYFUNCTION("""COMPUTED_VALUE"""),169.7)</f>
        <v>169.7</v>
      </c>
      <c r="D334" s="21">
        <f>IFERROR(__xludf.DUMMYFUNCTION("""COMPUTED_VALUE"""),-1.9910006740544481)</f>
        <v>-1.991000674</v>
      </c>
      <c r="E334" s="21">
        <f>IFERROR(__xludf.DUMMYFUNCTION("""COMPUTED_VALUE"""),-2.3746379935591673)</f>
        <v>-2.374637994</v>
      </c>
      <c r="F334" s="21">
        <f>IFERROR(__xludf.DUMMYFUNCTION("""COMPUTED_VALUE"""),-4.365638667613616)</f>
        <v>-4.365638668</v>
      </c>
      <c r="G334" s="23">
        <f>IFERROR(__xludf.DUMMYFUNCTION("""COMPUTED_VALUE"""),-0.12243580432847549)</f>
        <v>-0.1224358043</v>
      </c>
      <c r="H334" s="4"/>
      <c r="I334" s="5" t="s">
        <v>369</v>
      </c>
      <c r="J334" s="5" t="s">
        <v>1572</v>
      </c>
      <c r="K334" s="5">
        <v>170.0</v>
      </c>
      <c r="L334" s="5">
        <v>-1.991001</v>
      </c>
      <c r="M334" s="5">
        <v>-2.374638</v>
      </c>
      <c r="N334" s="5">
        <v>-4.365639</v>
      </c>
      <c r="O334" s="5">
        <v>-0.122436</v>
      </c>
    </row>
    <row r="335">
      <c r="A335" s="12" t="str">
        <f>IFERROR(__xludf.DUMMYFUNCTION("""COMPUTED_VALUE"""),"Raymar Morgan")</f>
        <v>Raymar Morgan</v>
      </c>
      <c r="B335" s="13" t="str">
        <f>IFERROR(__xludf.DUMMYFUNCTION("""COMPUTED_VALUE"""),"TOF")</f>
        <v>TOF</v>
      </c>
      <c r="C335" s="14">
        <f>IFERROR(__xludf.DUMMYFUNCTION("""COMPUTED_VALUE"""),301.2)</f>
        <v>301.2</v>
      </c>
      <c r="D335" s="15">
        <f>IFERROR(__xludf.DUMMYFUNCTION("""COMPUTED_VALUE"""),-1.1002501444001618)</f>
        <v>-1.100250144</v>
      </c>
      <c r="E335" s="15">
        <f>IFERROR(__xludf.DUMMYFUNCTION("""COMPUTED_VALUE"""),-3.3255262519252797)</f>
        <v>-3.325526252</v>
      </c>
      <c r="F335" s="15">
        <f>IFERROR(__xludf.DUMMYFUNCTION("""COMPUTED_VALUE"""),-4.425776396325442)</f>
        <v>-4.425776396</v>
      </c>
      <c r="G335" s="17">
        <f>IFERROR(__xludf.DUMMYFUNCTION("""COMPUTED_VALUE"""),-0.22257920814970678)</f>
        <v>-0.2225792081</v>
      </c>
      <c r="H335" s="4"/>
      <c r="I335" s="5" t="s">
        <v>1949</v>
      </c>
      <c r="J335" s="5" t="s">
        <v>1878</v>
      </c>
      <c r="K335" s="5">
        <v>301.0</v>
      </c>
      <c r="L335" s="5">
        <v>-1.10025</v>
      </c>
      <c r="M335" s="5">
        <v>-3.325526</v>
      </c>
      <c r="N335" s="5">
        <v>-4.425776</v>
      </c>
      <c r="O335" s="5">
        <v>-0.222579</v>
      </c>
    </row>
    <row r="336">
      <c r="A336" s="18" t="str">
        <f>IFERROR(__xludf.DUMMYFUNCTION("""COMPUTED_VALUE"""),"Mehmet Yagmur")</f>
        <v>Mehmet Yagmur</v>
      </c>
      <c r="B336" s="19" t="str">
        <f>IFERROR(__xludf.DUMMYFUNCTION("""COMPUTED_VALUE"""),"GAL")</f>
        <v>GAL</v>
      </c>
      <c r="C336" s="20">
        <f>IFERROR(__xludf.DUMMYFUNCTION("""COMPUTED_VALUE"""),162.2)</f>
        <v>162.2</v>
      </c>
      <c r="D336" s="21">
        <f>IFERROR(__xludf.DUMMYFUNCTION("""COMPUTED_VALUE"""),-2.8244932698333094)</f>
        <v>-2.82449327</v>
      </c>
      <c r="E336" s="21">
        <f>IFERROR(__xludf.DUMMYFUNCTION("""COMPUTED_VALUE"""),-1.779631952566921)</f>
        <v>-1.779631953</v>
      </c>
      <c r="F336" s="21">
        <f>IFERROR(__xludf.DUMMYFUNCTION("""COMPUTED_VALUE"""),-4.6041252224002305)</f>
        <v>-4.604125222</v>
      </c>
      <c r="G336" s="23">
        <f>IFERROR(__xludf.DUMMYFUNCTION("""COMPUTED_VALUE"""),-0.12399185726869405)</f>
        <v>-0.1239918573</v>
      </c>
      <c r="H336" s="4"/>
      <c r="I336" s="5" t="s">
        <v>2061</v>
      </c>
      <c r="J336" s="5" t="s">
        <v>1592</v>
      </c>
      <c r="K336" s="5">
        <v>162.0</v>
      </c>
      <c r="L336" s="5">
        <v>-2.824493</v>
      </c>
      <c r="M336" s="5">
        <v>-1.779632</v>
      </c>
      <c r="N336" s="5">
        <v>-4.604125</v>
      </c>
      <c r="O336" s="5">
        <v>-0.123992</v>
      </c>
    </row>
    <row r="337">
      <c r="A337" s="12" t="str">
        <f>IFERROR(__xludf.DUMMYFUNCTION("""COMPUTED_VALUE"""),"Kenny Kadji")</f>
        <v>Kenny Kadji</v>
      </c>
      <c r="B337" s="13" t="str">
        <f>IFERROR(__xludf.DUMMYFUNCTION("""COMPUTED_VALUE"""),"TOF")</f>
        <v>TOF</v>
      </c>
      <c r="C337" s="14">
        <f>IFERROR(__xludf.DUMMYFUNCTION("""COMPUTED_VALUE"""),234.8)</f>
        <v>234.8</v>
      </c>
      <c r="D337" s="15">
        <f>IFERROR(__xludf.DUMMYFUNCTION("""COMPUTED_VALUE"""),-2.383983493264912)</f>
        <v>-2.383983493</v>
      </c>
      <c r="E337" s="15">
        <f>IFERROR(__xludf.DUMMYFUNCTION("""COMPUTED_VALUE"""),-2.289679611390145)</f>
        <v>-2.289679611</v>
      </c>
      <c r="F337" s="15">
        <f>IFERROR(__xludf.DUMMYFUNCTION("""COMPUTED_VALUE"""),-4.673663104655057)</f>
        <v>-4.673663105</v>
      </c>
      <c r="G337" s="17">
        <f>IFERROR(__xludf.DUMMYFUNCTION("""COMPUTED_VALUE"""),-0.19124215778992887)</f>
        <v>-0.1912421578</v>
      </c>
      <c r="H337" s="4"/>
      <c r="I337" s="5" t="s">
        <v>2050</v>
      </c>
      <c r="J337" s="5" t="s">
        <v>1878</v>
      </c>
      <c r="K337" s="5">
        <v>235.0</v>
      </c>
      <c r="L337" s="5">
        <v>-2.383983</v>
      </c>
      <c r="M337" s="5">
        <v>-2.28968</v>
      </c>
      <c r="N337" s="5">
        <v>-4.673663</v>
      </c>
      <c r="O337" s="5">
        <v>-0.191242</v>
      </c>
    </row>
    <row r="338">
      <c r="A338" s="18" t="str">
        <f>IFERROR(__xludf.DUMMYFUNCTION("""COMPUTED_VALUE"""),"Giuseppe Poeta")</f>
        <v>Giuseppe Poeta</v>
      </c>
      <c r="B338" s="19" t="str">
        <f>IFERROR(__xludf.DUMMYFUNCTION("""COMPUTED_VALUE"""),"TOR")</f>
        <v>TOR</v>
      </c>
      <c r="C338" s="20">
        <f>IFERROR(__xludf.DUMMYFUNCTION("""COMPUTED_VALUE"""),235.8)</f>
        <v>235.8</v>
      </c>
      <c r="D338" s="21">
        <f>IFERROR(__xludf.DUMMYFUNCTION("""COMPUTED_VALUE"""),-4.587569908731873)</f>
        <v>-4.587569909</v>
      </c>
      <c r="E338" s="21">
        <f>IFERROR(__xludf.DUMMYFUNCTION("""COMPUTED_VALUE"""),-0.2463735016072368)</f>
        <v>-0.2463735016</v>
      </c>
      <c r="F338" s="21">
        <f>IFERROR(__xludf.DUMMYFUNCTION("""COMPUTED_VALUE"""),-4.83394341033911)</f>
        <v>-4.83394341</v>
      </c>
      <c r="G338" s="23">
        <f>IFERROR(__xludf.DUMMYFUNCTION("""COMPUTED_VALUE"""),-0.2037456170760557)</f>
        <v>-0.2037456171</v>
      </c>
      <c r="H338" s="4"/>
      <c r="I338" s="5" t="s">
        <v>2462</v>
      </c>
      <c r="J338" s="5" t="s">
        <v>2140</v>
      </c>
      <c r="K338" s="5">
        <v>236.0</v>
      </c>
      <c r="L338" s="5">
        <v>-4.58757</v>
      </c>
      <c r="M338" s="5">
        <v>-0.246374</v>
      </c>
      <c r="N338" s="5">
        <v>-4.833943</v>
      </c>
      <c r="O338" s="5">
        <v>-0.203746</v>
      </c>
    </row>
    <row r="339">
      <c r="A339" s="12" t="str">
        <f>IFERROR(__xludf.DUMMYFUNCTION("""COMPUTED_VALUE"""),"Mihajlo Andric")</f>
        <v>Mihajlo Andric</v>
      </c>
      <c r="B339" s="13" t="str">
        <f>IFERROR(__xludf.DUMMYFUNCTION("""COMPUTED_VALUE"""),"PAR")</f>
        <v>PAR</v>
      </c>
      <c r="C339" s="14">
        <f>IFERROR(__xludf.DUMMYFUNCTION("""COMPUTED_VALUE"""),200.1)</f>
        <v>200.1</v>
      </c>
      <c r="D339" s="15">
        <f>IFERROR(__xludf.DUMMYFUNCTION("""COMPUTED_VALUE"""),-3.084601581235847)</f>
        <v>-3.084601581</v>
      </c>
      <c r="E339" s="15">
        <f>IFERROR(__xludf.DUMMYFUNCTION("""COMPUTED_VALUE"""),-2.042483578700663)</f>
        <v>-2.042483579</v>
      </c>
      <c r="F339" s="15">
        <f>IFERROR(__xludf.DUMMYFUNCTION("""COMPUTED_VALUE"""),-5.12708515993651)</f>
        <v>-5.12708516</v>
      </c>
      <c r="G339" s="17">
        <f>IFERROR(__xludf.DUMMYFUNCTION("""COMPUTED_VALUE"""),-0.1907998823309154)</f>
        <v>-0.1907998823</v>
      </c>
      <c r="H339" s="4"/>
      <c r="I339" s="5" t="s">
        <v>1095</v>
      </c>
      <c r="J339" s="5" t="s">
        <v>962</v>
      </c>
      <c r="K339" s="5">
        <v>200.0</v>
      </c>
      <c r="L339" s="5">
        <v>-3.084602</v>
      </c>
      <c r="M339" s="5">
        <v>-2.042484</v>
      </c>
      <c r="N339" s="5">
        <v>-5.127085</v>
      </c>
      <c r="O339" s="5">
        <v>-0.1908</v>
      </c>
    </row>
    <row r="340">
      <c r="A340" s="18" t="str">
        <f>IFERROR(__xludf.DUMMYFUNCTION("""COMPUTED_VALUE"""),"Andre Jones")</f>
        <v>Andre Jones</v>
      </c>
      <c r="B340" s="19" t="str">
        <f>IFERROR(__xludf.DUMMYFUNCTION("""COMPUTED_VALUE"""),"TOR")</f>
        <v>TOR</v>
      </c>
      <c r="C340" s="20">
        <f>IFERROR(__xludf.DUMMYFUNCTION("""COMPUTED_VALUE"""),210.4)</f>
        <v>210.4</v>
      </c>
      <c r="D340" s="21">
        <f>IFERROR(__xludf.DUMMYFUNCTION("""COMPUTED_VALUE"""),-4.134413448658975)</f>
        <v>-4.134413449</v>
      </c>
      <c r="E340" s="21">
        <f>IFERROR(__xludf.DUMMYFUNCTION("""COMPUTED_VALUE"""),-1.4222750704091647)</f>
        <v>-1.42227507</v>
      </c>
      <c r="F340" s="21">
        <f>IFERROR(__xludf.DUMMYFUNCTION("""COMPUTED_VALUE"""),-5.55668851906814)</f>
        <v>-5.556688519</v>
      </c>
      <c r="G340" s="23">
        <f>IFERROR(__xludf.DUMMYFUNCTION("""COMPUTED_VALUE"""),-0.22816281639917635)</f>
        <v>-0.2281628164</v>
      </c>
      <c r="H340" s="4"/>
      <c r="I340" s="5" t="s">
        <v>2410</v>
      </c>
      <c r="J340" s="5" t="s">
        <v>2140</v>
      </c>
      <c r="K340" s="5">
        <v>210.0</v>
      </c>
      <c r="L340" s="5">
        <v>-4.134413</v>
      </c>
      <c r="M340" s="5">
        <v>-1.422275</v>
      </c>
      <c r="N340" s="5">
        <v>-5.556689</v>
      </c>
      <c r="O340" s="5">
        <v>-0.228163</v>
      </c>
    </row>
    <row r="341">
      <c r="A341" s="12" t="str">
        <f>IFERROR(__xludf.DUMMYFUNCTION("""COMPUTED_VALUE"""),"Diego Flaccadori")</f>
        <v>Diego Flaccadori</v>
      </c>
      <c r="B341" s="13" t="str">
        <f>IFERROR(__xludf.DUMMYFUNCTION("""COMPUTED_VALUE"""),"TREN")</f>
        <v>TREN</v>
      </c>
      <c r="C341" s="14">
        <f>IFERROR(__xludf.DUMMYFUNCTION("""COMPUTED_VALUE"""),335.1)</f>
        <v>335.1</v>
      </c>
      <c r="D341" s="15">
        <f>IFERROR(__xludf.DUMMYFUNCTION("""COMPUTED_VALUE"""),-5.253055006455981)</f>
        <v>-5.253055006</v>
      </c>
      <c r="E341" s="15">
        <f>IFERROR(__xludf.DUMMYFUNCTION("""COMPUTED_VALUE"""),-0.3687412293721559)</f>
        <v>-0.3687412294</v>
      </c>
      <c r="F341" s="15">
        <f>IFERROR(__xludf.DUMMYFUNCTION("""COMPUTED_VALUE"""),-5.621796235828137)</f>
        <v>-5.621796236</v>
      </c>
      <c r="G341" s="17">
        <f>IFERROR(__xludf.DUMMYFUNCTION("""COMPUTED_VALUE"""),-0.3642932528182416)</f>
        <v>-0.3642932528</v>
      </c>
      <c r="H341" s="4"/>
      <c r="I341" s="5" t="s">
        <v>2345</v>
      </c>
      <c r="J341" s="5" t="s">
        <v>2143</v>
      </c>
      <c r="K341" s="5">
        <v>335.0</v>
      </c>
      <c r="L341" s="5">
        <v>-5.253055</v>
      </c>
      <c r="M341" s="5">
        <v>-0.368741</v>
      </c>
      <c r="N341" s="5">
        <v>-5.621796</v>
      </c>
      <c r="O341" s="5">
        <v>-0.364293</v>
      </c>
    </row>
    <row r="342">
      <c r="A342" s="18" t="str">
        <f>IFERROR(__xludf.DUMMYFUNCTION("""COMPUTED_VALUE"""),"Pedro Llompart")</f>
        <v>Pedro Llompart</v>
      </c>
      <c r="B342" s="19" t="str">
        <f>IFERROR(__xludf.DUMMYFUNCTION("""COMPUTED_VALUE"""),"REG")</f>
        <v>REG</v>
      </c>
      <c r="C342" s="20">
        <f>IFERROR(__xludf.DUMMYFUNCTION("""COMPUTED_VALUE"""),307.0)</f>
        <v>307</v>
      </c>
      <c r="D342" s="21">
        <f>IFERROR(__xludf.DUMMYFUNCTION("""COMPUTED_VALUE"""),-5.4896191771036005)</f>
        <v>-5.489619177</v>
      </c>
      <c r="E342" s="21">
        <f>IFERROR(__xludf.DUMMYFUNCTION("""COMPUTED_VALUE"""),-1.0645992130030884)</f>
        <v>-1.064599213</v>
      </c>
      <c r="F342" s="21">
        <f>IFERROR(__xludf.DUMMYFUNCTION("""COMPUTED_VALUE"""),-6.554218390106689)</f>
        <v>-6.55421839</v>
      </c>
      <c r="G342" s="23">
        <f>IFERROR(__xludf.DUMMYFUNCTION("""COMPUTED_VALUE"""),-0.4237514924731631)</f>
        <v>-0.4237514925</v>
      </c>
      <c r="H342" s="4"/>
      <c r="I342" s="5" t="s">
        <v>532</v>
      </c>
      <c r="J342" s="5" t="s">
        <v>2135</v>
      </c>
      <c r="K342" s="5">
        <v>307.0</v>
      </c>
      <c r="L342" s="5">
        <v>-5.489619</v>
      </c>
      <c r="M342" s="5">
        <v>-1.064599</v>
      </c>
      <c r="N342" s="5">
        <v>-6.554218</v>
      </c>
      <c r="O342" s="5">
        <v>-0.423751</v>
      </c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2947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IFERROR(__xludf.DUMMYFUNCTION("IMPORTRANGE(""https://docs.google.com/spreadsheets/d/16izSNKUmefdqRz9TuV9RPbehbBmDe9-SqmoOCPvvAB8/edit#gid=1120027332"",""Leaders!A3:G502"")"),"Chris Carter")</f>
        <v>Chris Carter</v>
      </c>
      <c r="B3" s="13" t="str">
        <f>IFERROR(__xludf.DUMMYFUNCTION("""COMPUTED_VALUE"""),"RAS")</f>
        <v>RAS</v>
      </c>
      <c r="C3" s="14">
        <f>IFERROR(__xludf.DUMMYFUNCTION("""COMPUTED_VALUE"""),926.2)</f>
        <v>926.2</v>
      </c>
      <c r="D3" s="15">
        <f>IFERROR(__xludf.DUMMYFUNCTION("""COMPUTED_VALUE"""),5.012915507632774)</f>
        <v>5.012915508</v>
      </c>
      <c r="E3" s="15">
        <f>IFERROR(__xludf.DUMMYFUNCTION("""COMPUTED_VALUE"""),5.994998030173718)</f>
        <v>5.99499803</v>
      </c>
      <c r="F3" s="15">
        <f>IFERROR(__xludf.DUMMYFUNCTION("""COMPUTED_VALUE"""),11.007913537806491)</f>
        <v>11.00791354</v>
      </c>
      <c r="G3" s="17">
        <f>IFERROR(__xludf.DUMMYFUNCTION("""COMPUTED_VALUE"""),3.6419359844647476)</f>
        <v>3.641935984</v>
      </c>
      <c r="H3" s="4"/>
      <c r="I3" s="5" t="s">
        <v>2952</v>
      </c>
      <c r="J3" s="5" t="s">
        <v>2953</v>
      </c>
      <c r="K3" s="24">
        <v>926.0</v>
      </c>
      <c r="L3" s="5">
        <v>7.83351</v>
      </c>
      <c r="M3" s="5">
        <v>3.174404</v>
      </c>
      <c r="N3" s="5">
        <v>11.007914</v>
      </c>
      <c r="O3" s="5">
        <v>3.641936</v>
      </c>
    </row>
    <row r="4">
      <c r="A4" s="18" t="str">
        <f>IFERROR(__xludf.DUMMYFUNCTION("""COMPUTED_VALUE"""),"Sherman Gay")</f>
        <v>Sherman Gay</v>
      </c>
      <c r="B4" s="19" t="str">
        <f>IFERROR(__xludf.DUMMYFUNCTION("""COMPUTED_VALUE"""),"CRA")</f>
        <v>CRA</v>
      </c>
      <c r="C4" s="20">
        <f>IFERROR(__xludf.DUMMYFUNCTION("""COMPUTED_VALUE"""),902.5)</f>
        <v>902.5</v>
      </c>
      <c r="D4" s="21">
        <f>IFERROR(__xludf.DUMMYFUNCTION("""COMPUTED_VALUE"""),1.5014554837192362)</f>
        <v>1.501455484</v>
      </c>
      <c r="E4" s="21">
        <f>IFERROR(__xludf.DUMMYFUNCTION("""COMPUTED_VALUE"""),8.283576996471687)</f>
        <v>8.283576996</v>
      </c>
      <c r="F4" s="21">
        <f>IFERROR(__xludf.DUMMYFUNCTION("""COMPUTED_VALUE"""),9.785032480190925)</f>
        <v>9.78503248</v>
      </c>
      <c r="G4" s="23">
        <f>IFERROR(__xludf.DUMMYFUNCTION("""COMPUTED_VALUE"""),3.23256829419103)</f>
        <v>3.232568294</v>
      </c>
      <c r="H4" s="4"/>
      <c r="I4" s="5" t="s">
        <v>2956</v>
      </c>
      <c r="J4" s="5" t="s">
        <v>2957</v>
      </c>
      <c r="K4" s="24">
        <v>903.0</v>
      </c>
      <c r="L4" s="5">
        <v>4.824215</v>
      </c>
      <c r="M4" s="5">
        <v>4.960818</v>
      </c>
      <c r="N4" s="5">
        <v>9.785032</v>
      </c>
      <c r="O4" s="5">
        <v>3.232568</v>
      </c>
    </row>
    <row r="5">
      <c r="A5" s="12" t="str">
        <f>IFERROR(__xludf.DUMMYFUNCTION("""COMPUTED_VALUE"""),"Konrad Wysocki")</f>
        <v>Konrad Wysocki</v>
      </c>
      <c r="B5" s="13" t="str">
        <f>IFERROR(__xludf.DUMMYFUNCTION("""COMPUTED_VALUE"""),"CRA")</f>
        <v>CRA</v>
      </c>
      <c r="C5" s="14">
        <f>IFERROR(__xludf.DUMMYFUNCTION("""COMPUTED_VALUE"""),980.9)</f>
        <v>980.9</v>
      </c>
      <c r="D5" s="15">
        <f>IFERROR(__xludf.DUMMYFUNCTION("""COMPUTED_VALUE"""),2.2416800559809005)</f>
        <v>2.241680056</v>
      </c>
      <c r="E5" s="15">
        <f>IFERROR(__xludf.DUMMYFUNCTION("""COMPUTED_VALUE"""),6.127417032649577)</f>
        <v>6.127417033</v>
      </c>
      <c r="F5" s="15">
        <f>IFERROR(__xludf.DUMMYFUNCTION("""COMPUTED_VALUE"""),8.369097088630477)</f>
        <v>8.369097089</v>
      </c>
      <c r="G5" s="17">
        <f>IFERROR(__xludf.DUMMYFUNCTION("""COMPUTED_VALUE"""),3.091258973143953)</f>
        <v>3.091258973</v>
      </c>
      <c r="H5" s="4"/>
      <c r="I5" s="5" t="s">
        <v>2959</v>
      </c>
      <c r="J5" s="5" t="s">
        <v>2957</v>
      </c>
      <c r="K5" s="24">
        <v>981.0</v>
      </c>
      <c r="L5" s="5">
        <v>5.564439</v>
      </c>
      <c r="M5" s="5">
        <v>2.804658</v>
      </c>
      <c r="N5" s="5">
        <v>8.369097</v>
      </c>
      <c r="O5" s="5">
        <v>3.091259</v>
      </c>
    </row>
    <row r="6">
      <c r="A6" s="18" t="str">
        <f>IFERROR(__xludf.DUMMYFUNCTION("""COMPUTED_VALUE"""),"Seth Hinrichs")</f>
        <v>Seth Hinrichs</v>
      </c>
      <c r="B6" s="19" t="str">
        <f>IFERROR(__xludf.DUMMYFUNCTION("""COMPUTED_VALUE"""),"RAS")</f>
        <v>RAS</v>
      </c>
      <c r="C6" s="20">
        <f>IFERROR(__xludf.DUMMYFUNCTION("""COMPUTED_VALUE"""),1030.7)</f>
        <v>1030.7</v>
      </c>
      <c r="D6" s="21">
        <f>IFERROR(__xludf.DUMMYFUNCTION("""COMPUTED_VALUE"""),2.1429275580375147)</f>
        <v>2.142927558</v>
      </c>
      <c r="E6" s="21">
        <f>IFERROR(__xludf.DUMMYFUNCTION("""COMPUTED_VALUE"""),5.9555169273552995)</f>
        <v>5.955516927</v>
      </c>
      <c r="F6" s="21">
        <f>IFERROR(__xludf.DUMMYFUNCTION("""COMPUTED_VALUE"""),8.098444485392815)</f>
        <v>8.098444485</v>
      </c>
      <c r="G6" s="23">
        <f>IFERROR(__xludf.DUMMYFUNCTION("""COMPUTED_VALUE"""),3.146347218597897)</f>
        <v>3.146347219</v>
      </c>
      <c r="H6" s="4"/>
      <c r="I6" s="5" t="s">
        <v>2961</v>
      </c>
      <c r="J6" s="5" t="s">
        <v>2953</v>
      </c>
      <c r="K6" s="24">
        <v>1031.0</v>
      </c>
      <c r="L6" s="5">
        <v>4.963522</v>
      </c>
      <c r="M6" s="5">
        <v>3.134923</v>
      </c>
      <c r="N6" s="5">
        <v>8.098444</v>
      </c>
      <c r="O6" s="5">
        <v>3.146347</v>
      </c>
    </row>
    <row r="7">
      <c r="A7" s="12" t="str">
        <f>IFERROR(__xludf.DUMMYFUNCTION("""COMPUTED_VALUE"""),"Josh Young")</f>
        <v>Josh Young</v>
      </c>
      <c r="B7" s="13" t="str">
        <f>IFERROR(__xludf.DUMMYFUNCTION("""COMPUTED_VALUE"""),"RAS")</f>
        <v>RAS</v>
      </c>
      <c r="C7" s="14">
        <f>IFERROR(__xludf.DUMMYFUNCTION("""COMPUTED_VALUE"""),750.7)</f>
        <v>750.7</v>
      </c>
      <c r="D7" s="15">
        <f>IFERROR(__xludf.DUMMYFUNCTION("""COMPUTED_VALUE"""),3.0976333034027257)</f>
        <v>3.097633303</v>
      </c>
      <c r="E7" s="15">
        <f>IFERROR(__xludf.DUMMYFUNCTION("""COMPUTED_VALUE"""),3.8598181152256443)</f>
        <v>3.859818115</v>
      </c>
      <c r="F7" s="15">
        <f>IFERROR(__xludf.DUMMYFUNCTION("""COMPUTED_VALUE"""),6.95745141862837)</f>
        <v>6.957451419</v>
      </c>
      <c r="G7" s="17">
        <f>IFERROR(__xludf.DUMMYFUNCTION("""COMPUTED_VALUE"""),2.0326882038244802)</f>
        <v>2.032688204</v>
      </c>
      <c r="H7" s="4"/>
      <c r="I7" s="5" t="s">
        <v>2963</v>
      </c>
      <c r="J7" s="5" t="s">
        <v>2953</v>
      </c>
      <c r="K7" s="24">
        <v>751.0</v>
      </c>
      <c r="L7" s="5">
        <v>5.918227</v>
      </c>
      <c r="M7" s="5">
        <v>1.039224</v>
      </c>
      <c r="N7" s="5">
        <v>6.957451</v>
      </c>
      <c r="O7" s="5">
        <v>2.032688</v>
      </c>
    </row>
    <row r="8">
      <c r="A8" s="18" t="str">
        <f>IFERROR(__xludf.DUMMYFUNCTION("""COMPUTED_VALUE"""),"Frank Turner")</f>
        <v>Frank Turner</v>
      </c>
      <c r="B8" s="19" t="str">
        <f>IFERROR(__xludf.DUMMYFUNCTION("""COMPUTED_VALUE"""),"CRA")</f>
        <v>CRA</v>
      </c>
      <c r="C8" s="20">
        <f>IFERROR(__xludf.DUMMYFUNCTION("""COMPUTED_VALUE"""),1052.0)</f>
        <v>1052</v>
      </c>
      <c r="D8" s="21">
        <f>IFERROR(__xludf.DUMMYFUNCTION("""COMPUTED_VALUE"""),1.49592600959964)</f>
        <v>1.49592601</v>
      </c>
      <c r="E8" s="21">
        <f>IFERROR(__xludf.DUMMYFUNCTION("""COMPUTED_VALUE"""),5.075265371613848)</f>
        <v>5.075265372</v>
      </c>
      <c r="F8" s="21">
        <f>IFERROR(__xludf.DUMMYFUNCTION("""COMPUTED_VALUE"""),6.571191381213488)</f>
        <v>6.571191381</v>
      </c>
      <c r="G8" s="23">
        <f>IFERROR(__xludf.DUMMYFUNCTION("""COMPUTED_VALUE"""),2.74048006165537)</f>
        <v>2.740480062</v>
      </c>
      <c r="H8" s="4"/>
      <c r="I8" s="5" t="s">
        <v>2965</v>
      </c>
      <c r="J8" s="5" t="s">
        <v>2957</v>
      </c>
      <c r="K8" s="24">
        <v>1052.0</v>
      </c>
      <c r="L8" s="5">
        <v>4.818685</v>
      </c>
      <c r="M8" s="5">
        <v>1.752506</v>
      </c>
      <c r="N8" s="5">
        <v>6.571191</v>
      </c>
      <c r="O8" s="5">
        <v>2.74048</v>
      </c>
    </row>
    <row r="9">
      <c r="A9" s="12" t="str">
        <f>IFERROR(__xludf.DUMMYFUNCTION("""COMPUTED_VALUE"""),"Chase Griffin")</f>
        <v>Chase Griffin</v>
      </c>
      <c r="B9" s="13" t="str">
        <f>IFERROR(__xludf.DUMMYFUNCTION("""COMPUTED_VALUE"""),"CRA")</f>
        <v>CRA</v>
      </c>
      <c r="C9" s="14">
        <f>IFERROR(__xludf.DUMMYFUNCTION("""COMPUTED_VALUE"""),818.1)</f>
        <v>818.1</v>
      </c>
      <c r="D9" s="15">
        <f>IFERROR(__xludf.DUMMYFUNCTION("""COMPUTED_VALUE"""),3.19888775732489)</f>
        <v>3.198887757</v>
      </c>
      <c r="E9" s="15">
        <f>IFERROR(__xludf.DUMMYFUNCTION("""COMPUTED_VALUE"""),2.7245650793818887)</f>
        <v>2.724565079</v>
      </c>
      <c r="F9" s="15">
        <f>IFERROR(__xludf.DUMMYFUNCTION("""COMPUTED_VALUE"""),5.923452836706779)</f>
        <v>5.923452837</v>
      </c>
      <c r="G9" s="17">
        <f>IFERROR(__xludf.DUMMYFUNCTION("""COMPUTED_VALUE"""),1.9701104944280214)</f>
        <v>1.970110494</v>
      </c>
      <c r="H9" s="4"/>
      <c r="I9" s="5" t="s">
        <v>2967</v>
      </c>
      <c r="J9" s="5" t="s">
        <v>2957</v>
      </c>
      <c r="K9" s="24">
        <v>818.0</v>
      </c>
      <c r="L9" s="5">
        <v>6.521647</v>
      </c>
      <c r="M9" s="5">
        <v>-0.598194</v>
      </c>
      <c r="N9" s="5">
        <v>5.923453</v>
      </c>
      <c r="O9" s="5">
        <v>1.97011</v>
      </c>
    </row>
    <row r="10">
      <c r="A10" s="18" t="str">
        <f>IFERROR(__xludf.DUMMYFUNCTION("""COMPUTED_VALUE"""),"Philipp Herkenhoff")</f>
        <v>Philipp Herkenhoff</v>
      </c>
      <c r="B10" s="19" t="str">
        <f>IFERROR(__xludf.DUMMYFUNCTION("""COMPUTED_VALUE"""),"RAS")</f>
        <v>RAS</v>
      </c>
      <c r="C10" s="20">
        <f>IFERROR(__xludf.DUMMYFUNCTION("""COMPUTED_VALUE"""),815.9)</f>
        <v>815.9</v>
      </c>
      <c r="D10" s="21">
        <f>IFERROR(__xludf.DUMMYFUNCTION("""COMPUTED_VALUE"""),-0.12820643371714757)</f>
        <v>-0.1282064337</v>
      </c>
      <c r="E10" s="21">
        <f>IFERROR(__xludf.DUMMYFUNCTION("""COMPUTED_VALUE"""),5.694426279569308)</f>
        <v>5.69442628</v>
      </c>
      <c r="F10" s="21">
        <f>IFERROR(__xludf.DUMMYFUNCTION("""COMPUTED_VALUE"""),5.56621984585216)</f>
        <v>5.566219846</v>
      </c>
      <c r="G10" s="23">
        <f>IFERROR(__xludf.DUMMYFUNCTION("""COMPUTED_VALUE"""),1.8661037207922682)</f>
        <v>1.866103721</v>
      </c>
      <c r="H10" s="4"/>
      <c r="I10" s="5" t="s">
        <v>2969</v>
      </c>
      <c r="J10" s="5" t="s">
        <v>2953</v>
      </c>
      <c r="K10" s="24">
        <v>816.0</v>
      </c>
      <c r="L10" s="5">
        <v>2.692388</v>
      </c>
      <c r="M10" s="5">
        <v>2.873832</v>
      </c>
      <c r="N10" s="5">
        <v>5.56622</v>
      </c>
      <c r="O10" s="5">
        <v>1.866104</v>
      </c>
    </row>
    <row r="11">
      <c r="A11" s="12" t="str">
        <f>IFERROR(__xludf.DUMMYFUNCTION("""COMPUTED_VALUE"""),"Keith Ramsey")</f>
        <v>Keith Ramsey</v>
      </c>
      <c r="B11" s="13" t="str">
        <f>IFERROR(__xludf.DUMMYFUNCTION("""COMPUTED_VALUE"""),"RHEI")</f>
        <v>RHEI</v>
      </c>
      <c r="C11" s="14">
        <f>IFERROR(__xludf.DUMMYFUNCTION("""COMPUTED_VALUE"""),891.4)</f>
        <v>891.4</v>
      </c>
      <c r="D11" s="15">
        <f>IFERROR(__xludf.DUMMYFUNCTION("""COMPUTED_VALUE"""),2.0153175517835273)</f>
        <v>2.015317552</v>
      </c>
      <c r="E11" s="15">
        <f>IFERROR(__xludf.DUMMYFUNCTION("""COMPUTED_VALUE"""),3.5398763301354523)</f>
        <v>3.53987633</v>
      </c>
      <c r="F11" s="15">
        <f>IFERROR(__xludf.DUMMYFUNCTION("""COMPUTED_VALUE"""),5.55519388191898)</f>
        <v>5.555193882</v>
      </c>
      <c r="G11" s="17">
        <f>IFERROR(__xludf.DUMMYFUNCTION("""COMPUTED_VALUE"""),2.0460081134118826)</f>
        <v>2.046008113</v>
      </c>
      <c r="H11" s="4"/>
      <c r="I11" s="5" t="s">
        <v>2971</v>
      </c>
      <c r="J11" s="5" t="s">
        <v>2972</v>
      </c>
      <c r="K11" s="24">
        <v>891.0</v>
      </c>
      <c r="L11" s="5">
        <v>0.610052</v>
      </c>
      <c r="M11" s="5">
        <v>4.945141</v>
      </c>
      <c r="N11" s="5">
        <v>5.555194</v>
      </c>
      <c r="O11" s="5">
        <v>2.046008</v>
      </c>
    </row>
    <row r="12">
      <c r="A12" s="18" t="str">
        <f>IFERROR(__xludf.DUMMYFUNCTION("""COMPUTED_VALUE"""),"Craig Bradshaw")</f>
        <v>Craig Bradshaw</v>
      </c>
      <c r="B12" s="19" t="str">
        <f>IFERROR(__xludf.DUMMYFUNCTION("""COMPUTED_VALUE"""),"PS")</f>
        <v>PS</v>
      </c>
      <c r="C12" s="20">
        <f>IFERROR(__xludf.DUMMYFUNCTION("""COMPUTED_VALUE"""),1064.3)</f>
        <v>1064.3</v>
      </c>
      <c r="D12" s="21">
        <f>IFERROR(__xludf.DUMMYFUNCTION("""COMPUTED_VALUE"""),2.0924218579752445)</f>
        <v>2.092421858</v>
      </c>
      <c r="E12" s="21">
        <f>IFERROR(__xludf.DUMMYFUNCTION("""COMPUTED_VALUE"""),3.3299755488649323)</f>
        <v>3.329975549</v>
      </c>
      <c r="F12" s="21">
        <f>IFERROR(__xludf.DUMMYFUNCTION("""COMPUTED_VALUE"""),5.422397406840177)</f>
        <v>5.422397407</v>
      </c>
      <c r="G12" s="23">
        <f>IFERROR(__xludf.DUMMYFUNCTION("""COMPUTED_VALUE"""),2.4084647297779895)</f>
        <v>2.40846473</v>
      </c>
      <c r="H12" s="4"/>
      <c r="I12" s="5" t="s">
        <v>2974</v>
      </c>
      <c r="J12" s="5" t="s">
        <v>2975</v>
      </c>
      <c r="K12" s="24">
        <v>1064.0</v>
      </c>
      <c r="L12" s="5">
        <v>3.283992</v>
      </c>
      <c r="M12" s="5">
        <v>2.138405</v>
      </c>
      <c r="N12" s="5">
        <v>5.422397</v>
      </c>
      <c r="O12" s="5">
        <v>2.408465</v>
      </c>
    </row>
    <row r="13">
      <c r="A13" s="12" t="str">
        <f>IFERROR(__xludf.DUMMYFUNCTION("""COMPUTED_VALUE"""),"Richie Williams")</f>
        <v>Richie Williams</v>
      </c>
      <c r="B13" s="13" t="str">
        <f>IFERROR(__xludf.DUMMYFUNCTION("""COMPUTED_VALUE"""),"PS")</f>
        <v>PS</v>
      </c>
      <c r="C13" s="14">
        <f>IFERROR(__xludf.DUMMYFUNCTION("""COMPUTED_VALUE"""),1140.7)</f>
        <v>1140.7</v>
      </c>
      <c r="D13" s="15">
        <f>IFERROR(__xludf.DUMMYFUNCTION("""COMPUTED_VALUE"""),3.3733050159715265)</f>
        <v>3.373305016</v>
      </c>
      <c r="E13" s="15">
        <f>IFERROR(__xludf.DUMMYFUNCTION("""COMPUTED_VALUE"""),1.6035614063583523)</f>
        <v>1.603561406</v>
      </c>
      <c r="F13" s="15">
        <f>IFERROR(__xludf.DUMMYFUNCTION("""COMPUTED_VALUE"""),4.976866422329879)</f>
        <v>4.976866422</v>
      </c>
      <c r="G13" s="17">
        <f>IFERROR(__xludf.DUMMYFUNCTION("""COMPUTED_VALUE"""),2.426408255139676)</f>
        <v>2.426408255</v>
      </c>
      <c r="H13" s="4"/>
      <c r="I13" s="5" t="s">
        <v>2977</v>
      </c>
      <c r="J13" s="5" t="s">
        <v>2975</v>
      </c>
      <c r="K13" s="24">
        <v>1141.0</v>
      </c>
      <c r="L13" s="5">
        <v>4.564875</v>
      </c>
      <c r="M13" s="5">
        <v>0.411991</v>
      </c>
      <c r="N13" s="5">
        <v>4.976866</v>
      </c>
      <c r="O13" s="5">
        <v>2.426408</v>
      </c>
    </row>
    <row r="14">
      <c r="A14" s="18" t="str">
        <f>IFERROR(__xludf.DUMMYFUNCTION("""COMPUTED_VALUE"""),"Patrick Flomo")</f>
        <v>Patrick Flomo</v>
      </c>
      <c r="B14" s="19" t="str">
        <f>IFERROR(__xludf.DUMMYFUNCTION("""COMPUTED_VALUE"""),"CRA")</f>
        <v>CRA</v>
      </c>
      <c r="C14" s="20">
        <f>IFERROR(__xludf.DUMMYFUNCTION("""COMPUTED_VALUE"""),310.9)</f>
        <v>310.9</v>
      </c>
      <c r="D14" s="21">
        <f>IFERROR(__xludf.DUMMYFUNCTION("""COMPUTED_VALUE"""),-3.295686835477989)</f>
        <v>-3.295686835</v>
      </c>
      <c r="E14" s="21">
        <f>IFERROR(__xludf.DUMMYFUNCTION("""COMPUTED_VALUE"""),8.115153342650515)</f>
        <v>8.115153343</v>
      </c>
      <c r="F14" s="21">
        <f>IFERROR(__xludf.DUMMYFUNCTION("""COMPUTED_VALUE"""),4.8194665071725264)</f>
        <v>4.819466507</v>
      </c>
      <c r="G14" s="23">
        <f>IFERROR(__xludf.DUMMYFUNCTION("""COMPUTED_VALUE"""),0.6443781970511695)</f>
        <v>0.6443781971</v>
      </c>
      <c r="H14" s="4"/>
      <c r="I14" s="5" t="s">
        <v>2979</v>
      </c>
      <c r="J14" s="5" t="s">
        <v>2957</v>
      </c>
      <c r="K14" s="24">
        <v>311.0</v>
      </c>
      <c r="L14" s="5">
        <v>0.027072</v>
      </c>
      <c r="M14" s="5">
        <v>4.792394</v>
      </c>
      <c r="N14" s="5">
        <v>4.819467</v>
      </c>
      <c r="O14" s="5">
        <v>0.644378</v>
      </c>
    </row>
    <row r="15">
      <c r="A15" s="12" t="str">
        <f>IFERROR(__xludf.DUMMYFUNCTION("""COMPUTED_VALUE"""),"Michael Cuffee")</f>
        <v>Michael Cuffee</v>
      </c>
      <c r="B15" s="13" t="str">
        <f>IFERROR(__xludf.DUMMYFUNCTION("""COMPUTED_VALUE"""),"CRA")</f>
        <v>CRA</v>
      </c>
      <c r="C15" s="14">
        <f>IFERROR(__xludf.DUMMYFUNCTION("""COMPUTED_VALUE"""),928.5)</f>
        <v>928.5</v>
      </c>
      <c r="D15" s="15">
        <f>IFERROR(__xludf.DUMMYFUNCTION("""COMPUTED_VALUE"""),1.1480969030222923)</f>
        <v>1.148096903</v>
      </c>
      <c r="E15" s="15">
        <f>IFERROR(__xludf.DUMMYFUNCTION("""COMPUTED_VALUE"""),3.4903979162675096)</f>
        <v>3.490397916</v>
      </c>
      <c r="F15" s="15">
        <f>IFERROR(__xludf.DUMMYFUNCTION("""COMPUTED_VALUE"""),4.638494819289802)</f>
        <v>4.638494819</v>
      </c>
      <c r="G15" s="17">
        <f>IFERROR(__xludf.DUMMYFUNCTION("""COMPUTED_VALUE"""),1.8733600016452026)</f>
        <v>1.873360002</v>
      </c>
      <c r="H15" s="4"/>
      <c r="I15" s="5" t="s">
        <v>2981</v>
      </c>
      <c r="J15" s="5" t="s">
        <v>2957</v>
      </c>
      <c r="K15" s="24">
        <v>929.0</v>
      </c>
      <c r="L15" s="5">
        <v>4.470856</v>
      </c>
      <c r="M15" s="5">
        <v>0.167639</v>
      </c>
      <c r="N15" s="5">
        <v>4.638495</v>
      </c>
      <c r="O15" s="5">
        <v>1.87336</v>
      </c>
    </row>
    <row r="16">
      <c r="A16" s="18" t="str">
        <f>IFERROR(__xludf.DUMMYFUNCTION("""COMPUTED_VALUE"""),"William McDowell-White")</f>
        <v>William McDowell-White</v>
      </c>
      <c r="B16" s="19" t="str">
        <f>IFERROR(__xludf.DUMMYFUNCTION("""COMPUTED_VALUE"""),"BYP")</f>
        <v>BYP</v>
      </c>
      <c r="C16" s="20">
        <f>IFERROR(__xludf.DUMMYFUNCTION("""COMPUTED_VALUE"""),900.9)</f>
        <v>900.9</v>
      </c>
      <c r="D16" s="21">
        <f>IFERROR(__xludf.DUMMYFUNCTION("""COMPUTED_VALUE"""),4.772502757835976)</f>
        <v>4.772502758</v>
      </c>
      <c r="E16" s="21">
        <f>IFERROR(__xludf.DUMMYFUNCTION("""COMPUTED_VALUE"""),-0.5064608134366546)</f>
        <v>-0.5064608134</v>
      </c>
      <c r="F16" s="21">
        <f>IFERROR(__xludf.DUMMYFUNCTION("""COMPUTED_VALUE"""),4.266041944399322)</f>
        <v>4.266041944</v>
      </c>
      <c r="G16" s="23">
        <f>IFERROR(__xludf.DUMMYFUNCTION("""COMPUTED_VALUE"""),1.7096340638771572)</f>
        <v>1.709634064</v>
      </c>
      <c r="H16" s="4"/>
      <c r="I16" s="5" t="s">
        <v>213</v>
      </c>
      <c r="J16" s="5" t="s">
        <v>2983</v>
      </c>
      <c r="K16" s="24">
        <v>901.0</v>
      </c>
      <c r="L16" s="5">
        <v>3.694924</v>
      </c>
      <c r="M16" s="5">
        <v>0.571118</v>
      </c>
      <c r="N16" s="5">
        <v>4.266042</v>
      </c>
      <c r="O16" s="5">
        <v>1.709634</v>
      </c>
    </row>
    <row r="17">
      <c r="A17" s="12" t="str">
        <f>IFERROR(__xludf.DUMMYFUNCTION("""COMPUTED_VALUE"""),"Robin Christen")</f>
        <v>Robin Christen</v>
      </c>
      <c r="B17" s="13" t="str">
        <f>IFERROR(__xludf.DUMMYFUNCTION("""COMPUTED_VALUE"""),"RAS")</f>
        <v>RAS</v>
      </c>
      <c r="C17" s="14">
        <f>IFERROR(__xludf.DUMMYFUNCTION("""COMPUTED_VALUE"""),805.4)</f>
        <v>805.4</v>
      </c>
      <c r="D17" s="15">
        <f>IFERROR(__xludf.DUMMYFUNCTION("""COMPUTED_VALUE"""),1.2657871649866546)</f>
        <v>1.265787165</v>
      </c>
      <c r="E17" s="15">
        <f>IFERROR(__xludf.DUMMYFUNCTION("""COMPUTED_VALUE"""),2.821682723223932)</f>
        <v>2.821682723</v>
      </c>
      <c r="F17" s="15">
        <f>IFERROR(__xludf.DUMMYFUNCTION("""COMPUTED_VALUE"""),4.087469888210586)</f>
        <v>4.087469888</v>
      </c>
      <c r="G17" s="17">
        <f>IFERROR(__xludf.DUMMYFUNCTION("""COMPUTED_VALUE"""),1.4820687183548027)</f>
        <v>1.482068718</v>
      </c>
      <c r="H17" s="4"/>
      <c r="I17" s="5" t="s">
        <v>2984</v>
      </c>
      <c r="J17" s="5" t="s">
        <v>2953</v>
      </c>
      <c r="K17" s="24">
        <v>805.0</v>
      </c>
      <c r="L17" s="5">
        <v>4.086381</v>
      </c>
      <c r="M17" s="5">
        <v>0.001089</v>
      </c>
      <c r="N17" s="5">
        <v>4.08747</v>
      </c>
      <c r="O17" s="5">
        <v>1.482069</v>
      </c>
    </row>
    <row r="18">
      <c r="A18" s="18" t="str">
        <f>IFERROR(__xludf.DUMMYFUNCTION("""COMPUTED_VALUE"""),"Kavin Gilder-Tilbury")</f>
        <v>Kavin Gilder-Tilbury</v>
      </c>
      <c r="B18" s="19" t="str">
        <f>IFERROR(__xludf.DUMMYFUNCTION("""COMPUTED_VALUE"""),"RHEI")</f>
        <v>RHEI</v>
      </c>
      <c r="C18" s="20">
        <f>IFERROR(__xludf.DUMMYFUNCTION("""COMPUTED_VALUE"""),817.7)</f>
        <v>817.7</v>
      </c>
      <c r="D18" s="21">
        <f>IFERROR(__xludf.DUMMYFUNCTION("""COMPUTED_VALUE"""),2.3622150228885483)</f>
        <v>2.362215023</v>
      </c>
      <c r="E18" s="21">
        <f>IFERROR(__xludf.DUMMYFUNCTION("""COMPUTED_VALUE"""),1.52367271564817)</f>
        <v>1.523672716</v>
      </c>
      <c r="F18" s="21">
        <f>IFERROR(__xludf.DUMMYFUNCTION("""COMPUTED_VALUE"""),3.8858877385367183)</f>
        <v>3.885887739</v>
      </c>
      <c r="G18" s="23">
        <f>IFERROR(__xludf.DUMMYFUNCTION("""COMPUTED_VALUE"""),1.4621606113197396)</f>
        <v>1.462160611</v>
      </c>
      <c r="H18" s="4"/>
      <c r="I18" s="5" t="s">
        <v>2985</v>
      </c>
      <c r="J18" s="5" t="s">
        <v>2972</v>
      </c>
      <c r="K18" s="24">
        <v>818.0</v>
      </c>
      <c r="L18" s="5">
        <v>0.95695</v>
      </c>
      <c r="M18" s="5">
        <v>2.928938</v>
      </c>
      <c r="N18" s="5">
        <v>3.885888</v>
      </c>
      <c r="O18" s="5">
        <v>1.462161</v>
      </c>
    </row>
    <row r="19">
      <c r="A19" s="12" t="str">
        <f>IFERROR(__xludf.DUMMYFUNCTION("""COMPUTED_VALUE"""),"Evan McGaughey")</f>
        <v>Evan McGaughey</v>
      </c>
      <c r="B19" s="13" t="str">
        <f>IFERROR(__xludf.DUMMYFUNCTION("""COMPUTED_VALUE"""),"MLP")</f>
        <v>MLP</v>
      </c>
      <c r="C19" s="14">
        <f>IFERROR(__xludf.DUMMYFUNCTION("""COMPUTED_VALUE"""),1010.4)</f>
        <v>1010.4</v>
      </c>
      <c r="D19" s="15">
        <f>IFERROR(__xludf.DUMMYFUNCTION("""COMPUTED_VALUE"""),0.9392648828790828)</f>
        <v>0.9392648829</v>
      </c>
      <c r="E19" s="15">
        <f>IFERROR(__xludf.DUMMYFUNCTION("""COMPUTED_VALUE"""),2.7722812622701265)</f>
        <v>2.772281262</v>
      </c>
      <c r="F19" s="15">
        <f>IFERROR(__xludf.DUMMYFUNCTION("""COMPUTED_VALUE"""),3.7115461451492093)</f>
        <v>3.711546145</v>
      </c>
      <c r="G19" s="17">
        <f>IFERROR(__xludf.DUMMYFUNCTION("""COMPUTED_VALUE"""),1.7609627188367336)</f>
        <v>1.760962719</v>
      </c>
      <c r="H19" s="4"/>
      <c r="I19" s="5" t="s">
        <v>2986</v>
      </c>
      <c r="J19" s="5" t="s">
        <v>2987</v>
      </c>
      <c r="K19" s="24">
        <v>1010.0</v>
      </c>
      <c r="L19" s="5">
        <v>1.736915</v>
      </c>
      <c r="M19" s="5">
        <v>1.974632</v>
      </c>
      <c r="N19" s="5">
        <v>3.711546</v>
      </c>
      <c r="O19" s="5">
        <v>1.760963</v>
      </c>
    </row>
    <row r="20">
      <c r="A20" s="18" t="str">
        <f>IFERROR(__xludf.DUMMYFUNCTION("""COMPUTED_VALUE"""),"Orlando Parker")</f>
        <v>Orlando Parker</v>
      </c>
      <c r="B20" s="19" t="str">
        <f>IFERROR(__xludf.DUMMYFUNCTION("""COMPUTED_VALUE"""),"PS")</f>
        <v>PS</v>
      </c>
      <c r="C20" s="20">
        <f>IFERROR(__xludf.DUMMYFUNCTION("""COMPUTED_VALUE"""),764.3)</f>
        <v>764.3</v>
      </c>
      <c r="D20" s="21">
        <f>IFERROR(__xludf.DUMMYFUNCTION("""COMPUTED_VALUE"""),1.7862033704157079)</f>
        <v>1.78620337</v>
      </c>
      <c r="E20" s="21">
        <f>IFERROR(__xludf.DUMMYFUNCTION("""COMPUTED_VALUE"""),1.8029096370339146)</f>
        <v>1.802909637</v>
      </c>
      <c r="F20" s="21">
        <f>IFERROR(__xludf.DUMMYFUNCTION("""COMPUTED_VALUE"""),3.5891130074496225)</f>
        <v>3.589113007</v>
      </c>
      <c r="G20" s="23">
        <f>IFERROR(__xludf.DUMMYFUNCTION("""COMPUTED_VALUE"""),1.302383170380422)</f>
        <v>1.30238317</v>
      </c>
      <c r="H20" s="4"/>
      <c r="I20" s="5" t="s">
        <v>2989</v>
      </c>
      <c r="J20" s="5" t="s">
        <v>2975</v>
      </c>
      <c r="K20" s="5">
        <v>764.0</v>
      </c>
      <c r="L20" s="5">
        <v>2.977774</v>
      </c>
      <c r="M20" s="5">
        <v>0.611339</v>
      </c>
      <c r="N20" s="5">
        <v>3.589113</v>
      </c>
      <c r="O20" s="5">
        <v>1.302383</v>
      </c>
    </row>
    <row r="21">
      <c r="A21" s="12" t="str">
        <f>IFERROR(__xludf.DUMMYFUNCTION("""COMPUTED_VALUE"""),"Jermaine Bucknor")</f>
        <v>Jermaine Bucknor</v>
      </c>
      <c r="B21" s="13" t="str">
        <f>IFERROR(__xludf.DUMMYFUNCTION("""COMPUTED_VALUE"""),"TRI")</f>
        <v>TRI</v>
      </c>
      <c r="C21" s="14">
        <f>IFERROR(__xludf.DUMMYFUNCTION("""COMPUTED_VALUE"""),974.4)</f>
        <v>974.4</v>
      </c>
      <c r="D21" s="15">
        <f>IFERROR(__xludf.DUMMYFUNCTION("""COMPUTED_VALUE"""),1.57329661139494)</f>
        <v>1.573296611</v>
      </c>
      <c r="E21" s="15">
        <f>IFERROR(__xludf.DUMMYFUNCTION("""COMPUTED_VALUE"""),1.9408621382555835)</f>
        <v>1.940862138</v>
      </c>
      <c r="F21" s="15">
        <f>IFERROR(__xludf.DUMMYFUNCTION("""COMPUTED_VALUE"""),3.5141587496505235)</f>
        <v>3.51415875</v>
      </c>
      <c r="G21" s="17">
        <f>IFERROR(__xludf.DUMMYFUNCTION("""COMPUTED_VALUE"""),1.633125497159693)</f>
        <v>1.633125497</v>
      </c>
      <c r="H21" s="4"/>
      <c r="I21" s="5" t="s">
        <v>2990</v>
      </c>
      <c r="J21" s="5" t="s">
        <v>2991</v>
      </c>
      <c r="K21" s="24">
        <v>974.0</v>
      </c>
      <c r="L21" s="5">
        <v>2.574868</v>
      </c>
      <c r="M21" s="5">
        <v>0.939291</v>
      </c>
      <c r="N21" s="5">
        <v>3.514159</v>
      </c>
      <c r="O21" s="5">
        <v>1.633125</v>
      </c>
    </row>
    <row r="22">
      <c r="A22" s="18" t="str">
        <f>IFERROR(__xludf.DUMMYFUNCTION("""COMPUTED_VALUE"""),"Andrew Smith")</f>
        <v>Andrew Smith</v>
      </c>
      <c r="B22" s="19" t="str">
        <f>IFERROR(__xludf.DUMMYFUNCTION("""COMPUTED_VALUE"""),"RAS")</f>
        <v>RAS</v>
      </c>
      <c r="C22" s="20">
        <f>IFERROR(__xludf.DUMMYFUNCTION("""COMPUTED_VALUE"""),537.3)</f>
        <v>537.3</v>
      </c>
      <c r="D22" s="21">
        <f>IFERROR(__xludf.DUMMYFUNCTION("""COMPUTED_VALUE"""),-5.313397155078906)</f>
        <v>-5.313397155</v>
      </c>
      <c r="E22" s="21">
        <f>IFERROR(__xludf.DUMMYFUNCTION("""COMPUTED_VALUE"""),8.727232871841178)</f>
        <v>8.727232872</v>
      </c>
      <c r="F22" s="21">
        <f>IFERROR(__xludf.DUMMYFUNCTION("""COMPUTED_VALUE"""),3.4138357167622724)</f>
        <v>3.413835717</v>
      </c>
      <c r="G22" s="23">
        <f>IFERROR(__xludf.DUMMYFUNCTION("""COMPUTED_VALUE"""),0.8793095765547094)</f>
        <v>0.8793095766</v>
      </c>
      <c r="H22" s="4"/>
      <c r="I22" s="5" t="s">
        <v>2993</v>
      </c>
      <c r="J22" s="5" t="s">
        <v>2953</v>
      </c>
      <c r="K22" s="5">
        <v>537.0</v>
      </c>
      <c r="L22" s="5">
        <v>-2.492803</v>
      </c>
      <c r="M22" s="5">
        <v>5.906639</v>
      </c>
      <c r="N22" s="5">
        <v>3.413836</v>
      </c>
      <c r="O22" s="5">
        <v>0.87931</v>
      </c>
    </row>
    <row r="23">
      <c r="A23" s="12" t="str">
        <f>IFERROR(__xludf.DUMMYFUNCTION("""COMPUTED_VALUE"""),"Sebastian Herrera")</f>
        <v>Sebastian Herrera</v>
      </c>
      <c r="B23" s="13" t="str">
        <f>IFERROR(__xludf.DUMMYFUNCTION("""COMPUTED_VALUE"""),"CRA")</f>
        <v>CRA</v>
      </c>
      <c r="C23" s="14">
        <f>IFERROR(__xludf.DUMMYFUNCTION("""COMPUTED_VALUE"""),876.4)</f>
        <v>876.4</v>
      </c>
      <c r="D23" s="15">
        <f>IFERROR(__xludf.DUMMYFUNCTION("""COMPUTED_VALUE"""),-1.2221657867734574)</f>
        <v>-1.222165787</v>
      </c>
      <c r="E23" s="15">
        <f>IFERROR(__xludf.DUMMYFUNCTION("""COMPUTED_VALUE"""),4.596619163754016)</f>
        <v>4.596619164</v>
      </c>
      <c r="F23" s="15">
        <f>IFERROR(__xludf.DUMMYFUNCTION("""COMPUTED_VALUE"""),3.3744533769805587)</f>
        <v>3.374453377</v>
      </c>
      <c r="G23" s="17">
        <f>IFERROR(__xludf.DUMMYFUNCTION("""COMPUTED_VALUE"""),1.4315495448559659)</f>
        <v>1.431549545</v>
      </c>
      <c r="H23" s="4"/>
      <c r="I23" s="5" t="s">
        <v>2994</v>
      </c>
      <c r="J23" s="5" t="s">
        <v>2957</v>
      </c>
      <c r="K23" s="24">
        <v>876.0</v>
      </c>
      <c r="L23" s="5">
        <v>2.100593</v>
      </c>
      <c r="M23" s="5">
        <v>1.27386</v>
      </c>
      <c r="N23" s="5">
        <v>3.374453</v>
      </c>
      <c r="O23" s="5">
        <v>1.43155</v>
      </c>
    </row>
    <row r="24">
      <c r="A24" s="18" t="str">
        <f>IFERROR(__xludf.DUMMYFUNCTION("""COMPUTED_VALUE"""),"Joe Lawson")</f>
        <v>Joe Lawson</v>
      </c>
      <c r="B24" s="19" t="str">
        <f>IFERROR(__xludf.DUMMYFUNCTION("""COMPUTED_VALUE"""),"BVC")</f>
        <v>BVC</v>
      </c>
      <c r="C24" s="20">
        <f>IFERROR(__xludf.DUMMYFUNCTION("""COMPUTED_VALUE"""),669.3)</f>
        <v>669.3</v>
      </c>
      <c r="D24" s="21">
        <f>IFERROR(__xludf.DUMMYFUNCTION("""COMPUTED_VALUE"""),0.8608624579846421)</f>
        <v>0.860862458</v>
      </c>
      <c r="E24" s="21">
        <f>IFERROR(__xludf.DUMMYFUNCTION("""COMPUTED_VALUE"""),2.3548424413311144)</f>
        <v>2.354842441</v>
      </c>
      <c r="F24" s="21">
        <f>IFERROR(__xludf.DUMMYFUNCTION("""COMPUTED_VALUE"""),3.2157048993157566)</f>
        <v>3.215704899</v>
      </c>
      <c r="G24" s="23">
        <f>IFERROR(__xludf.DUMMYFUNCTION("""COMPUTED_VALUE"""),1.0602962446468005)</f>
        <v>1.060296245</v>
      </c>
      <c r="H24" s="4"/>
      <c r="I24" s="5" t="s">
        <v>2995</v>
      </c>
      <c r="J24" s="5" t="s">
        <v>2996</v>
      </c>
      <c r="K24" s="24">
        <v>669.0</v>
      </c>
      <c r="L24" s="5">
        <v>0.784543</v>
      </c>
      <c r="M24" s="5">
        <v>2.431162</v>
      </c>
      <c r="N24" s="5">
        <v>3.215705</v>
      </c>
      <c r="O24" s="5">
        <v>1.060296</v>
      </c>
    </row>
    <row r="25">
      <c r="A25" s="12" t="str">
        <f>IFERROR(__xludf.DUMMYFUNCTION("""COMPUTED_VALUE"""),"Corban Collins")</f>
        <v>Corban Collins</v>
      </c>
      <c r="B25" s="13" t="str">
        <f>IFERROR(__xludf.DUMMYFUNCTION("""COMPUTED_VALUE"""),"VFL")</f>
        <v>VFL</v>
      </c>
      <c r="C25" s="14">
        <f>IFERROR(__xludf.DUMMYFUNCTION("""COMPUTED_VALUE"""),1020.4)</f>
        <v>1020.4</v>
      </c>
      <c r="D25" s="15">
        <f>IFERROR(__xludf.DUMMYFUNCTION("""COMPUTED_VALUE"""),3.3893225299049345)</f>
        <v>3.38932253</v>
      </c>
      <c r="E25" s="15">
        <f>IFERROR(__xludf.DUMMYFUNCTION("""COMPUTED_VALUE"""),-0.1827865509368478)</f>
        <v>-0.1827865509</v>
      </c>
      <c r="F25" s="15">
        <f>IFERROR(__xludf.DUMMYFUNCTION("""COMPUTED_VALUE"""),3.2065359789680867)</f>
        <v>3.206535979</v>
      </c>
      <c r="G25" s="17">
        <f>IFERROR(__xludf.DUMMYFUNCTION("""COMPUTED_VALUE"""),1.613100048987067)</f>
        <v>1.613100049</v>
      </c>
      <c r="H25" s="4"/>
      <c r="I25" s="5" t="s">
        <v>2998</v>
      </c>
      <c r="J25" s="5" t="s">
        <v>2999</v>
      </c>
      <c r="K25" s="24">
        <v>1020.0</v>
      </c>
      <c r="L25" s="5">
        <v>3.738117</v>
      </c>
      <c r="M25" s="5">
        <v>-0.531581</v>
      </c>
      <c r="N25" s="5">
        <v>3.206536</v>
      </c>
      <c r="O25" s="5">
        <v>1.6131</v>
      </c>
    </row>
    <row r="26">
      <c r="A26" s="18" t="str">
        <f>IFERROR(__xludf.DUMMYFUNCTION("""COMPUTED_VALUE"""),"Shy Ely")</f>
        <v>Shy Ely</v>
      </c>
      <c r="B26" s="19" t="str">
        <f>IFERROR(__xludf.DUMMYFUNCTION("""COMPUTED_VALUE"""),"MLP")</f>
        <v>MLP</v>
      </c>
      <c r="C26" s="20">
        <f>IFERROR(__xludf.DUMMYFUNCTION("""COMPUTED_VALUE"""),1136.8)</f>
        <v>1136.8</v>
      </c>
      <c r="D26" s="21">
        <f>IFERROR(__xludf.DUMMYFUNCTION("""COMPUTED_VALUE"""),2.3990931705009753)</f>
        <v>2.399093171</v>
      </c>
      <c r="E26" s="21">
        <f>IFERROR(__xludf.DUMMYFUNCTION("""COMPUTED_VALUE"""),0.6477395065664506)</f>
        <v>0.6477395066</v>
      </c>
      <c r="F26" s="21">
        <f>IFERROR(__xludf.DUMMYFUNCTION("""COMPUTED_VALUE"""),3.046832677067426)</f>
        <v>3.046832677</v>
      </c>
      <c r="G26" s="23">
        <f>IFERROR(__xludf.DUMMYFUNCTION("""COMPUTED_VALUE"""),1.750677319811096)</f>
        <v>1.75067732</v>
      </c>
      <c r="H26" s="4"/>
      <c r="I26" s="5" t="s">
        <v>3001</v>
      </c>
      <c r="J26" s="5" t="s">
        <v>2987</v>
      </c>
      <c r="K26" s="24">
        <v>1137.0</v>
      </c>
      <c r="L26" s="5">
        <v>3.196743</v>
      </c>
      <c r="M26" s="5">
        <v>-0.14991</v>
      </c>
      <c r="N26" s="5">
        <v>3.046833</v>
      </c>
      <c r="O26" s="5">
        <v>1.750677</v>
      </c>
    </row>
    <row r="27">
      <c r="A27" s="12" t="str">
        <f>IFERROR(__xludf.DUMMYFUNCTION("""COMPUTED_VALUE"""),"Chase Adams")</f>
        <v>Chase Adams</v>
      </c>
      <c r="B27" s="13" t="str">
        <f>IFERROR(__xludf.DUMMYFUNCTION("""COMPUTED_VALUE"""),"HEBE")</f>
        <v>HEBE</v>
      </c>
      <c r="C27" s="14">
        <f>IFERROR(__xludf.DUMMYFUNCTION("""COMPUTED_VALUE"""),909.4)</f>
        <v>909.4</v>
      </c>
      <c r="D27" s="15">
        <f>IFERROR(__xludf.DUMMYFUNCTION("""COMPUTED_VALUE"""),3.9278404224107275)</f>
        <v>3.927840422</v>
      </c>
      <c r="E27" s="15">
        <f>IFERROR(__xludf.DUMMYFUNCTION("""COMPUTED_VALUE"""),-0.9096101439380773)</f>
        <v>-0.9096101439</v>
      </c>
      <c r="F27" s="15">
        <f>IFERROR(__xludf.DUMMYFUNCTION("""COMPUTED_VALUE"""),3.0182302784726502)</f>
        <v>3.018230278</v>
      </c>
      <c r="G27" s="17">
        <f>IFERROR(__xludf.DUMMYFUNCTION("""COMPUTED_VALUE"""),1.3759287115828711)</f>
        <v>1.375928712</v>
      </c>
      <c r="H27" s="4"/>
      <c r="I27" s="5" t="s">
        <v>3002</v>
      </c>
      <c r="J27" s="5" t="s">
        <v>3004</v>
      </c>
      <c r="K27" s="24">
        <v>909.0</v>
      </c>
      <c r="L27" s="5">
        <v>3.462816</v>
      </c>
      <c r="M27" s="5">
        <v>-0.444585</v>
      </c>
      <c r="N27" s="5">
        <v>3.01823</v>
      </c>
      <c r="O27" s="5">
        <v>1.375929</v>
      </c>
    </row>
    <row r="28">
      <c r="A28" s="18" t="str">
        <f>IFERROR(__xludf.DUMMYFUNCTION("""COMPUTED_VALUE"""),"Dominik Spohr")</f>
        <v>Dominik Spohr</v>
      </c>
      <c r="B28" s="19" t="str">
        <f>IFERROR(__xludf.DUMMYFUNCTION("""COMPUTED_VALUE"""),"HAG")</f>
        <v>HAG</v>
      </c>
      <c r="C28" s="20">
        <f>IFERROR(__xludf.DUMMYFUNCTION("""COMPUTED_VALUE"""),831.6)</f>
        <v>831.6</v>
      </c>
      <c r="D28" s="21">
        <f>IFERROR(__xludf.DUMMYFUNCTION("""COMPUTED_VALUE"""),5.327858768141646)</f>
        <v>5.327858768</v>
      </c>
      <c r="E28" s="21">
        <f>IFERROR(__xludf.DUMMYFUNCTION("""COMPUTED_VALUE"""),-2.438740610642505)</f>
        <v>-2.438740611</v>
      </c>
      <c r="F28" s="21">
        <f>IFERROR(__xludf.DUMMYFUNCTION("""COMPUTED_VALUE"""),2.889118157499141)</f>
        <v>2.889118157</v>
      </c>
      <c r="G28" s="23">
        <f>IFERROR(__xludf.DUMMYFUNCTION("""COMPUTED_VALUE"""),1.2302132465905797)</f>
        <v>1.230213247</v>
      </c>
      <c r="H28" s="4"/>
      <c r="I28" s="5" t="s">
        <v>3005</v>
      </c>
      <c r="J28" s="5" t="s">
        <v>3006</v>
      </c>
      <c r="K28" s="24">
        <v>832.0</v>
      </c>
      <c r="L28" s="5">
        <v>4.993721</v>
      </c>
      <c r="M28" s="5">
        <v>-2.104603</v>
      </c>
      <c r="N28" s="5">
        <v>2.889118</v>
      </c>
      <c r="O28" s="5">
        <v>1.230213</v>
      </c>
    </row>
    <row r="29">
      <c r="A29" s="12" t="str">
        <f>IFERROR(__xludf.DUMMYFUNCTION("""COMPUTED_VALUE"""),"Enosch Wolf")</f>
        <v>Enosch Wolf</v>
      </c>
      <c r="B29" s="13" t="str">
        <f>IFERROR(__xludf.DUMMYFUNCTION("""COMPUTED_VALUE"""),"HAM")</f>
        <v>HAM</v>
      </c>
      <c r="C29" s="14">
        <f>IFERROR(__xludf.DUMMYFUNCTION("""COMPUTED_VALUE"""),433.3)</f>
        <v>433.3</v>
      </c>
      <c r="D29" s="15">
        <f>IFERROR(__xludf.DUMMYFUNCTION("""COMPUTED_VALUE"""),2.259952698361991)</f>
        <v>2.259952698</v>
      </c>
      <c r="E29" s="15">
        <f>IFERROR(__xludf.DUMMYFUNCTION("""COMPUTED_VALUE"""),0.5473905045434333)</f>
        <v>0.5473905045</v>
      </c>
      <c r="F29" s="15">
        <f>IFERROR(__xludf.DUMMYFUNCTION("""COMPUTED_VALUE"""),2.8073432029054244)</f>
        <v>2.807343203</v>
      </c>
      <c r="G29" s="17">
        <f>IFERROR(__xludf.DUMMYFUNCTION("""COMPUTED_VALUE"""),0.6633021880842456)</f>
        <v>0.6633021881</v>
      </c>
      <c r="H29" s="4"/>
      <c r="I29" s="5" t="s">
        <v>3007</v>
      </c>
      <c r="J29" s="5" t="s">
        <v>3008</v>
      </c>
      <c r="K29" s="24">
        <v>433.0</v>
      </c>
      <c r="L29" s="5">
        <v>2.248169</v>
      </c>
      <c r="M29" s="5">
        <v>0.559174</v>
      </c>
      <c r="N29" s="5">
        <v>2.807343</v>
      </c>
      <c r="O29" s="5">
        <v>0.663302</v>
      </c>
    </row>
    <row r="30">
      <c r="A30" s="18" t="str">
        <f>IFERROR(__xludf.DUMMYFUNCTION("""COMPUTED_VALUE"""),"Jarelle Reischel")</f>
        <v>Jarelle Reischel</v>
      </c>
      <c r="B30" s="19" t="str">
        <f>IFERROR(__xludf.DUMMYFUNCTION("""COMPUTED_VALUE"""),"PS")</f>
        <v>PS</v>
      </c>
      <c r="C30" s="20">
        <f>IFERROR(__xludf.DUMMYFUNCTION("""COMPUTED_VALUE"""),1046.7)</f>
        <v>1046.7</v>
      </c>
      <c r="D30" s="21">
        <f>IFERROR(__xludf.DUMMYFUNCTION("""COMPUTED_VALUE"""),-0.8561881799083569)</f>
        <v>-0.8561881799</v>
      </c>
      <c r="E30" s="21">
        <f>IFERROR(__xludf.DUMMYFUNCTION("""COMPUTED_VALUE"""),3.5689251426074105)</f>
        <v>3.568925143</v>
      </c>
      <c r="F30" s="21">
        <f>IFERROR(__xludf.DUMMYFUNCTION("""COMPUTED_VALUE"""),2.7127369626990534)</f>
        <v>2.712736963</v>
      </c>
      <c r="G30" s="23">
        <f>IFERROR(__xludf.DUMMYFUNCTION("""COMPUTED_VALUE"""),1.5039294022901482)</f>
        <v>1.503929402</v>
      </c>
      <c r="H30" s="4"/>
      <c r="I30" s="5" t="s">
        <v>3010</v>
      </c>
      <c r="J30" s="5" t="s">
        <v>2975</v>
      </c>
      <c r="K30" s="24">
        <v>1047.0</v>
      </c>
      <c r="L30" s="5">
        <v>0.335382</v>
      </c>
      <c r="M30" s="5">
        <v>2.377355</v>
      </c>
      <c r="N30" s="5">
        <v>2.712737</v>
      </c>
      <c r="O30" s="5">
        <v>1.503929</v>
      </c>
    </row>
    <row r="31">
      <c r="A31" s="12" t="str">
        <f>IFERROR(__xludf.DUMMYFUNCTION("""COMPUTED_VALUE"""),"Alex Herrera")</f>
        <v>Alex Herrera</v>
      </c>
      <c r="B31" s="13" t="str">
        <f>IFERROR(__xludf.DUMMYFUNCTION("""COMPUTED_VALUE"""),"HAG")</f>
        <v>HAG</v>
      </c>
      <c r="C31" s="14">
        <f>IFERROR(__xludf.DUMMYFUNCTION("""COMPUTED_VALUE"""),968.9)</f>
        <v>968.9</v>
      </c>
      <c r="D31" s="15">
        <f>IFERROR(__xludf.DUMMYFUNCTION("""COMPUTED_VALUE"""),0.43868114912989226)</f>
        <v>0.4386811491</v>
      </c>
      <c r="E31" s="15">
        <f>IFERROR(__xludf.DUMMYFUNCTION("""COMPUTED_VALUE"""),2.263577630468749)</f>
        <v>2.26357763</v>
      </c>
      <c r="F31" s="15">
        <f>IFERROR(__xludf.DUMMYFUNCTION("""COMPUTED_VALUE"""),2.7022587795986412)</f>
        <v>2.70225878</v>
      </c>
      <c r="G31" s="17">
        <f>IFERROR(__xludf.DUMMYFUNCTION("""COMPUTED_VALUE"""),1.3785447452272948)</f>
        <v>1.378544745</v>
      </c>
      <c r="H31" s="4"/>
      <c r="I31" s="5" t="s">
        <v>3011</v>
      </c>
      <c r="J31" s="5" t="s">
        <v>3006</v>
      </c>
      <c r="K31" s="24">
        <v>969.0</v>
      </c>
      <c r="L31" s="5">
        <v>0.104543</v>
      </c>
      <c r="M31" s="5">
        <v>2.597715</v>
      </c>
      <c r="N31" s="5">
        <v>2.702259</v>
      </c>
      <c r="O31" s="5">
        <v>1.378545</v>
      </c>
    </row>
    <row r="32">
      <c r="A32" s="18" t="str">
        <f>IFERROR(__xludf.DUMMYFUNCTION("""COMPUTED_VALUE"""),"David Gonzalvez")</f>
        <v>David Gonzalvez</v>
      </c>
      <c r="B32" s="19" t="str">
        <f>IFERROR(__xludf.DUMMYFUNCTION("""COMPUTED_VALUE"""),"RAS")</f>
        <v>RAS</v>
      </c>
      <c r="C32" s="20">
        <f>IFERROR(__xludf.DUMMYFUNCTION("""COMPUTED_VALUE"""),795.4)</f>
        <v>795.4</v>
      </c>
      <c r="D32" s="21">
        <f>IFERROR(__xludf.DUMMYFUNCTION("""COMPUTED_VALUE"""),-0.35046227805490127)</f>
        <v>-0.3504622781</v>
      </c>
      <c r="E32" s="21">
        <f>IFERROR(__xludf.DUMMYFUNCTION("""COMPUTED_VALUE"""),3.051502647577491)</f>
        <v>3.051502648</v>
      </c>
      <c r="F32" s="21">
        <f>IFERROR(__xludf.DUMMYFUNCTION("""COMPUTED_VALUE"""),2.7010403695225897)</f>
        <v>2.70104037</v>
      </c>
      <c r="G32" s="23">
        <f>IFERROR(__xludf.DUMMYFUNCTION("""COMPUTED_VALUE"""),1.1303149111718132)</f>
        <v>1.130314911</v>
      </c>
      <c r="H32" s="4"/>
      <c r="I32" s="5" t="s">
        <v>3013</v>
      </c>
      <c r="J32" s="5" t="s">
        <v>2953</v>
      </c>
      <c r="K32" s="24">
        <v>795.0</v>
      </c>
      <c r="L32" s="5">
        <v>2.470132</v>
      </c>
      <c r="M32" s="5">
        <v>0.230909</v>
      </c>
      <c r="N32" s="5">
        <v>2.70104</v>
      </c>
      <c r="O32" s="5">
        <v>1.130315</v>
      </c>
    </row>
    <row r="33">
      <c r="A33" s="12" t="str">
        <f>IFERROR(__xludf.DUMMYFUNCTION("""COMPUTED_VALUE"""),"Simon Schmitz")</f>
        <v>Simon Schmitz</v>
      </c>
      <c r="B33" s="13" t="str">
        <f>IFERROR(__xludf.DUMMYFUNCTION("""COMPUTED_VALUE"""),"TRI")</f>
        <v>TRI</v>
      </c>
      <c r="C33" s="14">
        <f>IFERROR(__xludf.DUMMYFUNCTION("""COMPUTED_VALUE"""),919.3)</f>
        <v>919.3</v>
      </c>
      <c r="D33" s="15">
        <f>IFERROR(__xludf.DUMMYFUNCTION("""COMPUTED_VALUE"""),4.129021732274945)</f>
        <v>4.129021732</v>
      </c>
      <c r="E33" s="15">
        <f>IFERROR(__xludf.DUMMYFUNCTION("""COMPUTED_VALUE"""),-1.631543052975816)</f>
        <v>-1.631543053</v>
      </c>
      <c r="F33" s="15">
        <f>IFERROR(__xludf.DUMMYFUNCTION("""COMPUTED_VALUE"""),2.4974786792991295)</f>
        <v>2.497478679</v>
      </c>
      <c r="G33" s="17">
        <f>IFERROR(__xludf.DUMMYFUNCTION("""COMPUTED_VALUE"""),1.2566935679476747)</f>
        <v>1.256693568</v>
      </c>
      <c r="H33" s="4"/>
      <c r="I33" s="5" t="s">
        <v>3015</v>
      </c>
      <c r="J33" s="5" t="s">
        <v>2991</v>
      </c>
      <c r="K33" s="24">
        <v>919.0</v>
      </c>
      <c r="L33" s="5">
        <v>5.130593</v>
      </c>
      <c r="M33" s="5">
        <v>-2.633114</v>
      </c>
      <c r="N33" s="5">
        <v>2.497479</v>
      </c>
      <c r="O33" s="5">
        <v>1.256694</v>
      </c>
    </row>
    <row r="34">
      <c r="A34" s="18" t="str">
        <f>IFERROR(__xludf.DUMMYFUNCTION("""COMPUTED_VALUE"""),"Philipp Neumann")</f>
        <v>Philipp Neumann</v>
      </c>
      <c r="B34" s="19" t="str">
        <f>IFERROR(__xludf.DUMMYFUNCTION("""COMPUTED_VALUE"""),"CRA")</f>
        <v>CRA</v>
      </c>
      <c r="C34" s="20">
        <f>IFERROR(__xludf.DUMMYFUNCTION("""COMPUTED_VALUE"""),252.6)</f>
        <v>252.6</v>
      </c>
      <c r="D34" s="21">
        <f>IFERROR(__xludf.DUMMYFUNCTION("""COMPUTED_VALUE"""),-2.9888448410091346)</f>
        <v>-2.988844841</v>
      </c>
      <c r="E34" s="21">
        <f>IFERROR(__xludf.DUMMYFUNCTION("""COMPUTED_VALUE"""),5.447069934291598)</f>
        <v>5.447069934</v>
      </c>
      <c r="F34" s="21">
        <f>IFERROR(__xludf.DUMMYFUNCTION("""COMPUTED_VALUE"""),2.4582250932824627)</f>
        <v>2.458225093</v>
      </c>
      <c r="G34" s="23">
        <f>IFERROR(__xludf.DUMMYFUNCTION("""COMPUTED_VALUE"""),0.3422670193363448)</f>
        <v>0.3422670193</v>
      </c>
      <c r="H34" s="4"/>
      <c r="I34" s="5" t="s">
        <v>3017</v>
      </c>
      <c r="J34" s="5" t="s">
        <v>2957</v>
      </c>
      <c r="K34" s="24">
        <v>253.0</v>
      </c>
      <c r="L34" s="5">
        <v>-0.191082</v>
      </c>
      <c r="M34" s="5">
        <v>2.649307</v>
      </c>
      <c r="N34" s="5">
        <v>2.458225</v>
      </c>
      <c r="O34" s="5">
        <v>0.342267</v>
      </c>
    </row>
    <row r="35">
      <c r="A35" s="12" t="str">
        <f>IFERROR(__xludf.DUMMYFUNCTION("""COMPUTED_VALUE"""),"Jannik Freese")</f>
        <v>Jannik Freese</v>
      </c>
      <c r="B35" s="13" t="str">
        <f>IFERROR(__xludf.DUMMYFUNCTION("""COMPUTED_VALUE"""),"RAS")</f>
        <v>RAS</v>
      </c>
      <c r="C35" s="14">
        <f>IFERROR(__xludf.DUMMYFUNCTION("""COMPUTED_VALUE"""),208.95)</f>
        <v>208.95</v>
      </c>
      <c r="D35" s="15">
        <f>IFERROR(__xludf.DUMMYFUNCTION("""COMPUTED_VALUE"""),1.0253113001222411)</f>
        <v>1.0253113</v>
      </c>
      <c r="E35" s="15">
        <f>IFERROR(__xludf.DUMMYFUNCTION("""COMPUTED_VALUE"""),1.2908155452247723)</f>
        <v>1.290815545</v>
      </c>
      <c r="F35" s="15">
        <f>IFERROR(__xludf.DUMMYFUNCTION("""COMPUTED_VALUE"""),2.3161268453470134)</f>
        <v>2.316126845</v>
      </c>
      <c r="G35" s="17">
        <f>IFERROR(__xludf.DUMMYFUNCTION("""COMPUTED_VALUE"""),0.27261921605492045)</f>
        <v>0.2726192161</v>
      </c>
      <c r="H35" s="4"/>
      <c r="I35" s="5" t="s">
        <v>3018</v>
      </c>
      <c r="J35" s="5" t="s">
        <v>2953</v>
      </c>
      <c r="K35" s="24">
        <v>209.0</v>
      </c>
      <c r="L35" s="5">
        <v>2.308958</v>
      </c>
      <c r="M35" s="5">
        <v>0.007169</v>
      </c>
      <c r="N35" s="5">
        <v>2.316127</v>
      </c>
      <c r="O35" s="5">
        <v>0.272619</v>
      </c>
    </row>
    <row r="36">
      <c r="A36" s="18" t="str">
        <f>IFERROR(__xludf.DUMMYFUNCTION("""COMPUTED_VALUE"""),"Andy Mazurczak")</f>
        <v>Andy Mazurczak</v>
      </c>
      <c r="B36" s="19" t="str">
        <f>IFERROR(__xludf.DUMMYFUNCTION("""COMPUTED_VALUE"""),"BVC")</f>
        <v>BVC</v>
      </c>
      <c r="C36" s="20">
        <f>IFERROR(__xludf.DUMMYFUNCTION("""COMPUTED_VALUE"""),728.4)</f>
        <v>728.4</v>
      </c>
      <c r="D36" s="21">
        <f>IFERROR(__xludf.DUMMYFUNCTION("""COMPUTED_VALUE"""),2.6005805297318227)</f>
        <v>2.60058053</v>
      </c>
      <c r="E36" s="21">
        <f>IFERROR(__xludf.DUMMYFUNCTION("""COMPUTED_VALUE"""),-0.2903013296900818)</f>
        <v>-0.2903013297</v>
      </c>
      <c r="F36" s="21">
        <f>IFERROR(__xludf.DUMMYFUNCTION("""COMPUTED_VALUE"""),2.310279200041741)</f>
        <v>2.3102792</v>
      </c>
      <c r="G36" s="23">
        <f>IFERROR(__xludf.DUMMYFUNCTION("""COMPUTED_VALUE"""),0.9536054548124028)</f>
        <v>0.9536054548</v>
      </c>
      <c r="H36" s="4"/>
      <c r="I36" s="5" t="s">
        <v>3020</v>
      </c>
      <c r="J36" s="5" t="s">
        <v>2996</v>
      </c>
      <c r="K36" s="24">
        <v>728.0</v>
      </c>
      <c r="L36" s="5">
        <v>2.524261</v>
      </c>
      <c r="M36" s="5">
        <v>-0.213981</v>
      </c>
      <c r="N36" s="5">
        <v>2.310279</v>
      </c>
      <c r="O36" s="5">
        <v>0.953605</v>
      </c>
    </row>
    <row r="37">
      <c r="A37" s="12" t="str">
        <f>IFERROR(__xludf.DUMMYFUNCTION("""COMPUTED_VALUE"""),"Dan Oppland")</f>
        <v>Dan Oppland</v>
      </c>
      <c r="B37" s="13" t="str">
        <f>IFERROR(__xludf.DUMMYFUNCTION("""COMPUTED_VALUE"""),"NUE")</f>
        <v>NUE</v>
      </c>
      <c r="C37" s="14">
        <f>IFERROR(__xludf.DUMMYFUNCTION("""COMPUTED_VALUE"""),928.9)</f>
        <v>928.9</v>
      </c>
      <c r="D37" s="15">
        <f>IFERROR(__xludf.DUMMYFUNCTION("""COMPUTED_VALUE"""),3.149797481171074)</f>
        <v>3.149797481</v>
      </c>
      <c r="E37" s="15">
        <f>IFERROR(__xludf.DUMMYFUNCTION("""COMPUTED_VALUE"""),-0.9230600280706569)</f>
        <v>-0.9230600281</v>
      </c>
      <c r="F37" s="15">
        <f>IFERROR(__xludf.DUMMYFUNCTION("""COMPUTED_VALUE"""),2.226737453100417)</f>
        <v>2.226737453</v>
      </c>
      <c r="G37" s="17">
        <f>IFERROR(__xludf.DUMMYFUNCTION("""COMPUTED_VALUE"""),1.197356452270718)</f>
        <v>1.197356452</v>
      </c>
      <c r="H37" s="4"/>
      <c r="I37" s="5" t="s">
        <v>3022</v>
      </c>
      <c r="J37" s="5" t="s">
        <v>3023</v>
      </c>
      <c r="K37" s="24">
        <v>929.0</v>
      </c>
      <c r="L37" s="5">
        <v>1.72465</v>
      </c>
      <c r="M37" s="5">
        <v>0.502088</v>
      </c>
      <c r="N37" s="5">
        <v>2.226737</v>
      </c>
      <c r="O37" s="5">
        <v>1.197356</v>
      </c>
    </row>
    <row r="38">
      <c r="A38" s="18" t="str">
        <f>IFERROR(__xludf.DUMMYFUNCTION("""COMPUTED_VALUE"""),"Andreas Kronhardt")</f>
        <v>Andreas Kronhardt</v>
      </c>
      <c r="B38" s="19" t="str">
        <f>IFERROR(__xludf.DUMMYFUNCTION("""COMPUTED_VALUE"""),"VFL")</f>
        <v>VFL</v>
      </c>
      <c r="C38" s="20">
        <f>IFERROR(__xludf.DUMMYFUNCTION("""COMPUTED_VALUE"""),706.3)</f>
        <v>706.3</v>
      </c>
      <c r="D38" s="21">
        <f>IFERROR(__xludf.DUMMYFUNCTION("""COMPUTED_VALUE"""),1.105781203142516)</f>
        <v>1.105781203</v>
      </c>
      <c r="E38" s="21">
        <f>IFERROR(__xludf.DUMMYFUNCTION("""COMPUTED_VALUE"""),1.0742434901563347)</f>
        <v>1.07424349</v>
      </c>
      <c r="F38" s="21">
        <f>IFERROR(__xludf.DUMMYFUNCTION("""COMPUTED_VALUE"""),2.1800246932988507)</f>
        <v>2.180024693</v>
      </c>
      <c r="G38" s="23">
        <f>IFERROR(__xludf.DUMMYFUNCTION("""COMPUTED_VALUE"""),0.8964168970493152)</f>
        <v>0.896416897</v>
      </c>
      <c r="H38" s="4"/>
      <c r="I38" s="5" t="s">
        <v>3026</v>
      </c>
      <c r="J38" s="5" t="s">
        <v>2999</v>
      </c>
      <c r="K38" s="5">
        <v>706.0</v>
      </c>
      <c r="L38" s="5">
        <v>1.454575</v>
      </c>
      <c r="M38" s="5">
        <v>0.725449</v>
      </c>
      <c r="N38" s="5">
        <v>2.180025</v>
      </c>
      <c r="O38" s="5">
        <v>0.896417</v>
      </c>
    </row>
    <row r="39">
      <c r="A39" s="12" t="str">
        <f>IFERROR(__xludf.DUMMYFUNCTION("""COMPUTED_VALUE"""),"Derrick Marks")</f>
        <v>Derrick Marks</v>
      </c>
      <c r="B39" s="13" t="str">
        <f>IFERROR(__xludf.DUMMYFUNCTION("""COMPUTED_VALUE"""),"CRA")</f>
        <v>CRA</v>
      </c>
      <c r="C39" s="14">
        <f>IFERROR(__xludf.DUMMYFUNCTION("""COMPUTED_VALUE"""),262.0)</f>
        <v>262</v>
      </c>
      <c r="D39" s="15">
        <f>IFERROR(__xludf.DUMMYFUNCTION("""COMPUTED_VALUE"""),-1.5216179633875857)</f>
        <v>-1.521617963</v>
      </c>
      <c r="E39" s="15">
        <f>IFERROR(__xludf.DUMMYFUNCTION("""COMPUTED_VALUE"""),3.565016035623001)</f>
        <v>3.565016036</v>
      </c>
      <c r="F39" s="15">
        <f>IFERROR(__xludf.DUMMYFUNCTION("""COMPUTED_VALUE"""),2.0433980722354153)</f>
        <v>2.043398072</v>
      </c>
      <c r="G39" s="17">
        <f>IFERROR(__xludf.DUMMYFUNCTION("""COMPUTED_VALUE"""),0.3219715553822679)</f>
        <v>0.3219715554</v>
      </c>
      <c r="H39" s="4"/>
      <c r="I39" s="5" t="s">
        <v>3028</v>
      </c>
      <c r="J39" s="5" t="s">
        <v>2957</v>
      </c>
      <c r="K39" s="24">
        <v>262.0</v>
      </c>
      <c r="L39" s="5">
        <v>1.380258</v>
      </c>
      <c r="M39" s="5">
        <v>0.66314</v>
      </c>
      <c r="N39" s="5">
        <v>2.043398</v>
      </c>
      <c r="O39" s="5">
        <v>0.321972</v>
      </c>
    </row>
    <row r="40">
      <c r="A40" s="18" t="str">
        <f>IFERROR(__xludf.DUMMYFUNCTION("""COMPUTED_VALUE"""),"Jaleen Smith")</f>
        <v>Jaleen Smith</v>
      </c>
      <c r="B40" s="19" t="str">
        <f>IFERROR(__xludf.DUMMYFUNCTION("""COMPUTED_VALUE"""),"MLP")</f>
        <v>MLP</v>
      </c>
      <c r="C40" s="20">
        <f>IFERROR(__xludf.DUMMYFUNCTION("""COMPUTED_VALUE"""),740.5)</f>
        <v>740.5</v>
      </c>
      <c r="D40" s="21">
        <f>IFERROR(__xludf.DUMMYFUNCTION("""COMPUTED_VALUE"""),1.2279981920840377)</f>
        <v>1.227998192</v>
      </c>
      <c r="E40" s="21">
        <f>IFERROR(__xludf.DUMMYFUNCTION("""COMPUTED_VALUE"""),0.8133507149223138)</f>
        <v>0.8133507149</v>
      </c>
      <c r="F40" s="21">
        <f>IFERROR(__xludf.DUMMYFUNCTION("""COMPUTED_VALUE"""),2.0413489070063515)</f>
        <v>2.041348907</v>
      </c>
      <c r="G40" s="23">
        <f>IFERROR(__xludf.DUMMYFUNCTION("""COMPUTED_VALUE"""),0.9131761150698806)</f>
        <v>0.9131761151</v>
      </c>
      <c r="H40" s="4"/>
      <c r="I40" s="5" t="s">
        <v>3030</v>
      </c>
      <c r="J40" s="5" t="s">
        <v>2987</v>
      </c>
      <c r="K40" s="24">
        <v>741.0</v>
      </c>
      <c r="L40" s="5">
        <v>2.025648</v>
      </c>
      <c r="M40" s="5">
        <v>0.015701</v>
      </c>
      <c r="N40" s="5">
        <v>2.041349</v>
      </c>
      <c r="O40" s="5">
        <v>0.913176</v>
      </c>
    </row>
    <row r="41">
      <c r="A41" s="12" t="str">
        <f>IFERROR(__xludf.DUMMYFUNCTION("""COMPUTED_VALUE"""),"Niklas Ney")</f>
        <v>Niklas Ney</v>
      </c>
      <c r="B41" s="13" t="str">
        <f>IFERROR(__xludf.DUMMYFUNCTION("""COMPUTED_VALUE"""),"MLP")</f>
        <v>MLP</v>
      </c>
      <c r="C41" s="14">
        <f>IFERROR(__xludf.DUMMYFUNCTION("""COMPUTED_VALUE"""),596.3)</f>
        <v>596.3</v>
      </c>
      <c r="D41" s="15">
        <f>IFERROR(__xludf.DUMMYFUNCTION("""COMPUTED_VALUE"""),0.025578255678044948)</f>
        <v>0.02557825568</v>
      </c>
      <c r="E41" s="15">
        <f>IFERROR(__xludf.DUMMYFUNCTION("""COMPUTED_VALUE"""),1.6599761315210433)</f>
        <v>1.659976132</v>
      </c>
      <c r="F41" s="15">
        <f>IFERROR(__xludf.DUMMYFUNCTION("""COMPUTED_VALUE"""),1.6855543871990881)</f>
        <v>1.685554387</v>
      </c>
      <c r="G41" s="17">
        <f>IFERROR(__xludf.DUMMYFUNCTION("""COMPUTED_VALUE"""),0.6706111468034116)</f>
        <v>0.6706111468</v>
      </c>
      <c r="H41" s="4"/>
      <c r="I41" s="5" t="s">
        <v>3032</v>
      </c>
      <c r="J41" s="5" t="s">
        <v>2987</v>
      </c>
      <c r="K41" s="24">
        <v>596.0</v>
      </c>
      <c r="L41" s="5">
        <v>0.823228</v>
      </c>
      <c r="M41" s="5">
        <v>0.862326</v>
      </c>
      <c r="N41" s="5">
        <v>1.685554</v>
      </c>
      <c r="O41" s="5">
        <v>0.670611</v>
      </c>
    </row>
    <row r="42">
      <c r="A42" s="18" t="str">
        <f>IFERROR(__xludf.DUMMYFUNCTION("""COMPUTED_VALUE"""),"Maurice Pluskota")</f>
        <v>Maurice Pluskota</v>
      </c>
      <c r="B42" s="19" t="str">
        <f>IFERROR(__xludf.DUMMYFUNCTION("""COMPUTED_VALUE"""),"PS")</f>
        <v>PS</v>
      </c>
      <c r="C42" s="20">
        <f>IFERROR(__xludf.DUMMYFUNCTION("""COMPUTED_VALUE"""),853.8)</f>
        <v>853.8</v>
      </c>
      <c r="D42" s="21">
        <f>IFERROR(__xludf.DUMMYFUNCTION("""COMPUTED_VALUE"""),-0.48283545797569627)</f>
        <v>-0.482835458</v>
      </c>
      <c r="E42" s="21">
        <f>IFERROR(__xludf.DUMMYFUNCTION("""COMPUTED_VALUE"""),2.1005405102105907)</f>
        <v>2.10054051</v>
      </c>
      <c r="F42" s="21">
        <f>IFERROR(__xludf.DUMMYFUNCTION("""COMPUTED_VALUE"""),1.6177050522348944)</f>
        <v>1.617705052</v>
      </c>
      <c r="G42" s="23">
        <f>IFERROR(__xludf.DUMMYFUNCTION("""COMPUTED_VALUE"""),0.9417189983708716)</f>
        <v>0.9417189984</v>
      </c>
      <c r="H42" s="4"/>
      <c r="I42" s="5" t="s">
        <v>3033</v>
      </c>
      <c r="J42" s="5" t="s">
        <v>2975</v>
      </c>
      <c r="K42" s="24">
        <v>854.0</v>
      </c>
      <c r="L42" s="5">
        <v>0.708735</v>
      </c>
      <c r="M42" s="5">
        <v>0.90897</v>
      </c>
      <c r="N42" s="5">
        <v>1.617705</v>
      </c>
      <c r="O42" s="5">
        <v>0.941719</v>
      </c>
    </row>
    <row r="43">
      <c r="A43" s="12" t="str">
        <f>IFERROR(__xludf.DUMMYFUNCTION("""COMPUTED_VALUE"""),"DaVonte Lacy")</f>
        <v>DaVonte Lacy</v>
      </c>
      <c r="B43" s="13" t="str">
        <f>IFERROR(__xludf.DUMMYFUNCTION("""COMPUTED_VALUE"""),"URS")</f>
        <v>URS</v>
      </c>
      <c r="C43" s="14">
        <f>IFERROR(__xludf.DUMMYFUNCTION("""COMPUTED_VALUE"""),978.6)</f>
        <v>978.6</v>
      </c>
      <c r="D43" s="15">
        <f>IFERROR(__xludf.DUMMYFUNCTION("""COMPUTED_VALUE"""),5.163035960925413)</f>
        <v>5.163035961</v>
      </c>
      <c r="E43" s="15">
        <f>IFERROR(__xludf.DUMMYFUNCTION("""COMPUTED_VALUE"""),-3.620093233540906)</f>
        <v>-3.620093234</v>
      </c>
      <c r="F43" s="15">
        <f>IFERROR(__xludf.DUMMYFUNCTION("""COMPUTED_VALUE"""),1.5429427273845069)</f>
        <v>1.542942727</v>
      </c>
      <c r="G43" s="17">
        <f>IFERROR(__xludf.DUMMYFUNCTION("""COMPUTED_VALUE"""),1.0482966476925228)</f>
        <v>1.048296648</v>
      </c>
      <c r="H43" s="4"/>
      <c r="I43" s="5" t="s">
        <v>3035</v>
      </c>
      <c r="J43" s="5" t="s">
        <v>3036</v>
      </c>
      <c r="K43" s="24">
        <v>979.0</v>
      </c>
      <c r="L43" s="5">
        <v>4.552495</v>
      </c>
      <c r="M43" s="5">
        <v>-3.009553</v>
      </c>
      <c r="N43" s="5">
        <v>1.542943</v>
      </c>
      <c r="O43" s="5">
        <v>1.048297</v>
      </c>
    </row>
    <row r="44">
      <c r="A44" s="18" t="str">
        <f>IFERROR(__xludf.DUMMYFUNCTION("""COMPUTED_VALUE"""),"Malte Ziegenhagen")</f>
        <v>Malte Ziegenhagen</v>
      </c>
      <c r="B44" s="19" t="str">
        <f>IFERROR(__xludf.DUMMYFUNCTION("""COMPUTED_VALUE"""),"BVC")</f>
        <v>BVC</v>
      </c>
      <c r="C44" s="20">
        <f>IFERROR(__xludf.DUMMYFUNCTION("""COMPUTED_VALUE"""),864.6)</f>
        <v>864.6</v>
      </c>
      <c r="D44" s="21">
        <f>IFERROR(__xludf.DUMMYFUNCTION("""COMPUTED_VALUE"""),3.498379254388682)</f>
        <v>3.498379254</v>
      </c>
      <c r="E44" s="21">
        <f>IFERROR(__xludf.DUMMYFUNCTION("""COMPUTED_VALUE"""),-2.0026364895705657)</f>
        <v>-2.00263649</v>
      </c>
      <c r="F44" s="21">
        <f>IFERROR(__xludf.DUMMYFUNCTION("""COMPUTED_VALUE"""),1.4957427648181163)</f>
        <v>1.495742765</v>
      </c>
      <c r="G44" s="23">
        <f>IFERROR(__xludf.DUMMYFUNCTION("""COMPUTED_VALUE"""),0.9180114235753892)</f>
        <v>0.9180114236</v>
      </c>
      <c r="H44" s="4"/>
      <c r="I44" s="5" t="s">
        <v>3038</v>
      </c>
      <c r="J44" s="5" t="s">
        <v>2996</v>
      </c>
      <c r="K44" s="24">
        <v>865.0</v>
      </c>
      <c r="L44" s="5">
        <v>3.422059</v>
      </c>
      <c r="M44" s="5">
        <v>-1.926317</v>
      </c>
      <c r="N44" s="5">
        <v>1.495743</v>
      </c>
      <c r="O44" s="5">
        <v>0.918011</v>
      </c>
    </row>
    <row r="45">
      <c r="A45" s="12" t="str">
        <f>IFERROR(__xludf.DUMMYFUNCTION("""COMPUTED_VALUE"""),"Max DiLeo")</f>
        <v>Max DiLeo</v>
      </c>
      <c r="B45" s="13" t="str">
        <f>IFERROR(__xludf.DUMMYFUNCTION("""COMPUTED_VALUE"""),"RHEI")</f>
        <v>RHEI</v>
      </c>
      <c r="C45" s="14">
        <f>IFERROR(__xludf.DUMMYFUNCTION("""COMPUTED_VALUE"""),786.7)</f>
        <v>786.7</v>
      </c>
      <c r="D45" s="15">
        <f>IFERROR(__xludf.DUMMYFUNCTION("""COMPUTED_VALUE"""),0.12825575402524905)</f>
        <v>0.128255754</v>
      </c>
      <c r="E45" s="15">
        <f>IFERROR(__xludf.DUMMYFUNCTION("""COMPUTED_VALUE"""),1.290669873695204)</f>
        <v>1.290669874</v>
      </c>
      <c r="F45" s="15">
        <f>IFERROR(__xludf.DUMMYFUNCTION("""COMPUTED_VALUE"""),1.4189256277204532)</f>
        <v>1.418925628</v>
      </c>
      <c r="G45" s="17">
        <f>IFERROR(__xludf.DUMMYFUNCTION("""COMPUTED_VALUE"""),0.817123897329769)</f>
        <v>0.8171238973</v>
      </c>
      <c r="H45" s="4"/>
      <c r="I45" s="5" t="s">
        <v>3041</v>
      </c>
      <c r="J45" s="5" t="s">
        <v>2972</v>
      </c>
      <c r="K45" s="24">
        <v>787.0</v>
      </c>
      <c r="L45" s="5">
        <v>-1.277009</v>
      </c>
      <c r="M45" s="5">
        <v>2.695935</v>
      </c>
      <c r="N45" s="5">
        <v>1.418926</v>
      </c>
      <c r="O45" s="5">
        <v>0.817124</v>
      </c>
    </row>
    <row r="46">
      <c r="A46" s="18" t="str">
        <f>IFERROR(__xludf.DUMMYFUNCTION("""COMPUTED_VALUE"""),"Luquon Choice")</f>
        <v>Luquon Choice</v>
      </c>
      <c r="B46" s="19" t="str">
        <f>IFERROR(__xludf.DUMMYFUNCTION("""COMPUTED_VALUE"""),"HEBE")</f>
        <v>HEBE</v>
      </c>
      <c r="C46" s="20">
        <f>IFERROR(__xludf.DUMMYFUNCTION("""COMPUTED_VALUE"""),907.6)</f>
        <v>907.6</v>
      </c>
      <c r="D46" s="21">
        <f>IFERROR(__xludf.DUMMYFUNCTION("""COMPUTED_VALUE"""),3.6637246304949262)</f>
        <v>3.66372463</v>
      </c>
      <c r="E46" s="21">
        <f>IFERROR(__xludf.DUMMYFUNCTION("""COMPUTED_VALUE"""),-2.24851790572769)</f>
        <v>-2.248517906</v>
      </c>
      <c r="F46" s="21">
        <f>IFERROR(__xludf.DUMMYFUNCTION("""COMPUTED_VALUE"""),1.4152067247672364)</f>
        <v>1.415206725</v>
      </c>
      <c r="G46" s="23">
        <f>IFERROR(__xludf.DUMMYFUNCTION("""COMPUTED_VALUE"""),0.9345485779529079)</f>
        <v>0.934548578</v>
      </c>
      <c r="H46" s="4"/>
      <c r="I46" s="5" t="s">
        <v>3042</v>
      </c>
      <c r="J46" s="5" t="s">
        <v>3004</v>
      </c>
      <c r="K46" s="24">
        <v>908.0</v>
      </c>
      <c r="L46" s="5">
        <v>3.1987</v>
      </c>
      <c r="M46" s="5">
        <v>-1.783493</v>
      </c>
      <c r="N46" s="5">
        <v>1.415207</v>
      </c>
      <c r="O46" s="5">
        <v>0.934549</v>
      </c>
    </row>
    <row r="47">
      <c r="A47" s="12" t="str">
        <f>IFERROR(__xludf.DUMMYFUNCTION("""COMPUTED_VALUE"""),"Keith Rendleman")</f>
        <v>Keith Rendleman</v>
      </c>
      <c r="B47" s="13" t="str">
        <f>IFERROR(__xludf.DUMMYFUNCTION("""COMPUTED_VALUE"""),"VFL")</f>
        <v>VFL</v>
      </c>
      <c r="C47" s="14">
        <f>IFERROR(__xludf.DUMMYFUNCTION("""COMPUTED_VALUE"""),739.0)</f>
        <v>739</v>
      </c>
      <c r="D47" s="15">
        <f>IFERROR(__xludf.DUMMYFUNCTION("""COMPUTED_VALUE"""),-0.677424034871351)</f>
        <v>-0.6774240349</v>
      </c>
      <c r="E47" s="15">
        <f>IFERROR(__xludf.DUMMYFUNCTION("""COMPUTED_VALUE"""),2.091802107011433)</f>
        <v>2.091802107</v>
      </c>
      <c r="F47" s="15">
        <f>IFERROR(__xludf.DUMMYFUNCTION("""COMPUTED_VALUE"""),1.414378072140082)</f>
        <v>1.414378072</v>
      </c>
      <c r="G47" s="17">
        <f>IFERROR(__xludf.DUMMYFUNCTION("""COMPUTED_VALUE"""),0.766122165574337)</f>
        <v>0.7661221656</v>
      </c>
      <c r="H47" s="4"/>
      <c r="I47" s="5" t="s">
        <v>3044</v>
      </c>
      <c r="J47" s="5" t="s">
        <v>2999</v>
      </c>
      <c r="K47" s="24">
        <v>739.0</v>
      </c>
      <c r="L47" s="5">
        <v>-0.32863</v>
      </c>
      <c r="M47" s="5">
        <v>1.743008</v>
      </c>
      <c r="N47" s="5">
        <v>1.414378</v>
      </c>
      <c r="O47" s="5">
        <v>0.766122</v>
      </c>
    </row>
    <row r="48">
      <c r="A48" s="18" t="str">
        <f>IFERROR(__xludf.DUMMYFUNCTION("""COMPUTED_VALUE"""),"Robin Carl Lodders")</f>
        <v>Robin Carl Lodders</v>
      </c>
      <c r="B48" s="19" t="str">
        <f>IFERROR(__xludf.DUMMYFUNCTION("""COMPUTED_VALUE"""),"BVC")</f>
        <v>BVC</v>
      </c>
      <c r="C48" s="20">
        <f>IFERROR(__xludf.DUMMYFUNCTION("""COMPUTED_VALUE"""),638.7)</f>
        <v>638.7</v>
      </c>
      <c r="D48" s="21">
        <f>IFERROR(__xludf.DUMMYFUNCTION("""COMPUTED_VALUE"""),0.15788251247862278)</f>
        <v>0.1578825125</v>
      </c>
      <c r="E48" s="21">
        <f>IFERROR(__xludf.DUMMYFUNCTION("""COMPUTED_VALUE"""),1.2461232175220422)</f>
        <v>1.246123218</v>
      </c>
      <c r="F48" s="21">
        <f>IFERROR(__xludf.DUMMYFUNCTION("""COMPUTED_VALUE"""),1.404005730000665)</f>
        <v>1.40400573</v>
      </c>
      <c r="G48" s="23">
        <f>IFERROR(__xludf.DUMMYFUNCTION("""COMPUTED_VALUE"""),0.6603597363805958)</f>
        <v>0.6603597364</v>
      </c>
      <c r="H48" s="4"/>
      <c r="I48" s="5" t="s">
        <v>3046</v>
      </c>
      <c r="J48" s="5" t="s">
        <v>2996</v>
      </c>
      <c r="K48" s="24">
        <v>639.0</v>
      </c>
      <c r="L48" s="5">
        <v>0.081563</v>
      </c>
      <c r="M48" s="5">
        <v>1.322443</v>
      </c>
      <c r="N48" s="5">
        <v>1.404006</v>
      </c>
      <c r="O48" s="5">
        <v>0.66036</v>
      </c>
    </row>
    <row r="49">
      <c r="A49" s="12" t="str">
        <f>IFERROR(__xludf.DUMMYFUNCTION("""COMPUTED_VALUE"""),"Niklas Wurzner")</f>
        <v>Niklas Wurzner</v>
      </c>
      <c r="B49" s="13" t="str">
        <f>IFERROR(__xludf.DUMMYFUNCTION("""COMPUTED_VALUE"""),"MLP")</f>
        <v>MLP</v>
      </c>
      <c r="C49" s="14">
        <f>IFERROR(__xludf.DUMMYFUNCTION("""COMPUTED_VALUE"""),992.9)</f>
        <v>992.9</v>
      </c>
      <c r="D49" s="15">
        <f>IFERROR(__xludf.DUMMYFUNCTION("""COMPUTED_VALUE"""),-0.854937419618846)</f>
        <v>-0.8549374196</v>
      </c>
      <c r="E49" s="15">
        <f>IFERROR(__xludf.DUMMYFUNCTION("""COMPUTED_VALUE"""),2.182334825477508)</f>
        <v>2.182334825</v>
      </c>
      <c r="F49" s="15">
        <f>IFERROR(__xludf.DUMMYFUNCTION("""COMPUTED_VALUE"""),1.3273974058586622)</f>
        <v>1.327397406</v>
      </c>
      <c r="G49" s="17">
        <f>IFERROR(__xludf.DUMMYFUNCTION("""COMPUTED_VALUE"""),1.0081225251161268)</f>
        <v>1.008122525</v>
      </c>
      <c r="H49" s="4"/>
      <c r="I49" s="5" t="s">
        <v>3047</v>
      </c>
      <c r="J49" s="5" t="s">
        <v>2987</v>
      </c>
      <c r="K49" s="24">
        <v>993.0</v>
      </c>
      <c r="L49" s="5">
        <v>-0.057288</v>
      </c>
      <c r="M49" s="5">
        <v>1.384685</v>
      </c>
      <c r="N49" s="5">
        <v>1.327397</v>
      </c>
      <c r="O49" s="5">
        <v>1.008123</v>
      </c>
    </row>
    <row r="50">
      <c r="A50" s="18" t="str">
        <f>IFERROR(__xludf.DUMMYFUNCTION("""COMPUTED_VALUE"""),"Josef Herold")</f>
        <v>Josef Herold</v>
      </c>
      <c r="B50" s="19" t="str">
        <f>IFERROR(__xludf.DUMMYFUNCTION("""COMPUTED_VALUE"""),"HEBE")</f>
        <v>HEBE</v>
      </c>
      <c r="C50" s="20">
        <f>IFERROR(__xludf.DUMMYFUNCTION("""COMPUTED_VALUE"""),50.6)</f>
        <v>50.6</v>
      </c>
      <c r="D50" s="21">
        <f>IFERROR(__xludf.DUMMYFUNCTION("""COMPUTED_VALUE"""),0.6024889222229903)</f>
        <v>0.6024889222</v>
      </c>
      <c r="E50" s="21">
        <f>IFERROR(__xludf.DUMMYFUNCTION("""COMPUTED_VALUE"""),0.42404019288943107)</f>
        <v>0.4240401929</v>
      </c>
      <c r="F50" s="21">
        <f>IFERROR(__xludf.DUMMYFUNCTION("""COMPUTED_VALUE"""),1.0265291151124214)</f>
        <v>1.026529115</v>
      </c>
      <c r="G50" s="23">
        <f>IFERROR(__xludf.DUMMYFUNCTION("""COMPUTED_VALUE"""),0.046172753017988184)</f>
        <v>0.04617275302</v>
      </c>
      <c r="H50" s="4"/>
      <c r="I50" s="5" t="s">
        <v>3051</v>
      </c>
      <c r="J50" s="5" t="s">
        <v>3004</v>
      </c>
      <c r="K50" s="24">
        <v>51.0</v>
      </c>
      <c r="L50" s="5">
        <v>0.524055</v>
      </c>
      <c r="M50" s="5">
        <v>0.502474</v>
      </c>
      <c r="N50" s="5">
        <v>1.026529</v>
      </c>
      <c r="O50" s="5">
        <v>0.046173</v>
      </c>
    </row>
    <row r="51">
      <c r="A51" s="12" t="str">
        <f>IFERROR(__xludf.DUMMYFUNCTION("""COMPUTED_VALUE"""),"Justin Raffington")</f>
        <v>Justin Raffington</v>
      </c>
      <c r="B51" s="13" t="str">
        <f>IFERROR(__xludf.DUMMYFUNCTION("""COMPUTED_VALUE"""),"HAM")</f>
        <v>HAM</v>
      </c>
      <c r="C51" s="14">
        <f>IFERROR(__xludf.DUMMYFUNCTION("""COMPUTED_VALUE"""),272.9)</f>
        <v>272.9</v>
      </c>
      <c r="D51" s="15">
        <f>IFERROR(__xludf.DUMMYFUNCTION("""COMPUTED_VALUE"""),-0.26284705673660486)</f>
        <v>-0.2628470567</v>
      </c>
      <c r="E51" s="15">
        <f>IFERROR(__xludf.DUMMYFUNCTION("""COMPUTED_VALUE"""),1.2812696242731558)</f>
        <v>1.281269624</v>
      </c>
      <c r="F51" s="15">
        <f>IFERROR(__xludf.DUMMYFUNCTION("""COMPUTED_VALUE"""),1.018422567536551)</f>
        <v>1.018422568</v>
      </c>
      <c r="G51" s="17">
        <f>IFERROR(__xludf.DUMMYFUNCTION("""COMPUTED_VALUE"""),0.26230174977074694)</f>
        <v>0.2623017498</v>
      </c>
      <c r="H51" s="4"/>
      <c r="I51" s="5" t="s">
        <v>3053</v>
      </c>
      <c r="J51" s="5" t="s">
        <v>3008</v>
      </c>
      <c r="K51" s="5">
        <v>273.0</v>
      </c>
      <c r="L51" s="5">
        <v>-0.273566</v>
      </c>
      <c r="M51" s="5">
        <v>1.291989</v>
      </c>
      <c r="N51" s="5">
        <v>1.018423</v>
      </c>
      <c r="O51" s="5">
        <v>0.262302</v>
      </c>
    </row>
    <row r="52">
      <c r="A52" s="18" t="str">
        <f>IFERROR(__xludf.DUMMYFUNCTION("""COMPUTED_VALUE"""),"Hrvoje Kovacevic")</f>
        <v>Hrvoje Kovacevic</v>
      </c>
      <c r="B52" s="19" t="str">
        <f>IFERROR(__xludf.DUMMYFUNCTION("""COMPUTED_VALUE"""),"HAM")</f>
        <v>HAM</v>
      </c>
      <c r="C52" s="20">
        <f>IFERROR(__xludf.DUMMYFUNCTION("""COMPUTED_VALUE"""),773.5)</f>
        <v>773.5</v>
      </c>
      <c r="D52" s="21">
        <f>IFERROR(__xludf.DUMMYFUNCTION("""COMPUTED_VALUE"""),0.5735777883044287)</f>
        <v>0.5735777883</v>
      </c>
      <c r="E52" s="21">
        <f>IFERROR(__xludf.DUMMYFUNCTION("""COMPUTED_VALUE"""),0.33486921635129197)</f>
        <v>0.3348692164</v>
      </c>
      <c r="F52" s="21">
        <f>IFERROR(__xludf.DUMMYFUNCTION("""COMPUTED_VALUE"""),0.9084470046557207)</f>
        <v>0.9084470047</v>
      </c>
      <c r="G52" s="23">
        <f>IFERROR(__xludf.DUMMYFUNCTION("""COMPUTED_VALUE"""),0.7163727965843213)</f>
        <v>0.7163727966</v>
      </c>
      <c r="H52" s="4"/>
      <c r="I52" s="5" t="s">
        <v>3055</v>
      </c>
      <c r="J52" s="5" t="s">
        <v>3008</v>
      </c>
      <c r="K52" s="24">
        <v>774.0</v>
      </c>
      <c r="L52" s="5">
        <v>0.561794</v>
      </c>
      <c r="M52" s="5">
        <v>0.346653</v>
      </c>
      <c r="N52" s="5">
        <v>0.908447</v>
      </c>
      <c r="O52" s="5">
        <v>0.716373</v>
      </c>
    </row>
    <row r="53">
      <c r="A53" s="12" t="str">
        <f>IFERROR(__xludf.DUMMYFUNCTION("""COMPUTED_VALUE"""),"Joel-Sadu Aminu")</f>
        <v>Joel-Sadu Aminu</v>
      </c>
      <c r="B53" s="13" t="str">
        <f>IFERROR(__xludf.DUMMYFUNCTION("""COMPUTED_VALUE"""),"HAG")</f>
        <v>HAG</v>
      </c>
      <c r="C53" s="14">
        <f>IFERROR(__xludf.DUMMYFUNCTION("""COMPUTED_VALUE"""),635.9)</f>
        <v>635.9</v>
      </c>
      <c r="D53" s="15">
        <f>IFERROR(__xludf.DUMMYFUNCTION("""COMPUTED_VALUE"""),2.7029468006839488)</f>
        <v>2.702946801</v>
      </c>
      <c r="E53" s="15">
        <f>IFERROR(__xludf.DUMMYFUNCTION("""COMPUTED_VALUE"""),-1.7971824897057238)</f>
        <v>-1.79718249</v>
      </c>
      <c r="F53" s="15">
        <f>IFERROR(__xludf.DUMMYFUNCTION("""COMPUTED_VALUE"""),0.905764310978225)</f>
        <v>0.905764311</v>
      </c>
      <c r="G53" s="17">
        <f>IFERROR(__xludf.DUMMYFUNCTION("""COMPUTED_VALUE"""),0.5590936962154885)</f>
        <v>0.5590936962</v>
      </c>
      <c r="H53" s="4"/>
      <c r="I53" s="5" t="s">
        <v>3056</v>
      </c>
      <c r="J53" s="5" t="s">
        <v>3006</v>
      </c>
      <c r="K53" s="24">
        <v>636.0</v>
      </c>
      <c r="L53" s="5">
        <v>2.368809</v>
      </c>
      <c r="M53" s="5">
        <v>-1.463045</v>
      </c>
      <c r="N53" s="5">
        <v>0.905764</v>
      </c>
      <c r="O53" s="5">
        <v>0.559094</v>
      </c>
    </row>
    <row r="54">
      <c r="A54" s="18" t="str">
        <f>IFERROR(__xludf.DUMMYFUNCTION("""COMPUTED_VALUE"""),"Kevin Yebo")</f>
        <v>Kevin Yebo</v>
      </c>
      <c r="B54" s="19" t="str">
        <f>IFERROR(__xludf.DUMMYFUNCTION("""COMPUTED_VALUE"""),"URS")</f>
        <v>URS</v>
      </c>
      <c r="C54" s="20">
        <f>IFERROR(__xludf.DUMMYFUNCTION("""COMPUTED_VALUE"""),749.0)</f>
        <v>749</v>
      </c>
      <c r="D54" s="21">
        <f>IFERROR(__xludf.DUMMYFUNCTION("""COMPUTED_VALUE"""),1.7933632428303148)</f>
        <v>1.793363243</v>
      </c>
      <c r="E54" s="21">
        <f>IFERROR(__xludf.DUMMYFUNCTION("""COMPUTED_VALUE"""),-0.9224188971688378)</f>
        <v>-0.9224188972</v>
      </c>
      <c r="F54" s="21">
        <f>IFERROR(__xludf.DUMMYFUNCTION("""COMPUTED_VALUE"""),0.8709443456614769)</f>
        <v>0.8709443457</v>
      </c>
      <c r="G54" s="23">
        <f>IFERROR(__xludf.DUMMYFUNCTION("""COMPUTED_VALUE"""),0.650161793808421)</f>
        <v>0.6501617938</v>
      </c>
      <c r="H54" s="4"/>
      <c r="I54" s="5" t="s">
        <v>3057</v>
      </c>
      <c r="J54" s="5" t="s">
        <v>3036</v>
      </c>
      <c r="K54" s="24">
        <v>749.0</v>
      </c>
      <c r="L54" s="5">
        <v>1.182823</v>
      </c>
      <c r="M54" s="5">
        <v>-0.311878</v>
      </c>
      <c r="N54" s="5">
        <v>0.870944</v>
      </c>
      <c r="O54" s="5">
        <v>0.650162</v>
      </c>
    </row>
    <row r="55">
      <c r="A55" s="12" t="str">
        <f>IFERROR(__xludf.DUMMYFUNCTION("""COMPUTED_VALUE"""),"Ethan O'Day")</f>
        <v>Ethan O'Day</v>
      </c>
      <c r="B55" s="13" t="str">
        <f>IFERROR(__xludf.DUMMYFUNCTION("""COMPUTED_VALUE"""),"FIN")</f>
        <v>FIN</v>
      </c>
      <c r="C55" s="14">
        <f>IFERROR(__xludf.DUMMYFUNCTION("""COMPUTED_VALUE"""),437.8)</f>
        <v>437.8</v>
      </c>
      <c r="D55" s="15">
        <f>IFERROR(__xludf.DUMMYFUNCTION("""COMPUTED_VALUE"""),1.9322259851852563)</f>
        <v>1.932225985</v>
      </c>
      <c r="E55" s="15">
        <f>IFERROR(__xludf.DUMMYFUNCTION("""COMPUTED_VALUE"""),-1.064452598944642)</f>
        <v>-1.064452599</v>
      </c>
      <c r="F55" s="15">
        <f>IFERROR(__xludf.DUMMYFUNCTION("""COMPUTED_VALUE"""),0.8677733862406143)</f>
        <v>0.8677733862</v>
      </c>
      <c r="G55" s="17">
        <f>IFERROR(__xludf.DUMMYFUNCTION("""COMPUTED_VALUE"""),0.3812021657523316)</f>
        <v>0.3812021658</v>
      </c>
      <c r="H55" s="4"/>
      <c r="I55" s="5" t="s">
        <v>3058</v>
      </c>
      <c r="J55" s="5" t="s">
        <v>3059</v>
      </c>
      <c r="K55" s="24">
        <v>438.0</v>
      </c>
      <c r="L55" s="5">
        <v>-0.600262</v>
      </c>
      <c r="M55" s="5">
        <v>1.468035</v>
      </c>
      <c r="N55" s="5">
        <v>0.867773</v>
      </c>
      <c r="O55" s="5">
        <v>0.381202</v>
      </c>
    </row>
    <row r="56">
      <c r="A56" s="18" t="str">
        <f>IFERROR(__xludf.DUMMYFUNCTION("""COMPUTED_VALUE"""),"Albert Kuppe")</f>
        <v>Albert Kuppe</v>
      </c>
      <c r="B56" s="19" t="str">
        <f>IFERROR(__xludf.DUMMYFUNCTION("""COMPUTED_VALUE"""),"MLP")</f>
        <v>MLP</v>
      </c>
      <c r="C56" s="20">
        <f>IFERROR(__xludf.DUMMYFUNCTION("""COMPUTED_VALUE"""),752.3)</f>
        <v>752.3</v>
      </c>
      <c r="D56" s="21">
        <f>IFERROR(__xludf.DUMMYFUNCTION("""COMPUTED_VALUE"""),2.078181248558237)</f>
        <v>2.078181249</v>
      </c>
      <c r="E56" s="21">
        <f>IFERROR(__xludf.DUMMYFUNCTION("""COMPUTED_VALUE"""),-1.2969235052438157)</f>
        <v>-1.296923505</v>
      </c>
      <c r="F56" s="21">
        <f>IFERROR(__xludf.DUMMYFUNCTION("""COMPUTED_VALUE"""),0.7812577433144211)</f>
        <v>0.7812577433</v>
      </c>
      <c r="G56" s="23">
        <f>IFERROR(__xludf.DUMMYFUNCTION("""COMPUTED_VALUE"""),0.6384625578115026)</f>
        <v>0.6384625578</v>
      </c>
      <c r="H56" s="4"/>
      <c r="I56" s="5" t="s">
        <v>3060</v>
      </c>
      <c r="J56" s="5" t="s">
        <v>2987</v>
      </c>
      <c r="K56" s="24">
        <v>752.0</v>
      </c>
      <c r="L56" s="5">
        <v>2.875831</v>
      </c>
      <c r="M56" s="5">
        <v>-2.094573</v>
      </c>
      <c r="N56" s="5">
        <v>0.781258</v>
      </c>
      <c r="O56" s="5">
        <v>0.638463</v>
      </c>
    </row>
    <row r="57">
      <c r="A57" s="12" t="str">
        <f>IFERROR(__xludf.DUMMYFUNCTION("""COMPUTED_VALUE"""),"Justin Alston")</f>
        <v>Justin Alston</v>
      </c>
      <c r="B57" s="13" t="str">
        <f>IFERROR(__xludf.DUMMYFUNCTION("""COMPUTED_VALUE"""),"TRI")</f>
        <v>TRI</v>
      </c>
      <c r="C57" s="14">
        <f>IFERROR(__xludf.DUMMYFUNCTION("""COMPUTED_VALUE"""),535.8)</f>
        <v>535.8</v>
      </c>
      <c r="D57" s="15">
        <f>IFERROR(__xludf.DUMMYFUNCTION("""COMPUTED_VALUE"""),0.3905168501854831)</f>
        <v>0.3905168502</v>
      </c>
      <c r="E57" s="15">
        <f>IFERROR(__xludf.DUMMYFUNCTION("""COMPUTED_VALUE"""),0.3577979184696143)</f>
        <v>0.3577979185</v>
      </c>
      <c r="F57" s="15">
        <f>IFERROR(__xludf.DUMMYFUNCTION("""COMPUTED_VALUE"""),0.7483147686550974)</f>
        <v>0.7483147687</v>
      </c>
      <c r="G57" s="17">
        <f>IFERROR(__xludf.DUMMYFUNCTION("""COMPUTED_VALUE"""),0.44758157464474124)</f>
        <v>0.4475815746</v>
      </c>
      <c r="H57" s="4"/>
      <c r="I57" s="5" t="s">
        <v>3061</v>
      </c>
      <c r="J57" s="5" t="s">
        <v>2991</v>
      </c>
      <c r="K57" s="24">
        <v>536.0</v>
      </c>
      <c r="L57" s="5">
        <v>1.392088</v>
      </c>
      <c r="M57" s="5">
        <v>-0.643773</v>
      </c>
      <c r="N57" s="5">
        <v>0.748315</v>
      </c>
      <c r="O57" s="5">
        <v>0.447582</v>
      </c>
    </row>
    <row r="58">
      <c r="A58" s="18" t="str">
        <f>IFERROR(__xludf.DUMMYFUNCTION("""COMPUTED_VALUE"""),"Thomas Grun")</f>
        <v>Thomas Grun</v>
      </c>
      <c r="B58" s="19" t="str">
        <f>IFERROR(__xludf.DUMMYFUNCTION("""COMPUTED_VALUE"""),"TRI")</f>
        <v>TRI</v>
      </c>
      <c r="C58" s="20">
        <f>IFERROR(__xludf.DUMMYFUNCTION("""COMPUTED_VALUE"""),703.1)</f>
        <v>703.1</v>
      </c>
      <c r="D58" s="21">
        <f>IFERROR(__xludf.DUMMYFUNCTION("""COMPUTED_VALUE"""),-1.3852855533585315)</f>
        <v>-1.385285553</v>
      </c>
      <c r="E58" s="21">
        <f>IFERROR(__xludf.DUMMYFUNCTION("""COMPUTED_VALUE"""),2.071321975407265)</f>
        <v>2.071321975</v>
      </c>
      <c r="F58" s="21">
        <f>IFERROR(__xludf.DUMMYFUNCTION("""COMPUTED_VALUE"""),0.6860364220487333)</f>
        <v>0.686036422</v>
      </c>
      <c r="G58" s="23">
        <f>IFERROR(__xludf.DUMMYFUNCTION("""COMPUTED_VALUE"""),0.5740265952524792)</f>
        <v>0.5740265953</v>
      </c>
      <c r="H58" s="4"/>
      <c r="I58" s="5" t="s">
        <v>3062</v>
      </c>
      <c r="J58" s="5" t="s">
        <v>2991</v>
      </c>
      <c r="K58" s="5">
        <v>703.0</v>
      </c>
      <c r="L58" s="5">
        <v>-0.383714</v>
      </c>
      <c r="M58" s="5">
        <v>1.069751</v>
      </c>
      <c r="N58" s="5">
        <v>0.686036</v>
      </c>
      <c r="O58" s="5">
        <v>0.574027</v>
      </c>
    </row>
    <row r="59">
      <c r="A59" s="12" t="str">
        <f>IFERROR(__xludf.DUMMYFUNCTION("""COMPUTED_VALUE"""),"Sebastian Schroder")</f>
        <v>Sebastian Schroder</v>
      </c>
      <c r="B59" s="13" t="str">
        <f>IFERROR(__xludf.DUMMYFUNCTION("""COMPUTED_VALUE"""),"NUE")</f>
        <v>NUE</v>
      </c>
      <c r="C59" s="14">
        <f>IFERROR(__xludf.DUMMYFUNCTION("""COMPUTED_VALUE"""),390.6)</f>
        <v>390.6</v>
      </c>
      <c r="D59" s="15">
        <f>IFERROR(__xludf.DUMMYFUNCTION("""COMPUTED_VALUE"""),1.8714334709223406)</f>
        <v>1.871433471</v>
      </c>
      <c r="E59" s="15">
        <f>IFERROR(__xludf.DUMMYFUNCTION("""COMPUTED_VALUE"""),-1.3618515765584729)</f>
        <v>-1.361851577</v>
      </c>
      <c r="F59" s="15">
        <f>IFERROR(__xludf.DUMMYFUNCTION("""COMPUTED_VALUE"""),0.5095818943638677)</f>
        <v>0.5095818944</v>
      </c>
      <c r="G59" s="17">
        <f>IFERROR(__xludf.DUMMYFUNCTION("""COMPUTED_VALUE"""),0.2989391774636534)</f>
        <v>0.2989391775</v>
      </c>
      <c r="H59" s="4"/>
      <c r="I59" s="5" t="s">
        <v>3063</v>
      </c>
      <c r="J59" s="5" t="s">
        <v>3023</v>
      </c>
      <c r="K59" s="24">
        <v>391.0</v>
      </c>
      <c r="L59" s="5">
        <v>0.446286</v>
      </c>
      <c r="M59" s="5">
        <v>0.063296</v>
      </c>
      <c r="N59" s="5">
        <v>0.509582</v>
      </c>
      <c r="O59" s="5">
        <v>0.298939</v>
      </c>
    </row>
    <row r="60">
      <c r="A60" s="18" t="str">
        <f>IFERROR(__xludf.DUMMYFUNCTION("""COMPUTED_VALUE"""),"Matt Vest")</f>
        <v>Matt Vest</v>
      </c>
      <c r="B60" s="19" t="str">
        <f>IFERROR(__xludf.DUMMYFUNCTION("""COMPUTED_VALUE"""),"RHEI")</f>
        <v>RHEI</v>
      </c>
      <c r="C60" s="20">
        <f>IFERROR(__xludf.DUMMYFUNCTION("""COMPUTED_VALUE"""),805.6)</f>
        <v>805.6</v>
      </c>
      <c r="D60" s="21">
        <f>IFERROR(__xludf.DUMMYFUNCTION("""COMPUTED_VALUE"""),1.3799914638066701)</f>
        <v>1.379991464</v>
      </c>
      <c r="E60" s="21">
        <f>IFERROR(__xludf.DUMMYFUNCTION("""COMPUTED_VALUE"""),-0.8999281088423066)</f>
        <v>-0.8999281088</v>
      </c>
      <c r="F60" s="21">
        <f>IFERROR(__xludf.DUMMYFUNCTION("""COMPUTED_VALUE"""),0.48006335496436353)</f>
        <v>0.480063355</v>
      </c>
      <c r="G60" s="23">
        <f>IFERROR(__xludf.DUMMYFUNCTION("""COMPUTED_VALUE"""),0.6069757507846959)</f>
        <v>0.6069757508</v>
      </c>
      <c r="H60" s="4"/>
      <c r="I60" s="5" t="s">
        <v>3064</v>
      </c>
      <c r="J60" s="5" t="s">
        <v>2972</v>
      </c>
      <c r="K60" s="24">
        <v>806.0</v>
      </c>
      <c r="L60" s="5">
        <v>-0.025274</v>
      </c>
      <c r="M60" s="5">
        <v>0.505337</v>
      </c>
      <c r="N60" s="5">
        <v>0.480063</v>
      </c>
      <c r="O60" s="5">
        <v>0.606976</v>
      </c>
    </row>
    <row r="61">
      <c r="A61" s="12" t="str">
        <f>IFERROR(__xludf.DUMMYFUNCTION("""COMPUTED_VALUE"""),"Rich Igbineweka")</f>
        <v>Rich Igbineweka</v>
      </c>
      <c r="B61" s="13" t="str">
        <f>IFERROR(__xludf.DUMMYFUNCTION("""COMPUTED_VALUE"""),"HAM")</f>
        <v>HAM</v>
      </c>
      <c r="C61" s="14">
        <f>IFERROR(__xludf.DUMMYFUNCTION("""COMPUTED_VALUE"""),6.6)</f>
        <v>6.6</v>
      </c>
      <c r="D61" s="15">
        <f>IFERROR(__xludf.DUMMYFUNCTION("""COMPUTED_VALUE"""),0.333972531574767)</f>
        <v>0.3339725316</v>
      </c>
      <c r="E61" s="15">
        <f>IFERROR(__xludf.DUMMYFUNCTION("""COMPUTED_VALUE"""),0.1423229668736976)</f>
        <v>0.1423229669</v>
      </c>
      <c r="F61" s="15">
        <f>IFERROR(__xludf.DUMMYFUNCTION("""COMPUTED_VALUE"""),0.4762954984484646)</f>
        <v>0.4762954984</v>
      </c>
      <c r="G61" s="17">
        <f>IFERROR(__xludf.DUMMYFUNCTION("""COMPUTED_VALUE"""),0.0052043202894764785)</f>
        <v>0.005204320289</v>
      </c>
      <c r="H61" s="4"/>
      <c r="I61" s="5" t="s">
        <v>3065</v>
      </c>
      <c r="J61" s="5" t="s">
        <v>3008</v>
      </c>
      <c r="K61" s="24">
        <v>7.0</v>
      </c>
      <c r="L61" s="5">
        <v>0.333713</v>
      </c>
      <c r="M61" s="5">
        <v>0.142582</v>
      </c>
      <c r="N61" s="5">
        <v>0.476295</v>
      </c>
      <c r="O61" s="5">
        <v>0.005204</v>
      </c>
    </row>
    <row r="62">
      <c r="A62" s="18" t="str">
        <f>IFERROR(__xludf.DUMMYFUNCTION("""COMPUTED_VALUE"""),"Radii Caisin")</f>
        <v>Radii Caisin</v>
      </c>
      <c r="B62" s="19" t="str">
        <f>IFERROR(__xludf.DUMMYFUNCTION("""COMPUTED_VALUE"""),"RAS")</f>
        <v>RAS</v>
      </c>
      <c r="C62" s="20">
        <f>IFERROR(__xludf.DUMMYFUNCTION("""COMPUTED_VALUE"""),20.3)</f>
        <v>20.3</v>
      </c>
      <c r="D62" s="21">
        <f>IFERROR(__xludf.DUMMYFUNCTION("""COMPUTED_VALUE"""),0.35297074151607444)</f>
        <v>0.3529707415</v>
      </c>
      <c r="E62" s="21">
        <f>IFERROR(__xludf.DUMMYFUNCTION("""COMPUTED_VALUE"""),0.07155681988133106)</f>
        <v>0.07155681988</v>
      </c>
      <c r="F62" s="21">
        <f>IFERROR(__xludf.DUMMYFUNCTION("""COMPUTED_VALUE"""),0.4245275613974055)</f>
        <v>0.4245275614</v>
      </c>
      <c r="G62" s="23">
        <f>IFERROR(__xludf.DUMMYFUNCTION("""COMPUTED_VALUE"""),0.014877948563401553)</f>
        <v>0.01487794856</v>
      </c>
      <c r="H62" s="4"/>
      <c r="I62" s="5" t="s">
        <v>3066</v>
      </c>
      <c r="J62" s="5" t="s">
        <v>2953</v>
      </c>
      <c r="K62" s="24">
        <v>20.0</v>
      </c>
      <c r="L62" s="5">
        <v>0.543831</v>
      </c>
      <c r="M62" s="5">
        <v>-0.119303</v>
      </c>
      <c r="N62" s="5">
        <v>0.424528</v>
      </c>
      <c r="O62" s="5">
        <v>0.014878</v>
      </c>
    </row>
    <row r="63">
      <c r="A63" s="12" t="str">
        <f>IFERROR(__xludf.DUMMYFUNCTION("""COMPUTED_VALUE"""),"Cyrus Tate")</f>
        <v>Cyrus Tate</v>
      </c>
      <c r="B63" s="13" t="str">
        <f>IFERROR(__xludf.DUMMYFUNCTION("""COMPUTED_VALUE"""),"PS")</f>
        <v>PS</v>
      </c>
      <c r="C63" s="14">
        <f>IFERROR(__xludf.DUMMYFUNCTION("""COMPUTED_VALUE"""),637.2)</f>
        <v>637.2</v>
      </c>
      <c r="D63" s="15">
        <f>IFERROR(__xludf.DUMMYFUNCTION("""COMPUTED_VALUE"""),-0.285041428482797)</f>
        <v>-0.2850414285</v>
      </c>
      <c r="E63" s="15">
        <f>IFERROR(__xludf.DUMMYFUNCTION("""COMPUTED_VALUE"""),0.697396411002348)</f>
        <v>0.697396411</v>
      </c>
      <c r="F63" s="15">
        <f>IFERROR(__xludf.DUMMYFUNCTION("""COMPUTED_VALUE"""),0.41235498251955094)</f>
        <v>0.4123549825</v>
      </c>
      <c r="G63" s="17">
        <f>IFERROR(__xludf.DUMMYFUNCTION("""COMPUTED_VALUE"""),0.468650416912967)</f>
        <v>0.4686504169</v>
      </c>
      <c r="H63" s="4"/>
      <c r="I63" s="5" t="s">
        <v>3067</v>
      </c>
      <c r="J63" s="5" t="s">
        <v>2975</v>
      </c>
      <c r="K63" s="24">
        <v>637.0</v>
      </c>
      <c r="L63" s="5">
        <v>0.906529</v>
      </c>
      <c r="M63" s="5">
        <v>-0.494174</v>
      </c>
      <c r="N63" s="5">
        <v>0.412355</v>
      </c>
      <c r="O63" s="5">
        <v>0.46865</v>
      </c>
    </row>
    <row r="64">
      <c r="A64" s="18" t="str">
        <f>IFERROR(__xludf.DUMMYFUNCTION("""COMPUTED_VALUE"""),"Elijah Allen")</f>
        <v>Elijah Allen</v>
      </c>
      <c r="B64" s="19" t="str">
        <f>IFERROR(__xludf.DUMMYFUNCTION("""COMPUTED_VALUE"""),"VFL")</f>
        <v>VFL</v>
      </c>
      <c r="C64" s="20">
        <f>IFERROR(__xludf.DUMMYFUNCTION("""COMPUTED_VALUE"""),841.1)</f>
        <v>841.1</v>
      </c>
      <c r="D64" s="21">
        <f>IFERROR(__xludf.DUMMYFUNCTION("""COMPUTED_VALUE"""),-0.24671117558347977)</f>
        <v>-0.2467111756</v>
      </c>
      <c r="E64" s="21">
        <f>IFERROR(__xludf.DUMMYFUNCTION("""COMPUTED_VALUE"""),0.6426816405501159)</f>
        <v>0.6426816406</v>
      </c>
      <c r="F64" s="21">
        <f>IFERROR(__xludf.DUMMYFUNCTION("""COMPUTED_VALUE"""),0.3959704649666361)</f>
        <v>0.395970465</v>
      </c>
      <c r="G64" s="23">
        <f>IFERROR(__xludf.DUMMYFUNCTION("""COMPUTED_VALUE"""),0.6118867849963092)</f>
        <v>0.611886785</v>
      </c>
      <c r="H64" s="4"/>
      <c r="I64" s="5" t="s">
        <v>3068</v>
      </c>
      <c r="J64" s="5" t="s">
        <v>2999</v>
      </c>
      <c r="K64" s="24">
        <v>841.0</v>
      </c>
      <c r="L64" s="5">
        <v>0.102083</v>
      </c>
      <c r="M64" s="5">
        <v>0.293888</v>
      </c>
      <c r="N64" s="5">
        <v>0.39597</v>
      </c>
      <c r="O64" s="5">
        <v>0.611887</v>
      </c>
    </row>
    <row r="65">
      <c r="A65" s="12" t="str">
        <f>IFERROR(__xludf.DUMMYFUNCTION("""COMPUTED_VALUE"""),"Aaron Kayser")</f>
        <v>Aaron Kayser</v>
      </c>
      <c r="B65" s="13" t="str">
        <f>IFERROR(__xludf.DUMMYFUNCTION("""COMPUTED_VALUE"""),"BVC")</f>
        <v>BVC</v>
      </c>
      <c r="C65" s="14">
        <f>IFERROR(__xludf.DUMMYFUNCTION("""COMPUTED_VALUE"""),67.0)</f>
        <v>67</v>
      </c>
      <c r="D65" s="15">
        <f>IFERROR(__xludf.DUMMYFUNCTION("""COMPUTED_VALUE"""),-0.27616183849382075)</f>
        <v>-0.2761618385</v>
      </c>
      <c r="E65" s="15">
        <f>IFERROR(__xludf.DUMMYFUNCTION("""COMPUTED_VALUE"""),0.6618876061294807)</f>
        <v>0.6618876061</v>
      </c>
      <c r="F65" s="15">
        <f>IFERROR(__xludf.DUMMYFUNCTION("""COMPUTED_VALUE"""),0.38572576763565997)</f>
        <v>0.3857257676</v>
      </c>
      <c r="G65" s="17">
        <f>IFERROR(__xludf.DUMMYFUNCTION("""COMPUTED_VALUE"""),0.048549941490180444)</f>
        <v>0.04854994149</v>
      </c>
      <c r="H65" s="4"/>
      <c r="I65" s="5" t="s">
        <v>3069</v>
      </c>
      <c r="J65" s="5" t="s">
        <v>2996</v>
      </c>
      <c r="K65" s="24">
        <v>67.0</v>
      </c>
      <c r="L65" s="5">
        <v>-0.293207</v>
      </c>
      <c r="M65" s="5">
        <v>0.678932</v>
      </c>
      <c r="N65" s="5">
        <v>0.385726</v>
      </c>
      <c r="O65" s="5">
        <v>0.04855</v>
      </c>
    </row>
    <row r="66">
      <c r="A66" s="18" t="str">
        <f>IFERROR(__xludf.DUMMYFUNCTION("""COMPUTED_VALUE"""),"Thomas Muller-Laschet")</f>
        <v>Thomas Muller-Laschet</v>
      </c>
      <c r="B66" s="19" t="str">
        <f>IFERROR(__xludf.DUMMYFUNCTION("""COMPUTED_VALUE"""),"RHEI")</f>
        <v>RHEI</v>
      </c>
      <c r="C66" s="20">
        <f>IFERROR(__xludf.DUMMYFUNCTION("""COMPUTED_VALUE"""),2.4)</f>
        <v>2.4</v>
      </c>
      <c r="D66" s="21">
        <f>IFERROR(__xludf.DUMMYFUNCTION("""COMPUTED_VALUE"""),0.01770521637417565)</f>
        <v>0.01770521637</v>
      </c>
      <c r="E66" s="21">
        <f>IFERROR(__xludf.DUMMYFUNCTION("""COMPUTED_VALUE"""),0.31349597410166924)</f>
        <v>0.3134959741</v>
      </c>
      <c r="F66" s="21">
        <f>IFERROR(__xludf.DUMMYFUNCTION("""COMPUTED_VALUE"""),0.3312011904758449)</f>
        <v>0.3312011905</v>
      </c>
      <c r="G66" s="23">
        <f>IFERROR(__xludf.DUMMYFUNCTION("""COMPUTED_VALUE"""),0.0016997306508786563)</f>
        <v>0.001699730651</v>
      </c>
      <c r="H66" s="4"/>
      <c r="I66" s="5" t="s">
        <v>3070</v>
      </c>
      <c r="J66" s="5" t="s">
        <v>2972</v>
      </c>
      <c r="K66" s="24">
        <v>2.0</v>
      </c>
      <c r="L66" s="5">
        <v>0.006463</v>
      </c>
      <c r="M66" s="5">
        <v>0.324738</v>
      </c>
      <c r="N66" s="5">
        <v>0.331201</v>
      </c>
      <c r="O66" s="5">
        <v>0.0017</v>
      </c>
    </row>
    <row r="67">
      <c r="A67" s="12" t="str">
        <f>IFERROR(__xludf.DUMMYFUNCTION("""COMPUTED_VALUE"""),"Tim Koch")</f>
        <v>Tim Koch</v>
      </c>
      <c r="B67" s="13" t="str">
        <f>IFERROR(__xludf.DUMMYFUNCTION("""COMPUTED_VALUE"""),"VFL")</f>
        <v>VFL</v>
      </c>
      <c r="C67" s="14">
        <f>IFERROR(__xludf.DUMMYFUNCTION("""COMPUTED_VALUE"""),780.5)</f>
        <v>780.5</v>
      </c>
      <c r="D67" s="15">
        <f>IFERROR(__xludf.DUMMYFUNCTION("""COMPUTED_VALUE"""),-0.29421077044877475)</f>
        <v>-0.2942107704</v>
      </c>
      <c r="E67" s="15">
        <f>IFERROR(__xludf.DUMMYFUNCTION("""COMPUTED_VALUE"""),0.6115562717950056)</f>
        <v>0.6115562718</v>
      </c>
      <c r="F67" s="15">
        <f>IFERROR(__xludf.DUMMYFUNCTION("""COMPUTED_VALUE"""),0.3173455013462308)</f>
        <v>0.3173455013</v>
      </c>
      <c r="G67" s="17">
        <f>IFERROR(__xludf.DUMMYFUNCTION("""COMPUTED_VALUE"""),0.5491685742678615)</f>
        <v>0.5491685743</v>
      </c>
      <c r="H67" s="4"/>
      <c r="I67" s="5" t="s">
        <v>3071</v>
      </c>
      <c r="J67" s="5" t="s">
        <v>2999</v>
      </c>
      <c r="K67" s="24">
        <v>781.0</v>
      </c>
      <c r="L67" s="5">
        <v>0.054583</v>
      </c>
      <c r="M67" s="5">
        <v>0.262762</v>
      </c>
      <c r="N67" s="5">
        <v>0.317346</v>
      </c>
      <c r="O67" s="5">
        <v>0.549169</v>
      </c>
    </row>
    <row r="68">
      <c r="A68" s="18" t="str">
        <f>IFERROR(__xludf.DUMMYFUNCTION("""COMPUTED_VALUE"""),"Jonathon Williams")</f>
        <v>Jonathon Williams</v>
      </c>
      <c r="B68" s="19" t="str">
        <f>IFERROR(__xludf.DUMMYFUNCTION("""COMPUTED_VALUE"""),"HAM")</f>
        <v>HAM</v>
      </c>
      <c r="C68" s="20">
        <f>IFERROR(__xludf.DUMMYFUNCTION("""COMPUTED_VALUE"""),791.2)</f>
        <v>791.2</v>
      </c>
      <c r="D68" s="21">
        <f>IFERROR(__xludf.DUMMYFUNCTION("""COMPUTED_VALUE"""),1.5222656992810253)</f>
        <v>1.522265699</v>
      </c>
      <c r="E68" s="21">
        <f>IFERROR(__xludf.DUMMYFUNCTION("""COMPUTED_VALUE"""),-1.3250293798027677)</f>
        <v>-1.32502938</v>
      </c>
      <c r="F68" s="21">
        <f>IFERROR(__xludf.DUMMYFUNCTION("""COMPUTED_VALUE"""),0.19723631947825754)</f>
        <v>0.1972363195</v>
      </c>
      <c r="G68" s="23">
        <f>IFERROR(__xludf.DUMMYFUNCTION("""COMPUTED_VALUE"""),0.5535803430999029)</f>
        <v>0.5535803431</v>
      </c>
      <c r="H68" s="4"/>
      <c r="I68" s="5" t="s">
        <v>3072</v>
      </c>
      <c r="J68" s="5" t="s">
        <v>3008</v>
      </c>
      <c r="K68" s="5">
        <v>791.0</v>
      </c>
      <c r="L68" s="5">
        <v>1.510482</v>
      </c>
      <c r="M68" s="5">
        <v>-1.313246</v>
      </c>
      <c r="N68" s="5">
        <v>0.197236</v>
      </c>
      <c r="O68" s="5">
        <v>0.55358</v>
      </c>
    </row>
    <row r="69">
      <c r="A69" s="12" t="str">
        <f>IFERROR(__xludf.DUMMYFUNCTION("""COMPUTED_VALUE"""),"Robert Crawford")</f>
        <v>Robert Crawford</v>
      </c>
      <c r="B69" s="13" t="str">
        <f>IFERROR(__xludf.DUMMYFUNCTION("""COMPUTED_VALUE"""),"RAS")</f>
        <v>RAS</v>
      </c>
      <c r="C69" s="14">
        <f>IFERROR(__xludf.DUMMYFUNCTION("""COMPUTED_VALUE"""),11.5)</f>
        <v>11.5</v>
      </c>
      <c r="D69" s="15">
        <f>IFERROR(__xludf.DUMMYFUNCTION("""COMPUTED_VALUE"""),-0.07329347823784634)</f>
        <v>-0.07329347824</v>
      </c>
      <c r="E69" s="15">
        <f>IFERROR(__xludf.DUMMYFUNCTION("""COMPUTED_VALUE"""),0.21996517105459013)</f>
        <v>0.2199651711</v>
      </c>
      <c r="F69" s="15">
        <f>IFERROR(__xludf.DUMMYFUNCTION("""COMPUTED_VALUE"""),0.1466716928167438)</f>
        <v>0.1466716928</v>
      </c>
      <c r="G69" s="17">
        <f>IFERROR(__xludf.DUMMYFUNCTION("""COMPUTED_VALUE"""),0.007462483079494503)</f>
        <v>0.007462483079</v>
      </c>
      <c r="H69" s="4"/>
      <c r="I69" s="5" t="s">
        <v>3073</v>
      </c>
      <c r="J69" s="5" t="s">
        <v>2953</v>
      </c>
      <c r="K69" s="24">
        <v>12.0</v>
      </c>
      <c r="L69" s="5">
        <v>0.034829</v>
      </c>
      <c r="M69" s="5">
        <v>0.111842</v>
      </c>
      <c r="N69" s="5">
        <v>0.146672</v>
      </c>
      <c r="O69" s="5">
        <v>0.007462</v>
      </c>
    </row>
    <row r="70">
      <c r="A70" s="18" t="str">
        <f>IFERROR(__xludf.DUMMYFUNCTION("""COMPUTED_VALUE"""),"Andrew Jones")</f>
        <v>Andrew Jones</v>
      </c>
      <c r="B70" s="19" t="str">
        <f>IFERROR(__xludf.DUMMYFUNCTION("""COMPUTED_VALUE"""),"BVC")</f>
        <v>BVC</v>
      </c>
      <c r="C70" s="20">
        <f>IFERROR(__xludf.DUMMYFUNCTION("""COMPUTED_VALUE"""),21.2)</f>
        <v>21.2</v>
      </c>
      <c r="D70" s="21">
        <f>IFERROR(__xludf.DUMMYFUNCTION("""COMPUTED_VALUE"""),0.2366275059366016)</f>
        <v>0.2366275059</v>
      </c>
      <c r="E70" s="21">
        <f>IFERROR(__xludf.DUMMYFUNCTION("""COMPUTED_VALUE"""),-0.11495295191918664)</f>
        <v>-0.1149529519</v>
      </c>
      <c r="F70" s="21">
        <f>IFERROR(__xludf.DUMMYFUNCTION("""COMPUTED_VALUE"""),0.12167455401741495)</f>
        <v>0.121674554</v>
      </c>
      <c r="G70" s="23">
        <f>IFERROR(__xludf.DUMMYFUNCTION("""COMPUTED_VALUE"""),0.01366180290372803)</f>
        <v>0.0136618029</v>
      </c>
      <c r="H70" s="4"/>
      <c r="I70" s="5" t="s">
        <v>3074</v>
      </c>
      <c r="J70" s="5" t="s">
        <v>2996</v>
      </c>
      <c r="K70" s="24">
        <v>21.0</v>
      </c>
      <c r="L70" s="5">
        <v>0.231234</v>
      </c>
      <c r="M70" s="5">
        <v>-0.10956</v>
      </c>
      <c r="N70" s="5">
        <v>0.121675</v>
      </c>
      <c r="O70" s="5">
        <v>0.013662</v>
      </c>
    </row>
    <row r="71">
      <c r="A71" s="12" t="str">
        <f>IFERROR(__xludf.DUMMYFUNCTION("""COMPUTED_VALUE"""),"Jonas Gottschalk")</f>
        <v>Jonas Gottschalk</v>
      </c>
      <c r="B71" s="13" t="str">
        <f>IFERROR(__xludf.DUMMYFUNCTION("""COMPUTED_VALUE"""),"RHEI")</f>
        <v>RHEI</v>
      </c>
      <c r="C71" s="14">
        <f>IFERROR(__xludf.DUMMYFUNCTION("""COMPUTED_VALUE"""),18.6)</f>
        <v>18.6</v>
      </c>
      <c r="D71" s="15">
        <f>IFERROR(__xludf.DUMMYFUNCTION("""COMPUTED_VALUE"""),-0.23424612610051998)</f>
        <v>-0.2342461261</v>
      </c>
      <c r="E71" s="15">
        <f>IFERROR(__xludf.DUMMYFUNCTION("""COMPUTED_VALUE"""),0.355331637202144)</f>
        <v>0.3553316372</v>
      </c>
      <c r="F71" s="15">
        <f>IFERROR(__xludf.DUMMYFUNCTION("""COMPUTED_VALUE"""),0.121085511101624)</f>
        <v>0.1210855111</v>
      </c>
      <c r="G71" s="17">
        <f>IFERROR(__xludf.DUMMYFUNCTION("""COMPUTED_VALUE"""),0.0119856124177084)</f>
        <v>0.01198561242</v>
      </c>
      <c r="H71" s="4"/>
      <c r="I71" s="5" t="s">
        <v>3075</v>
      </c>
      <c r="J71" s="5" t="s">
        <v>2972</v>
      </c>
      <c r="K71" s="24">
        <v>19.0</v>
      </c>
      <c r="L71" s="5">
        <v>-0.321373</v>
      </c>
      <c r="M71" s="5">
        <v>0.442458</v>
      </c>
      <c r="N71" s="5">
        <v>0.121086</v>
      </c>
      <c r="O71" s="5">
        <v>0.011986</v>
      </c>
    </row>
    <row r="72">
      <c r="A72" s="18" t="str">
        <f>IFERROR(__xludf.DUMMYFUNCTION("""COMPUTED_VALUE"""),"Jeremy Dunbar")</f>
        <v>Jeremy Dunbar</v>
      </c>
      <c r="B72" s="19" t="str">
        <f>IFERROR(__xludf.DUMMYFUNCTION("""COMPUTED_VALUE"""),"RAS")</f>
        <v>RAS</v>
      </c>
      <c r="C72" s="20">
        <f>IFERROR(__xludf.DUMMYFUNCTION("""COMPUTED_VALUE"""),762.9)</f>
        <v>762.9</v>
      </c>
      <c r="D72" s="21">
        <f>IFERROR(__xludf.DUMMYFUNCTION("""COMPUTED_VALUE"""),-1.9463754048088093)</f>
        <v>-1.946375405</v>
      </c>
      <c r="E72" s="21">
        <f>IFERROR(__xludf.DUMMYFUNCTION("""COMPUTED_VALUE"""),2.0614659187077033)</f>
        <v>2.061465919</v>
      </c>
      <c r="F72" s="21">
        <f>IFERROR(__xludf.DUMMYFUNCTION("""COMPUTED_VALUE"""),0.11509051389889402)</f>
        <v>0.1150905139</v>
      </c>
      <c r="G72" s="23">
        <f>IFERROR(__xludf.DUMMYFUNCTION("""COMPUTED_VALUE"""),0.48777154559713287)</f>
        <v>0.4877715456</v>
      </c>
      <c r="H72" s="4"/>
      <c r="I72" s="5" t="s">
        <v>3076</v>
      </c>
      <c r="J72" s="5" t="s">
        <v>2953</v>
      </c>
      <c r="K72" s="24">
        <v>763.0</v>
      </c>
      <c r="L72" s="5">
        <v>0.874219</v>
      </c>
      <c r="M72" s="5">
        <v>-0.759128</v>
      </c>
      <c r="N72" s="5">
        <v>0.115091</v>
      </c>
      <c r="O72" s="5">
        <v>0.487772</v>
      </c>
    </row>
    <row r="73">
      <c r="A73" s="12" t="str">
        <f>IFERROR(__xludf.DUMMYFUNCTION("""COMPUTED_VALUE"""),"Filip Kukic")</f>
        <v>Filip Kukic</v>
      </c>
      <c r="B73" s="13" t="str">
        <f>IFERROR(__xludf.DUMMYFUNCTION("""COMPUTED_VALUE"""),"RHEI")</f>
        <v>RHEI</v>
      </c>
      <c r="C73" s="14">
        <f>IFERROR(__xludf.DUMMYFUNCTION("""COMPUTED_VALUE"""),5.2)</f>
        <v>5.2</v>
      </c>
      <c r="D73" s="15">
        <f>IFERROR(__xludf.DUMMYFUNCTION("""COMPUTED_VALUE"""),-0.21319388750035043)</f>
        <v>-0.2131938875</v>
      </c>
      <c r="E73" s="15">
        <f>IFERROR(__xludf.DUMMYFUNCTION("""COMPUTED_VALUE"""),0.2982596807461364)</f>
        <v>0.2982596807</v>
      </c>
      <c r="F73" s="15">
        <f>IFERROR(__xludf.DUMMYFUNCTION("""COMPUTED_VALUE"""),0.085065793245786)</f>
        <v>0.08506579325</v>
      </c>
      <c r="G73" s="17">
        <f>IFERROR(__xludf.DUMMYFUNCTION("""COMPUTED_VALUE"""),0.0032939136899788495)</f>
        <v>0.00329391369</v>
      </c>
      <c r="H73" s="4"/>
      <c r="I73" s="5" t="s">
        <v>3077</v>
      </c>
      <c r="J73" s="5" t="s">
        <v>2972</v>
      </c>
      <c r="K73" s="5">
        <v>5.0</v>
      </c>
      <c r="L73" s="5">
        <v>-0.237552</v>
      </c>
      <c r="M73" s="5">
        <v>0.322618</v>
      </c>
      <c r="N73" s="5">
        <v>0.085066</v>
      </c>
      <c r="O73" s="5">
        <v>0.003294</v>
      </c>
    </row>
    <row r="74">
      <c r="A74" s="18" t="str">
        <f>IFERROR(__xludf.DUMMYFUNCTION("""COMPUTED_VALUE"""),"Toney McCray")</f>
        <v>Toney McCray</v>
      </c>
      <c r="B74" s="19" t="str">
        <f>IFERROR(__xludf.DUMMYFUNCTION("""COMPUTED_VALUE"""),"VFL")</f>
        <v>VFL</v>
      </c>
      <c r="C74" s="20">
        <f>IFERROR(__xludf.DUMMYFUNCTION("""COMPUTED_VALUE"""),118.0)</f>
        <v>118</v>
      </c>
      <c r="D74" s="21">
        <f>IFERROR(__xludf.DUMMYFUNCTION("""COMPUTED_VALUE"""),-0.10488512248610218)</f>
        <v>-0.1048851225</v>
      </c>
      <c r="E74" s="21">
        <f>IFERROR(__xludf.DUMMYFUNCTION("""COMPUTED_VALUE"""),0.13256059254995334)</f>
        <v>0.1325605925</v>
      </c>
      <c r="F74" s="21">
        <f>IFERROR(__xludf.DUMMYFUNCTION("""COMPUTED_VALUE"""),0.02767547006385115)</f>
        <v>0.02767547006</v>
      </c>
      <c r="G74" s="23">
        <f>IFERROR(__xludf.DUMMYFUNCTION("""COMPUTED_VALUE"""),0.07264779466831091)</f>
        <v>0.07264779467</v>
      </c>
      <c r="H74" s="4"/>
      <c r="I74" s="5" t="s">
        <v>3078</v>
      </c>
      <c r="J74" s="5" t="s">
        <v>2999</v>
      </c>
      <c r="K74" s="24">
        <v>118.0</v>
      </c>
      <c r="L74" s="5">
        <v>0.032307</v>
      </c>
      <c r="M74" s="5">
        <v>-0.004632</v>
      </c>
      <c r="N74" s="5">
        <v>0.027675</v>
      </c>
      <c r="O74" s="5">
        <v>0.072648</v>
      </c>
    </row>
    <row r="75">
      <c r="A75" s="12" t="str">
        <f>IFERROR(__xludf.DUMMYFUNCTION("""COMPUTED_VALUE"""),"Lukas Wank")</f>
        <v>Lukas Wank</v>
      </c>
      <c r="B75" s="13" t="str">
        <f>IFERROR(__xludf.DUMMYFUNCTION("""COMPUTED_VALUE"""),"RHEI")</f>
        <v>RHEI</v>
      </c>
      <c r="C75" s="14">
        <f>IFERROR(__xludf.DUMMYFUNCTION("""COMPUTED_VALUE"""),640.2)</f>
        <v>640.2</v>
      </c>
      <c r="D75" s="15">
        <f>IFERROR(__xludf.DUMMYFUNCTION("""COMPUTED_VALUE"""),-1.1829661295690879)</f>
        <v>-1.18296613</v>
      </c>
      <c r="E75" s="15">
        <f>IFERROR(__xludf.DUMMYFUNCTION("""COMPUTED_VALUE"""),1.1803606309912205)</f>
        <v>1.180360631</v>
      </c>
      <c r="F75" s="15">
        <f>IFERROR(__xludf.DUMMYFUNCTION("""COMPUTED_VALUE"""),-0.00260549857786746)</f>
        <v>-0.002605498578</v>
      </c>
      <c r="G75" s="17">
        <f>IFERROR(__xludf.DUMMYFUNCTION("""COMPUTED_VALUE"""),0.3884799667563048)</f>
        <v>0.3884799668</v>
      </c>
      <c r="H75" s="4"/>
      <c r="I75" s="5" t="s">
        <v>3079</v>
      </c>
      <c r="J75" s="5" t="s">
        <v>2972</v>
      </c>
      <c r="K75" s="5">
        <v>640.0</v>
      </c>
      <c r="L75" s="5">
        <v>-2.588231</v>
      </c>
      <c r="M75" s="5">
        <v>2.585626</v>
      </c>
      <c r="N75" s="5">
        <v>-0.002605</v>
      </c>
      <c r="O75" s="5">
        <v>0.38848</v>
      </c>
    </row>
    <row r="76">
      <c r="A76" s="18" t="str">
        <f>IFERROR(__xludf.DUMMYFUNCTION("""COMPUTED_VALUE"""),"Andreas Nicklaus")</f>
        <v>Andreas Nicklaus</v>
      </c>
      <c r="B76" s="19" t="str">
        <f>IFERROR(__xludf.DUMMYFUNCTION("""COMPUTED_VALUE"""),"BYP")</f>
        <v>BYP</v>
      </c>
      <c r="C76" s="20">
        <f>IFERROR(__xludf.DUMMYFUNCTION("""COMPUTED_VALUE"""),0.8)</f>
        <v>0.8</v>
      </c>
      <c r="D76" s="21">
        <f>IFERROR(__xludf.DUMMYFUNCTION("""COMPUTED_VALUE"""),-0.01288075017656789)</f>
        <v>-0.01288075018</v>
      </c>
      <c r="E76" s="21">
        <f>IFERROR(__xludf.DUMMYFUNCTION("""COMPUTED_VALUE"""),-0.005838748693664157)</f>
        <v>-0.005838748694</v>
      </c>
      <c r="F76" s="21">
        <f>IFERROR(__xludf.DUMMYFUNCTION("""COMPUTED_VALUE"""),-0.018719498870232047)</f>
        <v>-0.01871949887</v>
      </c>
      <c r="G76" s="23">
        <f>IFERROR(__xludf.DUMMYFUNCTION("""COMPUTED_VALUE"""),4.8003093983578076E-4)</f>
        <v>0.0004800309398</v>
      </c>
      <c r="H76" s="4"/>
      <c r="I76" s="5" t="s">
        <v>3080</v>
      </c>
      <c r="J76" s="5" t="s">
        <v>2983</v>
      </c>
      <c r="K76" s="24">
        <v>1.0</v>
      </c>
      <c r="L76" s="5">
        <v>-0.015754</v>
      </c>
      <c r="M76" s="5">
        <v>-0.002965</v>
      </c>
      <c r="N76" s="5">
        <v>-0.018719</v>
      </c>
      <c r="O76" s="5">
        <v>4.8E-4</v>
      </c>
    </row>
    <row r="77">
      <c r="A77" s="12" t="str">
        <f>IFERROR(__xludf.DUMMYFUNCTION("""COMPUTED_VALUE"""),"Dirk Madrich")</f>
        <v>Dirk Madrich</v>
      </c>
      <c r="B77" s="13" t="str">
        <f>IFERROR(__xludf.DUMMYFUNCTION("""COMPUTED_VALUE"""),"RAS")</f>
        <v>RAS</v>
      </c>
      <c r="C77" s="14">
        <f>IFERROR(__xludf.DUMMYFUNCTION("""COMPUTED_VALUE"""),559.2)</f>
        <v>559.2</v>
      </c>
      <c r="D77" s="15">
        <f>IFERROR(__xludf.DUMMYFUNCTION("""COMPUTED_VALUE"""),-3.345334706182493)</f>
        <v>-3.345334706</v>
      </c>
      <c r="E77" s="15">
        <f>IFERROR(__xludf.DUMMYFUNCTION("""COMPUTED_VALUE"""),3.3108279475980247)</f>
        <v>3.310827948</v>
      </c>
      <c r="F77" s="15">
        <f>IFERROR(__xludf.DUMMYFUNCTION("""COMPUTED_VALUE"""),-0.0345067585844685)</f>
        <v>-0.03450675858</v>
      </c>
      <c r="G77" s="17">
        <f>IFERROR(__xludf.DUMMYFUNCTION("""COMPUTED_VALUE"""),0.3322451171951014)</f>
        <v>0.3322451172</v>
      </c>
      <c r="H77" s="4"/>
      <c r="I77" s="5" t="s">
        <v>3081</v>
      </c>
      <c r="J77" s="5" t="s">
        <v>2953</v>
      </c>
      <c r="K77" s="24">
        <v>559.0</v>
      </c>
      <c r="L77" s="5">
        <v>-0.524741</v>
      </c>
      <c r="M77" s="5">
        <v>0.490234</v>
      </c>
      <c r="N77" s="5">
        <v>-0.034507</v>
      </c>
      <c r="O77" s="5">
        <v>0.332245</v>
      </c>
    </row>
    <row r="78">
      <c r="A78" s="18" t="str">
        <f>IFERROR(__xludf.DUMMYFUNCTION("""COMPUTED_VALUE"""),"Sasa Milosevic")</f>
        <v>Sasa Milosevic</v>
      </c>
      <c r="B78" s="19" t="str">
        <f>IFERROR(__xludf.DUMMYFUNCTION("""COMPUTED_VALUE"""),"TRI")</f>
        <v>TRI</v>
      </c>
      <c r="C78" s="20">
        <f>IFERROR(__xludf.DUMMYFUNCTION("""COMPUTED_VALUE"""),2.5)</f>
        <v>2.5</v>
      </c>
      <c r="D78" s="21">
        <f>IFERROR(__xludf.DUMMYFUNCTION("""COMPUTED_VALUE"""),-0.05022272678767065)</f>
        <v>-0.05022272679</v>
      </c>
      <c r="E78" s="21">
        <f>IFERROR(__xludf.DUMMYFUNCTION("""COMPUTED_VALUE"""),0.005700793167290795)</f>
        <v>0.005700793167</v>
      </c>
      <c r="F78" s="21">
        <f>IFERROR(__xludf.DUMMYFUNCTION("""COMPUTED_VALUE"""),-0.04452193362037986)</f>
        <v>-0.04452193362</v>
      </c>
      <c r="G78" s="23">
        <f>IFERROR(__xludf.DUMMYFUNCTION("""COMPUTED_VALUE"""),0.0014859218765256989)</f>
        <v>0.001485921877</v>
      </c>
      <c r="H78" s="4"/>
      <c r="I78" s="5" t="s">
        <v>3082</v>
      </c>
      <c r="J78" s="5" t="s">
        <v>2991</v>
      </c>
      <c r="K78" s="24">
        <v>3.0</v>
      </c>
      <c r="L78" s="5">
        <v>-0.041876</v>
      </c>
      <c r="M78" s="5">
        <v>-0.002646</v>
      </c>
      <c r="N78" s="5">
        <v>-0.044522</v>
      </c>
      <c r="O78" s="5">
        <v>0.001486</v>
      </c>
    </row>
    <row r="79">
      <c r="A79" s="12" t="str">
        <f>IFERROR(__xludf.DUMMYFUNCTION("""COMPUTED_VALUE"""),"Bruno Albrecht")</f>
        <v>Bruno Albrecht</v>
      </c>
      <c r="B79" s="13" t="str">
        <f>IFERROR(__xludf.DUMMYFUNCTION("""COMPUTED_VALUE"""),"BVC")</f>
        <v>BVC</v>
      </c>
      <c r="C79" s="14">
        <f>IFERROR(__xludf.DUMMYFUNCTION("""COMPUTED_VALUE"""),2.9)</f>
        <v>2.9</v>
      </c>
      <c r="D79" s="15">
        <f>IFERROR(__xludf.DUMMYFUNCTION("""COMPUTED_VALUE"""),-0.054503044982052086)</f>
        <v>-0.05450304498</v>
      </c>
      <c r="E79" s="15">
        <f>IFERROR(__xludf.DUMMYFUNCTION("""COMPUTED_VALUE"""),0.00491207535710899)</f>
        <v>0.004912075357</v>
      </c>
      <c r="F79" s="15">
        <f>IFERROR(__xludf.DUMMYFUNCTION("""COMPUTED_VALUE"""),-0.049590969624943096)</f>
        <v>-0.04959096962</v>
      </c>
      <c r="G79" s="17">
        <f>IFERROR(__xludf.DUMMYFUNCTION("""COMPUTED_VALUE"""),0.0017179759657589536)</f>
        <v>0.001717975966</v>
      </c>
      <c r="H79" s="4"/>
      <c r="I79" s="5" t="s">
        <v>3083</v>
      </c>
      <c r="J79" s="5" t="s">
        <v>2996</v>
      </c>
      <c r="K79" s="5">
        <v>3.0</v>
      </c>
      <c r="L79" s="5">
        <v>-0.055241</v>
      </c>
      <c r="M79" s="5">
        <v>0.00565</v>
      </c>
      <c r="N79" s="5">
        <v>-0.049591</v>
      </c>
      <c r="O79" s="5">
        <v>0.001718</v>
      </c>
    </row>
    <row r="80">
      <c r="A80" s="18" t="str">
        <f>IFERROR(__xludf.DUMMYFUNCTION("""COMPUTED_VALUE"""),"Kevin Smit")</f>
        <v>Kevin Smit</v>
      </c>
      <c r="B80" s="19" t="str">
        <f>IFERROR(__xludf.DUMMYFUNCTION("""COMPUTED_VALUE"""),"TRI")</f>
        <v>TRI</v>
      </c>
      <c r="C80" s="20">
        <f>IFERROR(__xludf.DUMMYFUNCTION("""COMPUTED_VALUE"""),860.2)</f>
        <v>860.2</v>
      </c>
      <c r="D80" s="21">
        <f>IFERROR(__xludf.DUMMYFUNCTION("""COMPUTED_VALUE"""),0.5952383479034241)</f>
        <v>0.5952383479</v>
      </c>
      <c r="E80" s="21">
        <f>IFERROR(__xludf.DUMMYFUNCTION("""COMPUTED_VALUE"""),-0.6626575531630015)</f>
        <v>-0.6626575532</v>
      </c>
      <c r="F80" s="21">
        <f>IFERROR(__xludf.DUMMYFUNCTION("""COMPUTED_VALUE"""),-0.06741920525957734)</f>
        <v>-0.06741920526</v>
      </c>
      <c r="G80" s="23">
        <f>IFERROR(__xludf.DUMMYFUNCTION("""COMPUTED_VALUE"""),0.505289317225557)</f>
        <v>0.5052893172</v>
      </c>
      <c r="H80" s="4"/>
      <c r="I80" s="5" t="s">
        <v>3084</v>
      </c>
      <c r="J80" s="5" t="s">
        <v>2991</v>
      </c>
      <c r="K80" s="24">
        <v>860.0</v>
      </c>
      <c r="L80" s="5">
        <v>1.59681</v>
      </c>
      <c r="M80" s="5">
        <v>-1.664229</v>
      </c>
      <c r="N80" s="5">
        <v>-0.067419</v>
      </c>
      <c r="O80" s="5">
        <v>0.505289</v>
      </c>
    </row>
    <row r="81">
      <c r="A81" s="12" t="str">
        <f>IFERROR(__xludf.DUMMYFUNCTION("""COMPUTED_VALUE"""),"Thomas Henkel")</f>
        <v>Thomas Henkel</v>
      </c>
      <c r="B81" s="13" t="str">
        <f>IFERROR(__xludf.DUMMYFUNCTION("""COMPUTED_VALUE"""),"TRI")</f>
        <v>TRI</v>
      </c>
      <c r="C81" s="14">
        <f>IFERROR(__xludf.DUMMYFUNCTION("""COMPUTED_VALUE"""),12.2)</f>
        <v>12.2</v>
      </c>
      <c r="D81" s="15">
        <f>IFERROR(__xludf.DUMMYFUNCTION("""COMPUTED_VALUE"""),-0.03816113081408887)</f>
        <v>-0.03816113081</v>
      </c>
      <c r="E81" s="15">
        <f>IFERROR(__xludf.DUMMYFUNCTION("""COMPUTED_VALUE"""),-0.038909710010743614)</f>
        <v>-0.03890971001</v>
      </c>
      <c r="F81" s="15">
        <f>IFERROR(__xludf.DUMMYFUNCTION("""COMPUTED_VALUE"""),-0.07707084082483248)</f>
        <v>-0.07707084082</v>
      </c>
      <c r="G81" s="17">
        <f>IFERROR(__xludf.DUMMYFUNCTION("""COMPUTED_VALUE"""),0.0071306009831130085)</f>
        <v>0.007130600983</v>
      </c>
      <c r="H81" s="4"/>
      <c r="I81" s="5" t="s">
        <v>3085</v>
      </c>
      <c r="J81" s="5" t="s">
        <v>2991</v>
      </c>
      <c r="K81" s="24">
        <v>12.0</v>
      </c>
      <c r="L81" s="5">
        <v>0.002569</v>
      </c>
      <c r="M81" s="5">
        <v>-0.07964</v>
      </c>
      <c r="N81" s="5">
        <v>-0.077071</v>
      </c>
      <c r="O81" s="5">
        <v>0.007131</v>
      </c>
    </row>
    <row r="82">
      <c r="A82" s="18" t="str">
        <f>IFERROR(__xludf.DUMMYFUNCTION("""COMPUTED_VALUE"""),"Till Joscha Joenke")</f>
        <v>Till Joscha Joenke</v>
      </c>
      <c r="B82" s="19" t="str">
        <f>IFERROR(__xludf.DUMMYFUNCTION("""COMPUTED_VALUE"""),"HEBE")</f>
        <v>HEBE</v>
      </c>
      <c r="C82" s="20">
        <f>IFERROR(__xludf.DUMMYFUNCTION("""COMPUTED_VALUE"""),1104.5)</f>
        <v>1104.5</v>
      </c>
      <c r="D82" s="21">
        <f>IFERROR(__xludf.DUMMYFUNCTION("""COMPUTED_VALUE"""),0.39119496536597126)</f>
        <v>0.3911949654</v>
      </c>
      <c r="E82" s="21">
        <f>IFERROR(__xludf.DUMMYFUNCTION("""COMPUTED_VALUE"""),-0.5219191954295872)</f>
        <v>-0.5219191954</v>
      </c>
      <c r="F82" s="21">
        <f>IFERROR(__xludf.DUMMYFUNCTION("""COMPUTED_VALUE"""),-0.130724230063616)</f>
        <v>-0.1307242301</v>
      </c>
      <c r="G82" s="23">
        <f>IFERROR(__xludf.DUMMYFUNCTION("""COMPUTED_VALUE"""),0.6224858641227283)</f>
        <v>0.6224858641</v>
      </c>
      <c r="H82" s="4"/>
      <c r="I82" s="5" t="s">
        <v>3086</v>
      </c>
      <c r="J82" s="5" t="s">
        <v>3004</v>
      </c>
      <c r="K82" s="24">
        <v>1105.0</v>
      </c>
      <c r="L82" s="5">
        <v>-0.07383</v>
      </c>
      <c r="M82" s="5">
        <v>-0.056894</v>
      </c>
      <c r="N82" s="5">
        <v>-0.130724</v>
      </c>
      <c r="O82" s="5">
        <v>0.622486</v>
      </c>
    </row>
    <row r="83">
      <c r="A83" s="12" t="str">
        <f>IFERROR(__xludf.DUMMYFUNCTION("""COMPUTED_VALUE"""),"Lazar Scekic")</f>
        <v>Lazar Scekic</v>
      </c>
      <c r="B83" s="13" t="str">
        <f>IFERROR(__xludf.DUMMYFUNCTION("""COMPUTED_VALUE"""),"ORAN")</f>
        <v>ORAN</v>
      </c>
      <c r="C83" s="14">
        <f>IFERROR(__xludf.DUMMYFUNCTION("""COMPUTED_VALUE"""),2.2)</f>
        <v>2.2</v>
      </c>
      <c r="D83" s="15">
        <f>IFERROR(__xludf.DUMMYFUNCTION("""COMPUTED_VALUE"""),-0.017619633370059895)</f>
        <v>-0.01761963337</v>
      </c>
      <c r="E83" s="15">
        <f>IFERROR(__xludf.DUMMYFUNCTION("""COMPUTED_VALUE"""),-0.11386435729270991)</f>
        <v>-0.1138643573</v>
      </c>
      <c r="F83" s="15">
        <f>IFERROR(__xludf.DUMMYFUNCTION("""COMPUTED_VALUE"""),-0.1314839906627698)</f>
        <v>-0.1314839907</v>
      </c>
      <c r="G83" s="17">
        <f>IFERROR(__xludf.DUMMYFUNCTION("""COMPUTED_VALUE"""),0.0012505131798675093)</f>
        <v>0.00125051318</v>
      </c>
      <c r="H83" s="4"/>
      <c r="I83" s="5" t="s">
        <v>3087</v>
      </c>
      <c r="J83" s="5" t="s">
        <v>3088</v>
      </c>
      <c r="K83" s="5">
        <v>2.0</v>
      </c>
      <c r="L83" s="5">
        <v>-0.028947</v>
      </c>
      <c r="M83" s="5">
        <v>-0.102537</v>
      </c>
      <c r="N83" s="5">
        <v>-0.131484</v>
      </c>
      <c r="O83" s="5">
        <v>0.001251</v>
      </c>
    </row>
    <row r="84">
      <c r="A84" s="18" t="str">
        <f>IFERROR(__xludf.DUMMYFUNCTION("""COMPUTED_VALUE"""),"Florian Koeppl")</f>
        <v>Florian Koeppl</v>
      </c>
      <c r="B84" s="19" t="str">
        <f>IFERROR(__xludf.DUMMYFUNCTION("""COMPUTED_VALUE"""),"VFL")</f>
        <v>VFL</v>
      </c>
      <c r="C84" s="20">
        <f>IFERROR(__xludf.DUMMYFUNCTION("""COMPUTED_VALUE"""),2.0)</f>
        <v>2</v>
      </c>
      <c r="D84" s="21">
        <f>IFERROR(__xludf.DUMMYFUNCTION("""COMPUTED_VALUE"""),-0.15711442256994942)</f>
        <v>-0.1571144226</v>
      </c>
      <c r="E84" s="21">
        <f>IFERROR(__xludf.DUMMYFUNCTION("""COMPUTED_VALUE"""),-0.042793488090263704)</f>
        <v>-0.04279348809</v>
      </c>
      <c r="F84" s="21">
        <f>IFERROR(__xludf.DUMMYFUNCTION("""COMPUTED_VALUE"""),-0.19990791066021313)</f>
        <v>-0.1999079107</v>
      </c>
      <c r="G84" s="23">
        <f>IFERROR(__xludf.DUMMYFUNCTION("""COMPUTED_VALUE"""),0.001093117128799321)</f>
        <v>0.001093117129</v>
      </c>
      <c r="H84" s="4"/>
      <c r="I84" s="5" t="s">
        <v>3089</v>
      </c>
      <c r="J84" s="5" t="s">
        <v>2999</v>
      </c>
      <c r="K84" s="5">
        <v>2.0</v>
      </c>
      <c r="L84" s="5">
        <v>-0.154789</v>
      </c>
      <c r="M84" s="5">
        <v>-0.045119</v>
      </c>
      <c r="N84" s="5">
        <v>-0.199908</v>
      </c>
      <c r="O84" s="5">
        <v>0.001093</v>
      </c>
    </row>
    <row r="85">
      <c r="A85" s="12" t="str">
        <f>IFERROR(__xludf.DUMMYFUNCTION("""COMPUTED_VALUE"""),"Kilian Dietz")</f>
        <v>Kilian Dietz</v>
      </c>
      <c r="B85" s="13" t="str">
        <f>IFERROR(__xludf.DUMMYFUNCTION("""COMPUTED_VALUE"""),"TRI")</f>
        <v>TRI</v>
      </c>
      <c r="C85" s="14">
        <f>IFERROR(__xludf.DUMMYFUNCTION("""COMPUTED_VALUE"""),20.1)</f>
        <v>20.1</v>
      </c>
      <c r="D85" s="15">
        <f>IFERROR(__xludf.DUMMYFUNCTION("""COMPUTED_VALUE"""),-0.5511506136050668)</f>
        <v>-0.5511506136</v>
      </c>
      <c r="E85" s="15">
        <f>IFERROR(__xludf.DUMMYFUNCTION("""COMPUTED_VALUE"""),0.33247292173185405)</f>
        <v>0.3324729217</v>
      </c>
      <c r="F85" s="15">
        <f>IFERROR(__xludf.DUMMYFUNCTION("""COMPUTED_VALUE"""),-0.21867769187321273)</f>
        <v>-0.2186776919</v>
      </c>
      <c r="G85" s="17">
        <f>IFERROR(__xludf.DUMMYFUNCTION("""COMPUTED_VALUE"""),0.010882823434160154)</f>
        <v>0.01088282343</v>
      </c>
      <c r="H85" s="4"/>
      <c r="I85" s="5" t="s">
        <v>3090</v>
      </c>
      <c r="J85" s="5" t="s">
        <v>2991</v>
      </c>
      <c r="K85" s="5">
        <v>20.0</v>
      </c>
      <c r="L85" s="5">
        <v>-0.484045</v>
      </c>
      <c r="M85" s="5">
        <v>0.265368</v>
      </c>
      <c r="N85" s="5">
        <v>-0.218678</v>
      </c>
      <c r="O85" s="5">
        <v>0.010883</v>
      </c>
    </row>
    <row r="86">
      <c r="A86" s="18" t="str">
        <f>IFERROR(__xludf.DUMMYFUNCTION("""COMPUTED_VALUE"""),"Martin Bogdanov")</f>
        <v>Martin Bogdanov</v>
      </c>
      <c r="B86" s="19" t="str">
        <f>IFERROR(__xludf.DUMMYFUNCTION("""COMPUTED_VALUE"""),"CRA")</f>
        <v>CRA</v>
      </c>
      <c r="C86" s="20">
        <f>IFERROR(__xludf.DUMMYFUNCTION("""COMPUTED_VALUE"""),643.4)</f>
        <v>643.4</v>
      </c>
      <c r="D86" s="21">
        <f>IFERROR(__xludf.DUMMYFUNCTION("""COMPUTED_VALUE"""),-2.7125180387822265)</f>
        <v>-2.712518039</v>
      </c>
      <c r="E86" s="21">
        <f>IFERROR(__xludf.DUMMYFUNCTION("""COMPUTED_VALUE"""),2.4795794145615737)</f>
        <v>2.479579415</v>
      </c>
      <c r="F86" s="21">
        <f>IFERROR(__xludf.DUMMYFUNCTION("""COMPUTED_VALUE"""),-0.2329386242206528)</f>
        <v>-0.2329386242</v>
      </c>
      <c r="G86" s="23">
        <f>IFERROR(__xludf.DUMMYFUNCTION("""COMPUTED_VALUE"""),0.3455432433834313)</f>
        <v>0.3455432434</v>
      </c>
      <c r="H86" s="4"/>
      <c r="I86" s="5" t="s">
        <v>3091</v>
      </c>
      <c r="J86" s="5" t="s">
        <v>2957</v>
      </c>
      <c r="K86" s="24">
        <v>643.0</v>
      </c>
      <c r="L86" s="5">
        <v>0.610241</v>
      </c>
      <c r="M86" s="5">
        <v>-0.84318</v>
      </c>
      <c r="N86" s="5">
        <v>-0.232939</v>
      </c>
      <c r="O86" s="5">
        <v>0.345543</v>
      </c>
    </row>
    <row r="87">
      <c r="A87" s="12" t="str">
        <f>IFERROR(__xludf.DUMMYFUNCTION("""COMPUTED_VALUE"""),"Jannik Lodders")</f>
        <v>Jannik Lodders</v>
      </c>
      <c r="B87" s="13" t="str">
        <f>IFERROR(__xludf.DUMMYFUNCTION("""COMPUTED_VALUE"""),"HAG")</f>
        <v>HAG</v>
      </c>
      <c r="C87" s="14">
        <f>IFERROR(__xludf.DUMMYFUNCTION("""COMPUTED_VALUE"""),619.2)</f>
        <v>619.2</v>
      </c>
      <c r="D87" s="15">
        <f>IFERROR(__xludf.DUMMYFUNCTION("""COMPUTED_VALUE"""),-0.45451377768530865)</f>
        <v>-0.4545137777</v>
      </c>
      <c r="E87" s="15">
        <f>IFERROR(__xludf.DUMMYFUNCTION("""COMPUTED_VALUE"""),0.18684357404807106)</f>
        <v>0.186843574</v>
      </c>
      <c r="F87" s="15">
        <f>IFERROR(__xludf.DUMMYFUNCTION("""COMPUTED_VALUE"""),-0.2676702036372376)</f>
        <v>-0.2676702036</v>
      </c>
      <c r="G87" s="17">
        <f>IFERROR(__xludf.DUMMYFUNCTION("""COMPUTED_VALUE"""),0.32456143008864347)</f>
        <v>0.3245614301</v>
      </c>
      <c r="H87" s="4"/>
      <c r="I87" s="5" t="s">
        <v>3092</v>
      </c>
      <c r="J87" s="5" t="s">
        <v>3006</v>
      </c>
      <c r="K87" s="5">
        <v>619.0</v>
      </c>
      <c r="L87" s="5">
        <v>-0.788652</v>
      </c>
      <c r="M87" s="5">
        <v>0.520981</v>
      </c>
      <c r="N87" s="5">
        <v>-0.26767</v>
      </c>
      <c r="O87" s="5">
        <v>0.324561</v>
      </c>
    </row>
    <row r="88">
      <c r="A88" s="18" t="str">
        <f>IFERROR(__xludf.DUMMYFUNCTION("""COMPUTED_VALUE"""),"Anton Shoutvin")</f>
        <v>Anton Shoutvin</v>
      </c>
      <c r="B88" s="19" t="str">
        <f>IFERROR(__xludf.DUMMYFUNCTION("""COMPUTED_VALUE"""),"TRI")</f>
        <v>TRI</v>
      </c>
      <c r="C88" s="20">
        <f>IFERROR(__xludf.DUMMYFUNCTION("""COMPUTED_VALUE"""),475.6)</f>
        <v>475.6</v>
      </c>
      <c r="D88" s="21">
        <f>IFERROR(__xludf.DUMMYFUNCTION("""COMPUTED_VALUE"""),0.38435009517034924)</f>
        <v>0.3843500952</v>
      </c>
      <c r="E88" s="21">
        <f>IFERROR(__xludf.DUMMYFUNCTION("""COMPUTED_VALUE"""),-0.6689757953409292)</f>
        <v>-0.6689757953</v>
      </c>
      <c r="F88" s="21">
        <f>IFERROR(__xludf.DUMMYFUNCTION("""COMPUTED_VALUE"""),-0.28462570017058)</f>
        <v>-0.2846257002</v>
      </c>
      <c r="G88" s="23">
        <f>IFERROR(__xludf.DUMMYFUNCTION("""COMPUTED_VALUE"""),0.24797263901263758)</f>
        <v>0.247972639</v>
      </c>
      <c r="H88" s="4"/>
      <c r="I88" s="5" t="s">
        <v>3093</v>
      </c>
      <c r="J88" s="5" t="s">
        <v>2991</v>
      </c>
      <c r="K88" s="5">
        <v>476.0</v>
      </c>
      <c r="L88" s="5">
        <v>1.385921</v>
      </c>
      <c r="M88" s="5">
        <v>-1.670547</v>
      </c>
      <c r="N88" s="5">
        <v>-0.284626</v>
      </c>
      <c r="O88" s="5">
        <v>0.247973</v>
      </c>
    </row>
    <row r="89">
      <c r="A89" s="12" t="str">
        <f>IFERROR(__xludf.DUMMYFUNCTION("""COMPUTED_VALUE"""),"Heinrich Uberall")</f>
        <v>Heinrich Uberall</v>
      </c>
      <c r="B89" s="13" t="str">
        <f>IFERROR(__xludf.DUMMYFUNCTION("""COMPUTED_VALUE"""),"BYP")</f>
        <v>BYP</v>
      </c>
      <c r="C89" s="14">
        <f>IFERROR(__xludf.DUMMYFUNCTION("""COMPUTED_VALUE"""),19.6)</f>
        <v>19.6</v>
      </c>
      <c r="D89" s="15">
        <f>IFERROR(__xludf.DUMMYFUNCTION("""COMPUTED_VALUE"""),0.1104730670945028)</f>
        <v>0.1104730671</v>
      </c>
      <c r="E89" s="15">
        <f>IFERROR(__xludf.DUMMYFUNCTION("""COMPUTED_VALUE"""),-0.4074917688300662)</f>
        <v>-0.4074917688</v>
      </c>
      <c r="F89" s="15">
        <f>IFERROR(__xludf.DUMMYFUNCTION("""COMPUTED_VALUE"""),-0.29701870173556344)</f>
        <v>-0.2970187017</v>
      </c>
      <c r="G89" s="17">
        <f>IFERROR(__xludf.DUMMYFUNCTION("""COMPUTED_VALUE"""),0.010108791238913915)</f>
        <v>0.01010879124</v>
      </c>
      <c r="H89" s="4"/>
      <c r="I89" s="5" t="s">
        <v>3094</v>
      </c>
      <c r="J89" s="5" t="s">
        <v>2983</v>
      </c>
      <c r="K89" s="24">
        <v>20.0</v>
      </c>
      <c r="L89" s="5">
        <v>0.040071</v>
      </c>
      <c r="M89" s="5">
        <v>-0.33709</v>
      </c>
      <c r="N89" s="5">
        <v>-0.297019</v>
      </c>
      <c r="O89" s="5">
        <v>0.010109</v>
      </c>
    </row>
    <row r="90">
      <c r="A90" s="18" t="str">
        <f>IFERROR(__xludf.DUMMYFUNCTION("""COMPUTED_VALUE"""),"Griffin Bauer")</f>
        <v>Griffin Bauer</v>
      </c>
      <c r="B90" s="19" t="str">
        <f>IFERROR(__xludf.DUMMYFUNCTION("""COMPUTED_VALUE"""),"HEBE")</f>
        <v>HEBE</v>
      </c>
      <c r="C90" s="20">
        <f>IFERROR(__xludf.DUMMYFUNCTION("""COMPUTED_VALUE"""),1.0)</f>
        <v>1</v>
      </c>
      <c r="D90" s="21">
        <f>IFERROR(__xludf.DUMMYFUNCTION("""COMPUTED_VALUE"""),-0.22210083725016735)</f>
        <v>-0.2221008373</v>
      </c>
      <c r="E90" s="21">
        <f>IFERROR(__xludf.DUMMYFUNCTION("""COMPUTED_VALUE"""),-0.08591149192337275)</f>
        <v>-0.08591149192</v>
      </c>
      <c r="F90" s="21">
        <f>IFERROR(__xludf.DUMMYFUNCTION("""COMPUTED_VALUE"""),-0.3080123291735401)</f>
        <v>-0.3080123292</v>
      </c>
      <c r="G90" s="23">
        <f>IFERROR(__xludf.DUMMYFUNCTION("""COMPUTED_VALUE"""),5.101379010231811E-4)</f>
        <v>0.000510137901</v>
      </c>
      <c r="H90" s="4"/>
      <c r="I90" s="5" t="s">
        <v>3095</v>
      </c>
      <c r="J90" s="5" t="s">
        <v>3004</v>
      </c>
      <c r="K90" s="5">
        <v>1.0</v>
      </c>
      <c r="L90" s="5">
        <v>-0.223651</v>
      </c>
      <c r="M90" s="5">
        <v>-0.084361</v>
      </c>
      <c r="N90" s="5">
        <v>-0.308012</v>
      </c>
      <c r="O90" s="5">
        <v>5.1E-4</v>
      </c>
    </row>
    <row r="91">
      <c r="A91" s="12" t="str">
        <f>IFERROR(__xludf.DUMMYFUNCTION("""COMPUTED_VALUE"""),"Jonah Bredt")</f>
        <v>Jonah Bredt</v>
      </c>
      <c r="B91" s="13" t="str">
        <f>IFERROR(__xludf.DUMMYFUNCTION("""COMPUTED_VALUE"""),"HAG")</f>
        <v>HAG</v>
      </c>
      <c r="C91" s="14">
        <f>IFERROR(__xludf.DUMMYFUNCTION("""COMPUTED_VALUE"""),30.5)</f>
        <v>30.5</v>
      </c>
      <c r="D91" s="15">
        <f>IFERROR(__xludf.DUMMYFUNCTION("""COMPUTED_VALUE"""),-0.44550583132207455)</f>
        <v>-0.4455058313</v>
      </c>
      <c r="E91" s="15">
        <f>IFERROR(__xludf.DUMMYFUNCTION("""COMPUTED_VALUE"""),0.12554266289820354)</f>
        <v>0.1255426629</v>
      </c>
      <c r="F91" s="15">
        <f>IFERROR(__xludf.DUMMYFUNCTION("""COMPUTED_VALUE"""),-0.319963168423871)</f>
        <v>-0.3199631684</v>
      </c>
      <c r="G91" s="17">
        <f>IFERROR(__xludf.DUMMYFUNCTION("""COMPUTED_VALUE"""),0.015504366556565823)</f>
        <v>0.01550436656</v>
      </c>
      <c r="H91" s="4"/>
      <c r="I91" s="5" t="s">
        <v>3096</v>
      </c>
      <c r="J91" s="5" t="s">
        <v>3006</v>
      </c>
      <c r="K91" s="5">
        <v>31.0</v>
      </c>
      <c r="L91" s="5">
        <v>-0.479477</v>
      </c>
      <c r="M91" s="5">
        <v>0.159513</v>
      </c>
      <c r="N91" s="5">
        <v>-0.319963</v>
      </c>
      <c r="O91" s="5">
        <v>0.015504</v>
      </c>
    </row>
    <row r="92">
      <c r="A92" s="18" t="str">
        <f>IFERROR(__xludf.DUMMYFUNCTION("""COMPUTED_VALUE"""),"Maximilian Fouhy")</f>
        <v>Maximilian Fouhy</v>
      </c>
      <c r="B92" s="19" t="str">
        <f>IFERROR(__xludf.DUMMYFUNCTION("""COMPUTED_VALUE"""),"HAG")</f>
        <v>HAG</v>
      </c>
      <c r="C92" s="20">
        <f>IFERROR(__xludf.DUMMYFUNCTION("""COMPUTED_VALUE"""),11.9)</f>
        <v>11.9</v>
      </c>
      <c r="D92" s="21">
        <f>IFERROR(__xludf.DUMMYFUNCTION("""COMPUTED_VALUE"""),-0.09055669200972491)</f>
        <v>-0.09055669201</v>
      </c>
      <c r="E92" s="21">
        <f>IFERROR(__xludf.DUMMYFUNCTION("""COMPUTED_VALUE"""),-0.22962971489447956)</f>
        <v>-0.2296297149</v>
      </c>
      <c r="F92" s="21">
        <f>IFERROR(__xludf.DUMMYFUNCTION("""COMPUTED_VALUE"""),-0.32018640690420447)</f>
        <v>-0.3201864069</v>
      </c>
      <c r="G92" s="23">
        <f>IFERROR(__xludf.DUMMYFUNCTION("""COMPUTED_VALUE"""),0.006048440850199252)</f>
        <v>0.00604844085</v>
      </c>
      <c r="H92" s="4"/>
      <c r="I92" s="5" t="s">
        <v>3097</v>
      </c>
      <c r="J92" s="5" t="s">
        <v>3006</v>
      </c>
      <c r="K92" s="5">
        <v>12.0</v>
      </c>
      <c r="L92" s="5">
        <v>-0.103811</v>
      </c>
      <c r="M92" s="5">
        <v>-0.216376</v>
      </c>
      <c r="N92" s="5">
        <v>-0.320186</v>
      </c>
      <c r="O92" s="5">
        <v>0.006048</v>
      </c>
    </row>
    <row r="93">
      <c r="A93" s="12" t="str">
        <f>IFERROR(__xludf.DUMMYFUNCTION("""COMPUTED_VALUE"""),"Robert Oehle")</f>
        <v>Robert Oehle</v>
      </c>
      <c r="B93" s="13" t="str">
        <f>IFERROR(__xludf.DUMMYFUNCTION("""COMPUTED_VALUE"""),"NUE")</f>
        <v>NUE</v>
      </c>
      <c r="C93" s="14">
        <f>IFERROR(__xludf.DUMMYFUNCTION("""COMPUTED_VALUE"""),234.6)</f>
        <v>234.6</v>
      </c>
      <c r="D93" s="15">
        <f>IFERROR(__xludf.DUMMYFUNCTION("""COMPUTED_VALUE"""),0.14256936736862527)</f>
        <v>0.1425693674</v>
      </c>
      <c r="E93" s="15">
        <f>IFERROR(__xludf.DUMMYFUNCTION("""COMPUTED_VALUE"""),-0.465070166596658)</f>
        <v>-0.4650701666</v>
      </c>
      <c r="F93" s="15">
        <f>IFERROR(__xludf.DUMMYFUNCTION("""COMPUTED_VALUE"""),-0.32250079922803276)</f>
        <v>-0.3225007992</v>
      </c>
      <c r="G93" s="17">
        <f>IFERROR(__xludf.DUMMYFUNCTION("""COMPUTED_VALUE"""),0.1200161120349252)</f>
        <v>0.120016112</v>
      </c>
      <c r="H93" s="4"/>
      <c r="I93" s="5" t="s">
        <v>1211</v>
      </c>
      <c r="J93" s="5" t="s">
        <v>3023</v>
      </c>
      <c r="K93" s="5">
        <v>235.0</v>
      </c>
      <c r="L93" s="5">
        <v>-0.971896</v>
      </c>
      <c r="M93" s="5">
        <v>0.649395</v>
      </c>
      <c r="N93" s="5">
        <v>-0.322501</v>
      </c>
      <c r="O93" s="5">
        <v>0.120016</v>
      </c>
    </row>
    <row r="94">
      <c r="A94" s="18" t="str">
        <f>IFERROR(__xludf.DUMMYFUNCTION("""COMPUTED_VALUE"""),"Matt Gibson")</f>
        <v>Matt Gibson</v>
      </c>
      <c r="B94" s="19" t="str">
        <f>IFERROR(__xludf.DUMMYFUNCTION("""COMPUTED_VALUE"""),"NUE")</f>
        <v>NUE</v>
      </c>
      <c r="C94" s="20">
        <f>IFERROR(__xludf.DUMMYFUNCTION("""COMPUTED_VALUE"""),135.8)</f>
        <v>135.8</v>
      </c>
      <c r="D94" s="21">
        <f>IFERROR(__xludf.DUMMYFUNCTION("""COMPUTED_VALUE"""),0.33705523080837846)</f>
        <v>0.3370552308</v>
      </c>
      <c r="E94" s="21">
        <f>IFERROR(__xludf.DUMMYFUNCTION("""COMPUTED_VALUE"""),-0.6739761436768148)</f>
        <v>-0.6739761437</v>
      </c>
      <c r="F94" s="21">
        <f>IFERROR(__xludf.DUMMYFUNCTION("""COMPUTED_VALUE"""),-0.3369209128684364)</f>
        <v>-0.3369209129</v>
      </c>
      <c r="G94" s="23">
        <f>IFERROR(__xludf.DUMMYFUNCTION("""COMPUTED_VALUE"""),0.06887504509381308)</f>
        <v>0.06887504509</v>
      </c>
      <c r="H94" s="4"/>
      <c r="I94" s="5" t="s">
        <v>3098</v>
      </c>
      <c r="J94" s="5" t="s">
        <v>3023</v>
      </c>
      <c r="K94" s="24">
        <v>136.0</v>
      </c>
      <c r="L94" s="5">
        <v>-0.308062</v>
      </c>
      <c r="M94" s="5">
        <v>-0.028859</v>
      </c>
      <c r="N94" s="5">
        <v>-0.336921</v>
      </c>
      <c r="O94" s="5">
        <v>0.068875</v>
      </c>
    </row>
    <row r="95">
      <c r="A95" s="12" t="str">
        <f>IFERROR(__xludf.DUMMYFUNCTION("""COMPUTED_VALUE"""),"Jeramie Woods")</f>
        <v>Jeramie Woods</v>
      </c>
      <c r="B95" s="13" t="str">
        <f>IFERROR(__xludf.DUMMYFUNCTION("""COMPUTED_VALUE"""),"PS")</f>
        <v>PS</v>
      </c>
      <c r="C95" s="14">
        <f>IFERROR(__xludf.DUMMYFUNCTION("""COMPUTED_VALUE"""),407.1)</f>
        <v>407.1</v>
      </c>
      <c r="D95" s="15">
        <f>IFERROR(__xludf.DUMMYFUNCTION("""COMPUTED_VALUE"""),-0.6680256585778586)</f>
        <v>-0.6680256586</v>
      </c>
      <c r="E95" s="15">
        <f>IFERROR(__xludf.DUMMYFUNCTION("""COMPUTED_VALUE"""),0.31748938277870686)</f>
        <v>0.3174893828</v>
      </c>
      <c r="F95" s="15">
        <f>IFERROR(__xludf.DUMMYFUNCTION("""COMPUTED_VALUE"""),-0.3505362757991517)</f>
        <v>-0.3505362758</v>
      </c>
      <c r="G95" s="17">
        <f>IFERROR(__xludf.DUMMYFUNCTION("""COMPUTED_VALUE"""),0.20472736479398795)</f>
        <v>0.2047273648</v>
      </c>
      <c r="H95" s="4"/>
      <c r="I95" s="5" t="s">
        <v>3099</v>
      </c>
      <c r="J95" s="5" t="s">
        <v>2975</v>
      </c>
      <c r="K95" s="5">
        <v>407.0</v>
      </c>
      <c r="L95" s="5">
        <v>0.523544</v>
      </c>
      <c r="M95" s="5">
        <v>-0.874081</v>
      </c>
      <c r="N95" s="5">
        <v>-0.350536</v>
      </c>
      <c r="O95" s="5">
        <v>0.204727</v>
      </c>
    </row>
    <row r="96">
      <c r="A96" s="18" t="str">
        <f>IFERROR(__xludf.DUMMYFUNCTION("""COMPUTED_VALUE"""),"Michael Smith")</f>
        <v>Michael Smith</v>
      </c>
      <c r="B96" s="19" t="str">
        <f>IFERROR(__xludf.DUMMYFUNCTION("""COMPUTED_VALUE"""),"CRA")</f>
        <v>CRA</v>
      </c>
      <c r="C96" s="20">
        <f>IFERROR(__xludf.DUMMYFUNCTION("""COMPUTED_VALUE"""),308.4)</f>
        <v>308.4</v>
      </c>
      <c r="D96" s="21">
        <f>IFERROR(__xludf.DUMMYFUNCTION("""COMPUTED_VALUE"""),-3.763109250917737)</f>
        <v>-3.763109251</v>
      </c>
      <c r="E96" s="21">
        <f>IFERROR(__xludf.DUMMYFUNCTION("""COMPUTED_VALUE"""),3.347765300345275)</f>
        <v>3.3477653</v>
      </c>
      <c r="F96" s="21">
        <f>IFERROR(__xludf.DUMMYFUNCTION("""COMPUTED_VALUE"""),-0.41534395057246165)</f>
        <v>-0.4153439506</v>
      </c>
      <c r="G96" s="23">
        <f>IFERROR(__xludf.DUMMYFUNCTION("""COMPUTED_VALUE"""),0.14853168122682095)</f>
        <v>0.1485316812</v>
      </c>
      <c r="H96" s="4"/>
      <c r="I96" s="5" t="s">
        <v>3100</v>
      </c>
      <c r="J96" s="5" t="s">
        <v>2957</v>
      </c>
      <c r="K96" s="24">
        <v>308.0</v>
      </c>
      <c r="L96" s="5">
        <v>-0.44035</v>
      </c>
      <c r="M96" s="5">
        <v>0.025006</v>
      </c>
      <c r="N96" s="5">
        <v>-0.415344</v>
      </c>
      <c r="O96" s="5">
        <v>0.148532</v>
      </c>
    </row>
    <row r="97">
      <c r="A97" s="12" t="str">
        <f>IFERROR(__xludf.DUMMYFUNCTION("""COMPUTED_VALUE"""),"Kerr Kriisa")</f>
        <v>Kerr Kriisa</v>
      </c>
      <c r="B97" s="13" t="str">
        <f>IFERROR(__xludf.DUMMYFUNCTION("""COMPUTED_VALUE"""),"BYP")</f>
        <v>BYP</v>
      </c>
      <c r="C97" s="14">
        <f>IFERROR(__xludf.DUMMYFUNCTION("""COMPUTED_VALUE"""),5.0)</f>
        <v>5</v>
      </c>
      <c r="D97" s="15">
        <f>IFERROR(__xludf.DUMMYFUNCTION("""COMPUTED_VALUE"""),-0.3558602436899178)</f>
        <v>-0.3558602437</v>
      </c>
      <c r="E97" s="15">
        <f>IFERROR(__xludf.DUMMYFUNCTION("""COMPUTED_VALUE"""),-0.08102153315577326)</f>
        <v>-0.08102153316</v>
      </c>
      <c r="F97" s="15">
        <f>IFERROR(__xludf.DUMMYFUNCTION("""COMPUTED_VALUE"""),-0.43688177684569107)</f>
        <v>-0.4368817768</v>
      </c>
      <c r="G97" s="17">
        <f>IFERROR(__xludf.DUMMYFUNCTION("""COMPUTED_VALUE"""),0.0023669828341675247)</f>
        <v>0.002366982834</v>
      </c>
      <c r="H97" s="4"/>
      <c r="I97" s="5" t="s">
        <v>3101</v>
      </c>
      <c r="J97" s="5" t="s">
        <v>2983</v>
      </c>
      <c r="K97" s="5">
        <v>5.0</v>
      </c>
      <c r="L97" s="5">
        <v>-0.37382</v>
      </c>
      <c r="M97" s="5">
        <v>-0.063062</v>
      </c>
      <c r="N97" s="5">
        <v>-0.436882</v>
      </c>
      <c r="O97" s="5">
        <v>0.002367</v>
      </c>
    </row>
    <row r="98">
      <c r="A98" s="18" t="str">
        <f>IFERROR(__xludf.DUMMYFUNCTION("""COMPUTED_VALUE"""),"Marius Behr")</f>
        <v>Marius Behr</v>
      </c>
      <c r="B98" s="19" t="str">
        <f>IFERROR(__xludf.DUMMYFUNCTION("""COMPUTED_VALUE"""),"HAM")</f>
        <v>HAM</v>
      </c>
      <c r="C98" s="20">
        <f>IFERROR(__xludf.DUMMYFUNCTION("""COMPUTED_VALUE"""),29.8)</f>
        <v>29.8</v>
      </c>
      <c r="D98" s="21">
        <f>IFERROR(__xludf.DUMMYFUNCTION("""COMPUTED_VALUE"""),-0.6206069336956376)</f>
        <v>-0.6206069337</v>
      </c>
      <c r="E98" s="21">
        <f>IFERROR(__xludf.DUMMYFUNCTION("""COMPUTED_VALUE"""),0.13036995360109915)</f>
        <v>0.1303699536</v>
      </c>
      <c r="F98" s="21">
        <f>IFERROR(__xludf.DUMMYFUNCTION("""COMPUTED_VALUE"""),-0.4902369800945384)</f>
        <v>-0.4902369801</v>
      </c>
      <c r="G98" s="23">
        <f>IFERROR(__xludf.DUMMYFUNCTION("""COMPUTED_VALUE"""),0.01432658432771522)</f>
        <v>0.01432658433</v>
      </c>
      <c r="H98" s="4"/>
      <c r="I98" s="5" t="s">
        <v>3102</v>
      </c>
      <c r="J98" s="5" t="s">
        <v>3008</v>
      </c>
      <c r="K98" s="24">
        <v>30.0</v>
      </c>
      <c r="L98" s="5">
        <v>-0.621777</v>
      </c>
      <c r="M98" s="5">
        <v>0.13154</v>
      </c>
      <c r="N98" s="5">
        <v>-0.490237</v>
      </c>
      <c r="O98" s="5">
        <v>0.014327</v>
      </c>
    </row>
    <row r="99">
      <c r="A99" s="12" t="str">
        <f>IFERROR(__xludf.DUMMYFUNCTION("""COMPUTED_VALUE"""),"David Godbold")</f>
        <v>David Godbold</v>
      </c>
      <c r="B99" s="13" t="str">
        <f>IFERROR(__xludf.DUMMYFUNCTION("""COMPUTED_VALUE"""),"HAG")</f>
        <v>HAG</v>
      </c>
      <c r="C99" s="14">
        <f>IFERROR(__xludf.DUMMYFUNCTION("""COMPUTED_VALUE"""),403.4)</f>
        <v>403.4</v>
      </c>
      <c r="D99" s="15">
        <f>IFERROR(__xludf.DUMMYFUNCTION("""COMPUTED_VALUE"""),0.1428490758621311)</f>
        <v>0.1428490759</v>
      </c>
      <c r="E99" s="15">
        <f>IFERROR(__xludf.DUMMYFUNCTION("""COMPUTED_VALUE"""),-0.644994489039126)</f>
        <v>-0.644994489</v>
      </c>
      <c r="F99" s="15">
        <f>IFERROR(__xludf.DUMMYFUNCTION("""COMPUTED_VALUE"""),-0.5021454131769949)</f>
        <v>-0.5021454132</v>
      </c>
      <c r="G99" s="17">
        <f>IFERROR(__xludf.DUMMYFUNCTION("""COMPUTED_VALUE"""),0.1828272524969468)</f>
        <v>0.1828272525</v>
      </c>
      <c r="H99" s="4"/>
      <c r="I99" s="5" t="s">
        <v>3103</v>
      </c>
      <c r="J99" s="5" t="s">
        <v>3006</v>
      </c>
      <c r="K99" s="24">
        <v>403.0</v>
      </c>
      <c r="L99" s="5">
        <v>-0.191289</v>
      </c>
      <c r="M99" s="5">
        <v>-0.310857</v>
      </c>
      <c r="N99" s="5">
        <v>-0.502145</v>
      </c>
      <c r="O99" s="5">
        <v>0.182827</v>
      </c>
    </row>
    <row r="100">
      <c r="A100" s="18" t="str">
        <f>IFERROR(__xludf.DUMMYFUNCTION("""COMPUTED_VALUE"""),"Lucas Loth")</f>
        <v>Lucas Loth</v>
      </c>
      <c r="B100" s="19" t="str">
        <f>IFERROR(__xludf.DUMMYFUNCTION("""COMPUTED_VALUE"""),"URS")</f>
        <v>URS</v>
      </c>
      <c r="C100" s="20">
        <f>IFERROR(__xludf.DUMMYFUNCTION("""COMPUTED_VALUE"""),3.1)</f>
        <v>3.1</v>
      </c>
      <c r="D100" s="21">
        <f>IFERROR(__xludf.DUMMYFUNCTION("""COMPUTED_VALUE"""),-0.3283763949677148)</f>
        <v>-0.328376395</v>
      </c>
      <c r="E100" s="21">
        <f>IFERROR(__xludf.DUMMYFUNCTION("""COMPUTED_VALUE"""),-0.19432861521930517)</f>
        <v>-0.1943286152</v>
      </c>
      <c r="F100" s="21">
        <f>IFERROR(__xludf.DUMMYFUNCTION("""COMPUTED_VALUE"""),-0.52270501018702)</f>
        <v>-0.5227050102</v>
      </c>
      <c r="G100" s="23">
        <f>IFERROR(__xludf.DUMMYFUNCTION("""COMPUTED_VALUE"""),0.0013846619956352983)</f>
        <v>0.001384661996</v>
      </c>
      <c r="H100" s="4"/>
      <c r="I100" s="5" t="s">
        <v>3104</v>
      </c>
      <c r="J100" s="5" t="s">
        <v>3036</v>
      </c>
      <c r="K100" s="5">
        <v>3.0</v>
      </c>
      <c r="L100" s="5">
        <v>-0.334685</v>
      </c>
      <c r="M100" s="5">
        <v>-0.18802</v>
      </c>
      <c r="N100" s="5">
        <v>-0.522705</v>
      </c>
      <c r="O100" s="5">
        <v>0.001385</v>
      </c>
    </row>
    <row r="101">
      <c r="A101" s="12" t="str">
        <f>IFERROR(__xludf.DUMMYFUNCTION("""COMPUTED_VALUE"""),"Seger Bonifant")</f>
        <v>Seger Bonifant</v>
      </c>
      <c r="B101" s="13" t="str">
        <f>IFERROR(__xludf.DUMMYFUNCTION("""COMPUTED_VALUE"""),"URS")</f>
        <v>URS</v>
      </c>
      <c r="C101" s="14">
        <f>IFERROR(__xludf.DUMMYFUNCTION("""COMPUTED_VALUE"""),866.0)</f>
        <v>866</v>
      </c>
      <c r="D101" s="15">
        <f>IFERROR(__xludf.DUMMYFUNCTION("""COMPUTED_VALUE"""),4.328711938737244)</f>
        <v>4.328711939</v>
      </c>
      <c r="E101" s="15">
        <f>IFERROR(__xludf.DUMMYFUNCTION("""COMPUTED_VALUE"""),-4.8568925583002285)</f>
        <v>-4.856892558</v>
      </c>
      <c r="F101" s="15">
        <f>IFERROR(__xludf.DUMMYFUNCTION("""COMPUTED_VALUE"""),-0.5281806195629848)</f>
        <v>-0.5281806196</v>
      </c>
      <c r="G101" s="17">
        <f>IFERROR(__xludf.DUMMYFUNCTION("""COMPUTED_VALUE"""),0.3853783056171381)</f>
        <v>0.3853783056</v>
      </c>
      <c r="H101" s="4"/>
      <c r="I101" s="5" t="s">
        <v>3105</v>
      </c>
      <c r="J101" s="5" t="s">
        <v>3036</v>
      </c>
      <c r="K101" s="5">
        <v>866.0</v>
      </c>
      <c r="L101" s="5">
        <v>3.718171</v>
      </c>
      <c r="M101" s="5">
        <v>-4.246352</v>
      </c>
      <c r="N101" s="5">
        <v>-0.528181</v>
      </c>
      <c r="O101" s="5">
        <v>0.385378</v>
      </c>
    </row>
    <row r="102">
      <c r="A102" s="18" t="str">
        <f>IFERROR(__xludf.DUMMYFUNCTION("""COMPUTED_VALUE"""),"David Aichele")</f>
        <v>David Aichele</v>
      </c>
      <c r="B102" s="19" t="str">
        <f>IFERROR(__xludf.DUMMYFUNCTION("""COMPUTED_VALUE"""),"MLP")</f>
        <v>MLP</v>
      </c>
      <c r="C102" s="20">
        <f>IFERROR(__xludf.DUMMYFUNCTION("""COMPUTED_VALUE"""),25.7)</f>
        <v>25.7</v>
      </c>
      <c r="D102" s="21">
        <f>IFERROR(__xludf.DUMMYFUNCTION("""COMPUTED_VALUE"""),-0.8221051646202965)</f>
        <v>-0.8221051646</v>
      </c>
      <c r="E102" s="21">
        <f>IFERROR(__xludf.DUMMYFUNCTION("""COMPUTED_VALUE"""),0.2748078637450737)</f>
        <v>0.2748078637</v>
      </c>
      <c r="F102" s="21">
        <f>IFERROR(__xludf.DUMMYFUNCTION("""COMPUTED_VALUE"""),-0.5472973008752228)</f>
        <v>-0.5472973009</v>
      </c>
      <c r="G102" s="23">
        <f>IFERROR(__xludf.DUMMYFUNCTION("""COMPUTED_VALUE"""),0.011392341655970785)</f>
        <v>0.01139234166</v>
      </c>
      <c r="H102" s="4"/>
      <c r="I102" s="5" t="s">
        <v>3106</v>
      </c>
      <c r="J102" s="5" t="s">
        <v>2987</v>
      </c>
      <c r="K102" s="5">
        <v>26.0</v>
      </c>
      <c r="L102" s="5">
        <v>-0.753773</v>
      </c>
      <c r="M102" s="5">
        <v>0.206476</v>
      </c>
      <c r="N102" s="5">
        <v>-0.547297</v>
      </c>
      <c r="O102" s="5">
        <v>0.011392</v>
      </c>
    </row>
    <row r="103">
      <c r="A103" s="12" t="str">
        <f>IFERROR(__xludf.DUMMYFUNCTION("""COMPUTED_VALUE"""),"Leon Hoppe")</f>
        <v>Leon Hoppe</v>
      </c>
      <c r="B103" s="13" t="str">
        <f>IFERROR(__xludf.DUMMYFUNCTION("""COMPUTED_VALUE"""),"BVC")</f>
        <v>BVC</v>
      </c>
      <c r="C103" s="14">
        <f>IFERROR(__xludf.DUMMYFUNCTION("""COMPUTED_VALUE"""),14.1)</f>
        <v>14.1</v>
      </c>
      <c r="D103" s="15">
        <f>IFERROR(__xludf.DUMMYFUNCTION("""COMPUTED_VALUE"""),-0.38944737147862635)</f>
        <v>-0.3894473715</v>
      </c>
      <c r="E103" s="15">
        <f>IFERROR(__xludf.DUMMYFUNCTION("""COMPUTED_VALUE"""),-0.16124122955876335)</f>
        <v>-0.1612412296</v>
      </c>
      <c r="F103" s="15">
        <f>IFERROR(__xludf.DUMMYFUNCTION("""COMPUTED_VALUE"""),-0.5506886010373897)</f>
        <v>-0.550688601</v>
      </c>
      <c r="G103" s="17">
        <f>IFERROR(__xludf.DUMMYFUNCTION("""COMPUTED_VALUE"""),0.006206892268402676)</f>
        <v>0.006206892268</v>
      </c>
      <c r="H103" s="4"/>
      <c r="I103" s="5" t="s">
        <v>3107</v>
      </c>
      <c r="J103" s="5" t="s">
        <v>2996</v>
      </c>
      <c r="K103" s="24">
        <v>14.0</v>
      </c>
      <c r="L103" s="5">
        <v>-0.393034</v>
      </c>
      <c r="M103" s="5">
        <v>-0.157654</v>
      </c>
      <c r="N103" s="5">
        <v>-0.550689</v>
      </c>
      <c r="O103" s="5">
        <v>0.006207</v>
      </c>
    </row>
    <row r="104">
      <c r="A104" s="18" t="str">
        <f>IFERROR(__xludf.DUMMYFUNCTION("""COMPUTED_VALUE"""),"Nicolas Bretzel")</f>
        <v>Nicolas Bretzel</v>
      </c>
      <c r="B104" s="19" t="str">
        <f>IFERROR(__xludf.DUMMYFUNCTION("""COMPUTED_VALUE"""),"ORAN")</f>
        <v>ORAN</v>
      </c>
      <c r="C104" s="20">
        <f>IFERROR(__xludf.DUMMYFUNCTION("""COMPUTED_VALUE"""),296.4)</f>
        <v>296.4</v>
      </c>
      <c r="D104" s="21">
        <f>IFERROR(__xludf.DUMMYFUNCTION("""COMPUTED_VALUE"""),2.1764910539620903)</f>
        <v>2.176491054</v>
      </c>
      <c r="E104" s="21">
        <f>IFERROR(__xludf.DUMMYFUNCTION("""COMPUTED_VALUE"""),-2.731720298402177)</f>
        <v>-2.731720298</v>
      </c>
      <c r="F104" s="21">
        <f>IFERROR(__xludf.DUMMYFUNCTION("""COMPUTED_VALUE"""),-0.5552292444400865)</f>
        <v>-0.5552292444</v>
      </c>
      <c r="G104" s="23">
        <f>IFERROR(__xludf.DUMMYFUNCTION("""COMPUTED_VALUE"""),0.13027044926179304)</f>
        <v>0.1302704493</v>
      </c>
      <c r="H104" s="4"/>
      <c r="I104" s="5" t="s">
        <v>868</v>
      </c>
      <c r="J104" s="5" t="s">
        <v>3088</v>
      </c>
      <c r="K104" s="5">
        <v>296.0</v>
      </c>
      <c r="L104" s="5">
        <v>0.650376</v>
      </c>
      <c r="M104" s="5">
        <v>-1.205605</v>
      </c>
      <c r="N104" s="5">
        <v>-0.555229</v>
      </c>
      <c r="O104" s="5">
        <v>0.13027</v>
      </c>
    </row>
    <row r="105">
      <c r="A105" s="12" t="str">
        <f>IFERROR(__xludf.DUMMYFUNCTION("""COMPUTED_VALUE"""),"Will Darley")</f>
        <v>Will Darley</v>
      </c>
      <c r="B105" s="13" t="str">
        <f>IFERROR(__xludf.DUMMYFUNCTION("""COMPUTED_VALUE"""),"HAM")</f>
        <v>HAM</v>
      </c>
      <c r="C105" s="14">
        <f>IFERROR(__xludf.DUMMYFUNCTION("""COMPUTED_VALUE"""),144.1)</f>
        <v>144.1</v>
      </c>
      <c r="D105" s="15">
        <f>IFERROR(__xludf.DUMMYFUNCTION("""COMPUTED_VALUE"""),0.4906600663212463)</f>
        <v>0.4906600663</v>
      </c>
      <c r="E105" s="15">
        <f>IFERROR(__xludf.DUMMYFUNCTION("""COMPUTED_VALUE"""),-1.0764960316599723)</f>
        <v>-1.076496032</v>
      </c>
      <c r="F105" s="15">
        <f>IFERROR(__xludf.DUMMYFUNCTION("""COMPUTED_VALUE"""),-0.5858359653387261)</f>
        <v>-0.5858359653</v>
      </c>
      <c r="G105" s="17">
        <f>IFERROR(__xludf.DUMMYFUNCTION("""COMPUTED_VALUE"""),0.06489053900291394)</f>
        <v>0.064890539</v>
      </c>
      <c r="H105" s="4"/>
      <c r="I105" s="5" t="s">
        <v>3108</v>
      </c>
      <c r="J105" s="5" t="s">
        <v>3008</v>
      </c>
      <c r="K105" s="5">
        <v>144.0</v>
      </c>
      <c r="L105" s="5">
        <v>0.485</v>
      </c>
      <c r="M105" s="5">
        <v>-1.070836</v>
      </c>
      <c r="N105" s="5">
        <v>-0.585836</v>
      </c>
      <c r="O105" s="5">
        <v>0.064891</v>
      </c>
    </row>
    <row r="106">
      <c r="A106" s="18" t="str">
        <f>IFERROR(__xludf.DUMMYFUNCTION("""COMPUTED_VALUE"""),"Denis Vrsaljko")</f>
        <v>Denis Vrsaljko</v>
      </c>
      <c r="B106" s="19" t="str">
        <f>IFERROR(__xludf.DUMMYFUNCTION("""COMPUTED_VALUE"""),"PS")</f>
        <v>PS</v>
      </c>
      <c r="C106" s="20">
        <f>IFERROR(__xludf.DUMMYFUNCTION("""COMPUTED_VALUE"""),43.1)</f>
        <v>43.1</v>
      </c>
      <c r="D106" s="21">
        <f>IFERROR(__xludf.DUMMYFUNCTION("""COMPUTED_VALUE"""),-0.9787759238515035)</f>
        <v>-0.9787759239</v>
      </c>
      <c r="E106" s="21">
        <f>IFERROR(__xludf.DUMMYFUNCTION("""COMPUTED_VALUE"""),0.3796644378610803)</f>
        <v>0.3796644379</v>
      </c>
      <c r="F106" s="21">
        <f>IFERROR(__xludf.DUMMYFUNCTION("""COMPUTED_VALUE"""),-0.5991114859904232)</f>
        <v>-0.599111486</v>
      </c>
      <c r="G106" s="23">
        <f>IFERROR(__xludf.DUMMYFUNCTION("""COMPUTED_VALUE"""),0.018408265514556)</f>
        <v>0.01840826551</v>
      </c>
      <c r="H106" s="4"/>
      <c r="I106" s="5" t="s">
        <v>3109</v>
      </c>
      <c r="J106" s="5" t="s">
        <v>2975</v>
      </c>
      <c r="K106" s="5">
        <v>43.0</v>
      </c>
      <c r="L106" s="5">
        <v>-0.807587</v>
      </c>
      <c r="M106" s="5">
        <v>0.208476</v>
      </c>
      <c r="N106" s="5">
        <v>-0.599111</v>
      </c>
      <c r="O106" s="5">
        <v>0.018408</v>
      </c>
    </row>
    <row r="107">
      <c r="A107" s="12" t="str">
        <f>IFERROR(__xludf.DUMMYFUNCTION("""COMPUTED_VALUE"""),"Fritz Hemschemeier")</f>
        <v>Fritz Hemschemeier</v>
      </c>
      <c r="B107" s="13" t="str">
        <f>IFERROR(__xludf.DUMMYFUNCTION("""COMPUTED_VALUE"""),"FIN")</f>
        <v>FIN</v>
      </c>
      <c r="C107" s="14">
        <f>IFERROR(__xludf.DUMMYFUNCTION("""COMPUTED_VALUE"""),81.1)</f>
        <v>81.1</v>
      </c>
      <c r="D107" s="15">
        <f>IFERROR(__xludf.DUMMYFUNCTION("""COMPUTED_VALUE"""),0.11804114985450113)</f>
        <v>0.1180411499</v>
      </c>
      <c r="E107" s="15">
        <f>IFERROR(__xludf.DUMMYFUNCTION("""COMPUTED_VALUE"""),-0.7305860058605095)</f>
        <v>-0.7305860059</v>
      </c>
      <c r="F107" s="15">
        <f>IFERROR(__xludf.DUMMYFUNCTION("""COMPUTED_VALUE"""),-0.6125448560060084)</f>
        <v>-0.612544856</v>
      </c>
      <c r="G107" s="17">
        <f>IFERROR(__xludf.DUMMYFUNCTION("""COMPUTED_VALUE"""),0.0341644613376234)</f>
        <v>0.03416446134</v>
      </c>
      <c r="H107" s="4"/>
      <c r="I107" s="5" t="s">
        <v>3110</v>
      </c>
      <c r="J107" s="5" t="s">
        <v>3059</v>
      </c>
      <c r="K107" s="5">
        <v>81.0</v>
      </c>
      <c r="L107" s="5">
        <v>-0.566575</v>
      </c>
      <c r="M107" s="5">
        <v>-0.04597</v>
      </c>
      <c r="N107" s="5">
        <v>-0.612545</v>
      </c>
      <c r="O107" s="5">
        <v>0.034164</v>
      </c>
    </row>
    <row r="108">
      <c r="A108" s="18" t="str">
        <f>IFERROR(__xludf.DUMMYFUNCTION("""COMPUTED_VALUE"""),"Stefan Ilzhofer")</f>
        <v>Stefan Ilzhofer</v>
      </c>
      <c r="B108" s="19" t="str">
        <f>IFERROR(__xludf.DUMMYFUNCTION("""COMPUTED_VALUE"""),"TRI")</f>
        <v>TRI</v>
      </c>
      <c r="C108" s="20">
        <f>IFERROR(__xludf.DUMMYFUNCTION("""COMPUTED_VALUE"""),538.8)</f>
        <v>538.8</v>
      </c>
      <c r="D108" s="21">
        <f>IFERROR(__xludf.DUMMYFUNCTION("""COMPUTED_VALUE"""),-1.3706275093349736)</f>
        <v>-1.370627509</v>
      </c>
      <c r="E108" s="21">
        <f>IFERROR(__xludf.DUMMYFUNCTION("""COMPUTED_VALUE"""),0.7389480480648255)</f>
        <v>0.7389480481</v>
      </c>
      <c r="F108" s="21">
        <f>IFERROR(__xludf.DUMMYFUNCTION("""COMPUTED_VALUE"""),-0.6316794612701481)</f>
        <v>-0.6316794613</v>
      </c>
      <c r="G108" s="23">
        <f>IFERROR(__xludf.DUMMYFUNCTION("""COMPUTED_VALUE"""),0.22408792328191626)</f>
        <v>0.2240879233</v>
      </c>
      <c r="H108" s="4"/>
      <c r="I108" s="5" t="s">
        <v>3111</v>
      </c>
      <c r="J108" s="5" t="s">
        <v>2991</v>
      </c>
      <c r="K108" s="5">
        <v>539.0</v>
      </c>
      <c r="L108" s="5">
        <v>-0.369056</v>
      </c>
      <c r="M108" s="5">
        <v>-0.262623</v>
      </c>
      <c r="N108" s="5">
        <v>-0.631679</v>
      </c>
      <c r="O108" s="5">
        <v>0.224088</v>
      </c>
    </row>
    <row r="109">
      <c r="A109" s="12" t="str">
        <f>IFERROR(__xludf.DUMMYFUNCTION("""COMPUTED_VALUE"""),"Michael Fleischmann")</f>
        <v>Michael Fleischmann</v>
      </c>
      <c r="B109" s="13" t="str">
        <f>IFERROR(__xludf.DUMMYFUNCTION("""COMPUTED_VALUE"""),"BVC")</f>
        <v>BVC</v>
      </c>
      <c r="C109" s="14">
        <f>IFERROR(__xludf.DUMMYFUNCTION("""COMPUTED_VALUE"""),632.6)</f>
        <v>632.6</v>
      </c>
      <c r="D109" s="15">
        <f>IFERROR(__xludf.DUMMYFUNCTION("""COMPUTED_VALUE"""),0.28968829741992996)</f>
        <v>0.2896882974</v>
      </c>
      <c r="E109" s="15">
        <f>IFERROR(__xludf.DUMMYFUNCTION("""COMPUTED_VALUE"""),-0.9275416009850207)</f>
        <v>-0.927541601</v>
      </c>
      <c r="F109" s="15">
        <f>IFERROR(__xludf.DUMMYFUNCTION("""COMPUTED_VALUE"""),-0.6378533035650907)</f>
        <v>-0.6378533036</v>
      </c>
      <c r="G109" s="17">
        <f>IFERROR(__xludf.DUMMYFUNCTION("""COMPUTED_VALUE"""),0.26172575175114493)</f>
        <v>0.2617257518</v>
      </c>
      <c r="H109" s="4"/>
      <c r="I109" s="5" t="s">
        <v>3112</v>
      </c>
      <c r="J109" s="5" t="s">
        <v>2996</v>
      </c>
      <c r="K109" s="5">
        <v>633.0</v>
      </c>
      <c r="L109" s="5">
        <v>0.213368</v>
      </c>
      <c r="M109" s="5">
        <v>-0.851222</v>
      </c>
      <c r="N109" s="5">
        <v>-0.637853</v>
      </c>
      <c r="O109" s="5">
        <v>0.261726</v>
      </c>
    </row>
    <row r="110">
      <c r="A110" s="18" t="str">
        <f>IFERROR(__xludf.DUMMYFUNCTION("""COMPUTED_VALUE"""),"Louis Olinde")</f>
        <v>Louis Olinde</v>
      </c>
      <c r="B110" s="19" t="str">
        <f>IFERROR(__xludf.DUMMYFUNCTION("""COMPUTED_VALUE"""),"BYP")</f>
        <v>BYP</v>
      </c>
      <c r="C110" s="20">
        <f>IFERROR(__xludf.DUMMYFUNCTION("""COMPUTED_VALUE"""),448.8)</f>
        <v>448.8</v>
      </c>
      <c r="D110" s="21">
        <f>IFERROR(__xludf.DUMMYFUNCTION("""COMPUTED_VALUE"""),0.5837545116816553)</f>
        <v>0.5837545117</v>
      </c>
      <c r="E110" s="21">
        <f>IFERROR(__xludf.DUMMYFUNCTION("""COMPUTED_VALUE"""),-1.2525732943918804)</f>
        <v>-1.252573294</v>
      </c>
      <c r="F110" s="21">
        <f>IFERROR(__xludf.DUMMYFUNCTION("""COMPUTED_VALUE"""),-0.6688187827102251)</f>
        <v>-0.6688187827</v>
      </c>
      <c r="G110" s="23">
        <f>IFERROR(__xludf.DUMMYFUNCTION("""COMPUTED_VALUE"""),0.18093530099838365)</f>
        <v>0.180935301</v>
      </c>
      <c r="H110" s="4"/>
      <c r="I110" s="5" t="s">
        <v>415</v>
      </c>
      <c r="J110" s="5" t="s">
        <v>2983</v>
      </c>
      <c r="K110" s="24">
        <v>449.0</v>
      </c>
      <c r="L110" s="5">
        <v>-0.493825</v>
      </c>
      <c r="M110" s="5">
        <v>-0.174994</v>
      </c>
      <c r="N110" s="5">
        <v>-0.668819</v>
      </c>
      <c r="O110" s="5">
        <v>0.180935</v>
      </c>
    </row>
    <row r="111">
      <c r="A111" s="12" t="str">
        <f>IFERROR(__xludf.DUMMYFUNCTION("""COMPUTED_VALUE"""),"Melvin Jostmann")</f>
        <v>Melvin Jostmann</v>
      </c>
      <c r="B111" s="13" t="str">
        <f>IFERROR(__xludf.DUMMYFUNCTION("""COMPUTED_VALUE"""),"FIN")</f>
        <v>FIN</v>
      </c>
      <c r="C111" s="14">
        <f>IFERROR(__xludf.DUMMYFUNCTION("""COMPUTED_VALUE"""),18.9)</f>
        <v>18.9</v>
      </c>
      <c r="D111" s="15">
        <f>IFERROR(__xludf.DUMMYFUNCTION("""COMPUTED_VALUE"""),-0.5802147369695689)</f>
        <v>-0.580214737</v>
      </c>
      <c r="E111" s="15">
        <f>IFERROR(__xludf.DUMMYFUNCTION("""COMPUTED_VALUE"""),-0.08957475810013704)</f>
        <v>-0.0895747581</v>
      </c>
      <c r="F111" s="15">
        <f>IFERROR(__xludf.DUMMYFUNCTION("""COMPUTED_VALUE"""),-0.669789495069706)</f>
        <v>-0.6697894951</v>
      </c>
      <c r="G111" s="17">
        <f>IFERROR(__xludf.DUMMYFUNCTION("""COMPUTED_VALUE"""),0.007633381173825794)</f>
        <v>0.007633381174</v>
      </c>
      <c r="H111" s="4"/>
      <c r="I111" s="5" t="s">
        <v>3113</v>
      </c>
      <c r="J111" s="5" t="s">
        <v>3059</v>
      </c>
      <c r="K111" s="5">
        <v>19.0</v>
      </c>
      <c r="L111" s="5">
        <v>-0.739761</v>
      </c>
      <c r="M111" s="5">
        <v>0.069972</v>
      </c>
      <c r="N111" s="5">
        <v>-0.669789</v>
      </c>
      <c r="O111" s="5">
        <v>0.007633</v>
      </c>
    </row>
    <row r="112">
      <c r="A112" s="18" t="str">
        <f>IFERROR(__xludf.DUMMYFUNCTION("""COMPUTED_VALUE"""),"Nils Leonhardt")</f>
        <v>Nils Leonhardt</v>
      </c>
      <c r="B112" s="19" t="str">
        <f>IFERROR(__xludf.DUMMYFUNCTION("""COMPUTED_VALUE"""),"URS")</f>
        <v>URS</v>
      </c>
      <c r="C112" s="20">
        <f>IFERROR(__xludf.DUMMYFUNCTION("""COMPUTED_VALUE"""),9.7)</f>
        <v>9.7</v>
      </c>
      <c r="D112" s="21">
        <f>IFERROR(__xludf.DUMMYFUNCTION("""COMPUTED_VALUE"""),-0.5241538833058083)</f>
        <v>-0.5241538833</v>
      </c>
      <c r="E112" s="21">
        <f>IFERROR(__xludf.DUMMYFUNCTION("""COMPUTED_VALUE"""),-0.17225953674538064)</f>
        <v>-0.1722595367</v>
      </c>
      <c r="F112" s="21">
        <f>IFERROR(__xludf.DUMMYFUNCTION("""COMPUTED_VALUE"""),-0.6964134200511889)</f>
        <v>-0.6964134201</v>
      </c>
      <c r="G112" s="23">
        <f>IFERROR(__xludf.DUMMYFUNCTION("""COMPUTED_VALUE"""),0.003823195169572928)</f>
        <v>0.00382319517</v>
      </c>
      <c r="H112" s="4"/>
      <c r="I112" s="5" t="s">
        <v>3114</v>
      </c>
      <c r="J112" s="5" t="s">
        <v>3036</v>
      </c>
      <c r="K112" s="24">
        <v>10.0</v>
      </c>
      <c r="L112" s="5">
        <v>-0.543895</v>
      </c>
      <c r="M112" s="5">
        <v>-0.152519</v>
      </c>
      <c r="N112" s="5">
        <v>-0.696413</v>
      </c>
      <c r="O112" s="5">
        <v>0.003823</v>
      </c>
    </row>
    <row r="113">
      <c r="A113" s="12" t="str">
        <f>IFERROR(__xludf.DUMMYFUNCTION("""COMPUTED_VALUE"""),"Lucien Schmikale")</f>
        <v>Lucien Schmikale</v>
      </c>
      <c r="B113" s="13" t="str">
        <f>IFERROR(__xludf.DUMMYFUNCTION("""COMPUTED_VALUE"""),"TRI")</f>
        <v>TRI</v>
      </c>
      <c r="C113" s="14">
        <f>IFERROR(__xludf.DUMMYFUNCTION("""COMPUTED_VALUE"""),570.5)</f>
        <v>570.5</v>
      </c>
      <c r="D113" s="15">
        <f>IFERROR(__xludf.DUMMYFUNCTION("""COMPUTED_VALUE"""),-0.06430939231377153)</f>
        <v>-0.06430939231</v>
      </c>
      <c r="E113" s="15">
        <f>IFERROR(__xludf.DUMMYFUNCTION("""COMPUTED_VALUE"""),-0.6468508666534651)</f>
        <v>-0.6468508667</v>
      </c>
      <c r="F113" s="15">
        <f>IFERROR(__xludf.DUMMYFUNCTION("""COMPUTED_VALUE"""),-0.7111602589672367)</f>
        <v>-0.711160259</v>
      </c>
      <c r="G113" s="17">
        <f>IFERROR(__xludf.DUMMYFUNCTION("""COMPUTED_VALUE"""),0.22348973814505693)</f>
        <v>0.2234897381</v>
      </c>
      <c r="H113" s="4"/>
      <c r="I113" s="5" t="s">
        <v>3115</v>
      </c>
      <c r="J113" s="5" t="s">
        <v>2991</v>
      </c>
      <c r="K113" s="5">
        <v>571.0</v>
      </c>
      <c r="L113" s="5">
        <v>0.937262</v>
      </c>
      <c r="M113" s="5">
        <v>-1.648422</v>
      </c>
      <c r="N113" s="5">
        <v>-0.71116</v>
      </c>
      <c r="O113" s="5">
        <v>0.22349</v>
      </c>
    </row>
    <row r="114">
      <c r="A114" s="18" t="str">
        <f>IFERROR(__xludf.DUMMYFUNCTION("""COMPUTED_VALUE"""),"Johannes Joos")</f>
        <v>Johannes Joos</v>
      </c>
      <c r="B114" s="19" t="str">
        <f>IFERROR(__xludf.DUMMYFUNCTION("""COMPUTED_VALUE"""),"TRI")</f>
        <v>TRI</v>
      </c>
      <c r="C114" s="20">
        <f>IFERROR(__xludf.DUMMYFUNCTION("""COMPUTED_VALUE"""),661.8)</f>
        <v>661.8</v>
      </c>
      <c r="D114" s="21">
        <f>IFERROR(__xludf.DUMMYFUNCTION("""COMPUTED_VALUE"""),-0.5438477901161153)</f>
        <v>-0.5438477901</v>
      </c>
      <c r="E114" s="21">
        <f>IFERROR(__xludf.DUMMYFUNCTION("""COMPUTED_VALUE"""),-0.17068360118831594)</f>
        <v>-0.1706836012</v>
      </c>
      <c r="F114" s="21">
        <f>IFERROR(__xludf.DUMMYFUNCTION("""COMPUTED_VALUE"""),-0.7145313913044312)</f>
        <v>-0.7145313913</v>
      </c>
      <c r="G114" s="23">
        <f>IFERROR(__xludf.DUMMYFUNCTION("""COMPUTED_VALUE"""),0.25857781263544793)</f>
        <v>0.2585778126</v>
      </c>
      <c r="H114" s="4"/>
      <c r="I114" s="5" t="s">
        <v>3116</v>
      </c>
      <c r="J114" s="5" t="s">
        <v>2991</v>
      </c>
      <c r="K114" s="5">
        <v>662.0</v>
      </c>
      <c r="L114" s="5">
        <v>0.457723</v>
      </c>
      <c r="M114" s="5">
        <v>-1.172255</v>
      </c>
      <c r="N114" s="5">
        <v>-0.714531</v>
      </c>
      <c r="O114" s="5">
        <v>0.258578</v>
      </c>
    </row>
    <row r="115">
      <c r="A115" s="12" t="str">
        <f>IFERROR(__xludf.DUMMYFUNCTION("""COMPUTED_VALUE"""),"Jajuan Johnson")</f>
        <v>Jajuan Johnson</v>
      </c>
      <c r="B115" s="13" t="str">
        <f>IFERROR(__xludf.DUMMYFUNCTION("""COMPUTED_VALUE"""),"BVC")</f>
        <v>BVC</v>
      </c>
      <c r="C115" s="14">
        <f>IFERROR(__xludf.DUMMYFUNCTION("""COMPUTED_VALUE"""),99.5)</f>
        <v>99.5</v>
      </c>
      <c r="D115" s="15">
        <f>IFERROR(__xludf.DUMMYFUNCTION("""COMPUTED_VALUE"""),-1.3617036662177542)</f>
        <v>-1.361703666</v>
      </c>
      <c r="E115" s="15">
        <f>IFERROR(__xludf.DUMMYFUNCTION("""COMPUTED_VALUE"""),0.6322074734851706)</f>
        <v>0.6322074735</v>
      </c>
      <c r="F115" s="15">
        <f>IFERROR(__xludf.DUMMYFUNCTION("""COMPUTED_VALUE"""),-0.7294961927325836)</f>
        <v>-0.7294961927</v>
      </c>
      <c r="G115" s="17">
        <f>IFERROR(__xludf.DUMMYFUNCTION("""COMPUTED_VALUE"""),0.038396570728844504)</f>
        <v>0.03839657073</v>
      </c>
      <c r="H115" s="4"/>
      <c r="I115" s="5" t="s">
        <v>3117</v>
      </c>
      <c r="J115" s="5" t="s">
        <v>2996</v>
      </c>
      <c r="K115" s="24">
        <v>100.0</v>
      </c>
      <c r="L115" s="5">
        <v>-1.387016</v>
      </c>
      <c r="M115" s="5">
        <v>0.65752</v>
      </c>
      <c r="N115" s="5">
        <v>-0.729496</v>
      </c>
      <c r="O115" s="5">
        <v>0.038397</v>
      </c>
    </row>
    <row r="116">
      <c r="A116" s="18" t="str">
        <f>IFERROR(__xludf.DUMMYFUNCTION("""COMPUTED_VALUE"""),"Virgil Matthews")</f>
        <v>Virgil Matthews</v>
      </c>
      <c r="B116" s="19" t="str">
        <f>IFERROR(__xludf.DUMMYFUNCTION("""COMPUTED_VALUE"""),"NUE")</f>
        <v>NUE</v>
      </c>
      <c r="C116" s="20">
        <f>IFERROR(__xludf.DUMMYFUNCTION("""COMPUTED_VALUE"""),665.9)</f>
        <v>665.9</v>
      </c>
      <c r="D116" s="21">
        <f>IFERROR(__xludf.DUMMYFUNCTION("""COMPUTED_VALUE"""),-0.2486320672672273)</f>
        <v>-0.2486320673</v>
      </c>
      <c r="E116" s="21">
        <f>IFERROR(__xludf.DUMMYFUNCTION("""COMPUTED_VALUE"""),-0.4988976337461375)</f>
        <v>-0.4988976337</v>
      </c>
      <c r="F116" s="21">
        <f>IFERROR(__xludf.DUMMYFUNCTION("""COMPUTED_VALUE"""),-0.7475297010133648)</f>
        <v>-0.747529701</v>
      </c>
      <c r="G116" s="23">
        <f>IFERROR(__xludf.DUMMYFUNCTION("""COMPUTED_VALUE"""),0.25434644656286776)</f>
        <v>0.2543464466</v>
      </c>
      <c r="H116" s="4"/>
      <c r="I116" s="5" t="s">
        <v>3118</v>
      </c>
      <c r="J116" s="5" t="s">
        <v>3023</v>
      </c>
      <c r="K116" s="5">
        <v>666.0</v>
      </c>
      <c r="L116" s="5">
        <v>-1.67378</v>
      </c>
      <c r="M116" s="5">
        <v>0.92625</v>
      </c>
      <c r="N116" s="5">
        <v>-0.74753</v>
      </c>
      <c r="O116" s="5">
        <v>0.254346</v>
      </c>
    </row>
    <row r="117">
      <c r="A117" s="12" t="str">
        <f>IFERROR(__xludf.DUMMYFUNCTION("""COMPUTED_VALUE"""),"Mardracus Wade")</f>
        <v>Mardracus Wade</v>
      </c>
      <c r="B117" s="13" t="str">
        <f>IFERROR(__xludf.DUMMYFUNCTION("""COMPUTED_VALUE"""),"NUE")</f>
        <v>NUE</v>
      </c>
      <c r="C117" s="14">
        <f>IFERROR(__xludf.DUMMYFUNCTION("""COMPUTED_VALUE"""),688.7)</f>
        <v>688.7</v>
      </c>
      <c r="D117" s="15">
        <f>IFERROR(__xludf.DUMMYFUNCTION("""COMPUTED_VALUE"""),0.5175763826540591)</f>
        <v>0.5175763827</v>
      </c>
      <c r="E117" s="15">
        <f>IFERROR(__xludf.DUMMYFUNCTION("""COMPUTED_VALUE"""),-1.2788813985530152)</f>
        <v>-1.278881399</v>
      </c>
      <c r="F117" s="15">
        <f>IFERROR(__xludf.DUMMYFUNCTION("""COMPUTED_VALUE"""),-0.761305015898956)</f>
        <v>-0.7613050159</v>
      </c>
      <c r="G117" s="17">
        <f>IFERROR(__xludf.DUMMYFUNCTION("""COMPUTED_VALUE"""),0.2601618941069042)</f>
        <v>0.2601618941</v>
      </c>
      <c r="H117" s="4"/>
      <c r="I117" s="5" t="s">
        <v>3119</v>
      </c>
      <c r="J117" s="5" t="s">
        <v>3023</v>
      </c>
      <c r="K117" s="5">
        <v>689.0</v>
      </c>
      <c r="L117" s="5">
        <v>-0.907571</v>
      </c>
      <c r="M117" s="5">
        <v>0.146266</v>
      </c>
      <c r="N117" s="5">
        <v>-0.761305</v>
      </c>
      <c r="O117" s="5">
        <v>0.260162</v>
      </c>
    </row>
    <row r="118">
      <c r="A118" s="18" t="str">
        <f>IFERROR(__xludf.DUMMYFUNCTION("""COMPUTED_VALUE"""),"Patrick Teka")</f>
        <v>Patrick Teka</v>
      </c>
      <c r="B118" s="19" t="str">
        <f>IFERROR(__xludf.DUMMYFUNCTION("""COMPUTED_VALUE"""),"PS")</f>
        <v>PS</v>
      </c>
      <c r="C118" s="20">
        <f>IFERROR(__xludf.DUMMYFUNCTION("""COMPUTED_VALUE"""),9.6)</f>
        <v>9.6</v>
      </c>
      <c r="D118" s="21">
        <f>IFERROR(__xludf.DUMMYFUNCTION("""COMPUTED_VALUE"""),-0.670557264994084)</f>
        <v>-0.670557265</v>
      </c>
      <c r="E118" s="21">
        <f>IFERROR(__xludf.DUMMYFUNCTION("""COMPUTED_VALUE"""),-0.15551685924814773)</f>
        <v>-0.1555168592</v>
      </c>
      <c r="F118" s="21">
        <f>IFERROR(__xludf.DUMMYFUNCTION("""COMPUTED_VALUE"""),-0.8260741242422317)</f>
        <v>-0.8260741242</v>
      </c>
      <c r="G118" s="23">
        <f>IFERROR(__xludf.DUMMYFUNCTION("""COMPUTED_VALUE"""),0.003435927043420488)</f>
        <v>0.003435927043</v>
      </c>
      <c r="H118" s="4"/>
      <c r="I118" s="5" t="s">
        <v>3120</v>
      </c>
      <c r="J118" s="5" t="s">
        <v>2975</v>
      </c>
      <c r="K118" s="24">
        <v>10.0</v>
      </c>
      <c r="L118" s="5">
        <v>-0.632427</v>
      </c>
      <c r="M118" s="5">
        <v>-0.193647</v>
      </c>
      <c r="N118" s="5">
        <v>-0.826074</v>
      </c>
      <c r="O118" s="5">
        <v>0.003436</v>
      </c>
    </row>
    <row r="119">
      <c r="A119" s="12" t="str">
        <f>IFERROR(__xludf.DUMMYFUNCTION("""COMPUTED_VALUE"""),"Greg Logins")</f>
        <v>Greg Logins</v>
      </c>
      <c r="B119" s="13" t="str">
        <f>IFERROR(__xludf.DUMMYFUNCTION("""COMPUTED_VALUE"""),"HAM")</f>
        <v>HAM</v>
      </c>
      <c r="C119" s="14">
        <f>IFERROR(__xludf.DUMMYFUNCTION("""COMPUTED_VALUE"""),666.5)</f>
        <v>666.5</v>
      </c>
      <c r="D119" s="15">
        <f>IFERROR(__xludf.DUMMYFUNCTION("""COMPUTED_VALUE"""),1.1013560110437404)</f>
        <v>1.101356011</v>
      </c>
      <c r="E119" s="15">
        <f>IFERROR(__xludf.DUMMYFUNCTION("""COMPUTED_VALUE"""),-1.9569016341394256)</f>
        <v>-1.956901634</v>
      </c>
      <c r="F119" s="15">
        <f>IFERROR(__xludf.DUMMYFUNCTION("""COMPUTED_VALUE"""),-0.8555456230956853)</f>
        <v>-0.8555456231</v>
      </c>
      <c r="G119" s="17">
        <f>IFERROR(__xludf.DUMMYFUNCTION("""COMPUTED_VALUE"""),0.24289370023642323)</f>
        <v>0.2428937002</v>
      </c>
      <c r="H119" s="4"/>
      <c r="I119" s="5" t="s">
        <v>3121</v>
      </c>
      <c r="J119" s="5" t="s">
        <v>3008</v>
      </c>
      <c r="K119" s="24">
        <v>667.0</v>
      </c>
      <c r="L119" s="5">
        <v>1.089572</v>
      </c>
      <c r="M119" s="5">
        <v>-1.945118</v>
      </c>
      <c r="N119" s="5">
        <v>-0.855546</v>
      </c>
      <c r="O119" s="5">
        <v>0.242894</v>
      </c>
    </row>
    <row r="120">
      <c r="A120" s="18" t="str">
        <f>IFERROR(__xludf.DUMMYFUNCTION("""COMPUTED_VALUE"""),"Van Girard")</f>
        <v>Van Girard</v>
      </c>
      <c r="B120" s="19" t="str">
        <f>IFERROR(__xludf.DUMMYFUNCTION("""COMPUTED_VALUE"""),"NUE")</f>
        <v>NUE</v>
      </c>
      <c r="C120" s="20">
        <f>IFERROR(__xludf.DUMMYFUNCTION("""COMPUTED_VALUE"""),257.4)</f>
        <v>257.4</v>
      </c>
      <c r="D120" s="21">
        <f>IFERROR(__xludf.DUMMYFUNCTION("""COMPUTED_VALUE"""),-0.9849723385371484)</f>
        <v>-0.9849723385</v>
      </c>
      <c r="E120" s="21">
        <f>IFERROR(__xludf.DUMMYFUNCTION("""COMPUTED_VALUE"""),0.10727885991405062)</f>
        <v>0.1072788599</v>
      </c>
      <c r="F120" s="21">
        <f>IFERROR(__xludf.DUMMYFUNCTION("""COMPUTED_VALUE"""),-0.8776934786230978)</f>
        <v>-0.8776934786</v>
      </c>
      <c r="G120" s="23">
        <f>IFERROR(__xludf.DUMMYFUNCTION("""COMPUTED_VALUE"""),0.08809864988243049)</f>
        <v>0.08809864988</v>
      </c>
      <c r="H120" s="4"/>
      <c r="I120" s="5" t="s">
        <v>3122</v>
      </c>
      <c r="J120" s="5" t="s">
        <v>3023</v>
      </c>
      <c r="K120" s="5">
        <v>257.0</v>
      </c>
      <c r="L120" s="5">
        <v>-2.207749</v>
      </c>
      <c r="M120" s="5">
        <v>1.330056</v>
      </c>
      <c r="N120" s="5">
        <v>-0.877693</v>
      </c>
      <c r="O120" s="5">
        <v>0.088099</v>
      </c>
    </row>
    <row r="121">
      <c r="A121" s="12" t="str">
        <f>IFERROR(__xludf.DUMMYFUNCTION("""COMPUTED_VALUE"""),"Devonte Brown")</f>
        <v>Devonte Brown</v>
      </c>
      <c r="B121" s="13" t="str">
        <f>IFERROR(__xludf.DUMMYFUNCTION("""COMPUTED_VALUE"""),"FIN")</f>
        <v>FIN</v>
      </c>
      <c r="C121" s="14">
        <f>IFERROR(__xludf.DUMMYFUNCTION("""COMPUTED_VALUE"""),891.8)</f>
        <v>891.8</v>
      </c>
      <c r="D121" s="15">
        <f>IFERROR(__xludf.DUMMYFUNCTION("""COMPUTED_VALUE"""),0.6187474135105757)</f>
        <v>0.6187474135</v>
      </c>
      <c r="E121" s="15">
        <f>IFERROR(__xludf.DUMMYFUNCTION("""COMPUTED_VALUE"""),-1.5060932437615178)</f>
        <v>-1.506093244</v>
      </c>
      <c r="F121" s="15">
        <f>IFERROR(__xludf.DUMMYFUNCTION("""COMPUTED_VALUE"""),-0.887345830250942)</f>
        <v>-0.8873458303</v>
      </c>
      <c r="G121" s="17">
        <f>IFERROR(__xludf.DUMMYFUNCTION("""COMPUTED_VALUE"""),0.3012745454708575)</f>
        <v>0.3012745455</v>
      </c>
      <c r="H121" s="4"/>
      <c r="I121" s="5" t="s">
        <v>3123</v>
      </c>
      <c r="J121" s="5" t="s">
        <v>3059</v>
      </c>
      <c r="K121" s="5">
        <v>892.0</v>
      </c>
      <c r="L121" s="5">
        <v>-1.913741</v>
      </c>
      <c r="M121" s="5">
        <v>1.026395</v>
      </c>
      <c r="N121" s="5">
        <v>-0.887346</v>
      </c>
      <c r="O121" s="5">
        <v>0.301275</v>
      </c>
    </row>
    <row r="122">
      <c r="A122" s="18" t="str">
        <f>IFERROR(__xludf.DUMMYFUNCTION("""COMPUTED_VALUE"""),"Kyle Dranginis")</f>
        <v>Kyle Dranginis</v>
      </c>
      <c r="B122" s="19" t="str">
        <f>IFERROR(__xludf.DUMMYFUNCTION("""COMPUTED_VALUE"""),"TRI")</f>
        <v>TRI</v>
      </c>
      <c r="C122" s="20">
        <f>IFERROR(__xludf.DUMMYFUNCTION("""COMPUTED_VALUE"""),926.7)</f>
        <v>926.7</v>
      </c>
      <c r="D122" s="21">
        <f>IFERROR(__xludf.DUMMYFUNCTION("""COMPUTED_VALUE"""),-1.359291677345413)</f>
        <v>-1.359291677</v>
      </c>
      <c r="E122" s="21">
        <f>IFERROR(__xludf.DUMMYFUNCTION("""COMPUTED_VALUE"""),0.46654225506787605)</f>
        <v>0.4665422551</v>
      </c>
      <c r="F122" s="21">
        <f>IFERROR(__xludf.DUMMYFUNCTION("""COMPUTED_VALUE"""),-0.8927494222775368)</f>
        <v>-0.8927494223</v>
      </c>
      <c r="G122" s="23">
        <f>IFERROR(__xludf.DUMMYFUNCTION("""COMPUTED_VALUE"""),0.31188041074670264)</f>
        <v>0.3118804107</v>
      </c>
      <c r="H122" s="4"/>
      <c r="I122" s="5" t="s">
        <v>3124</v>
      </c>
      <c r="J122" s="5" t="s">
        <v>2991</v>
      </c>
      <c r="K122" s="24">
        <v>927.0</v>
      </c>
      <c r="L122" s="5">
        <v>-0.35772</v>
      </c>
      <c r="M122" s="5">
        <v>-0.535029</v>
      </c>
      <c r="N122" s="5">
        <v>-0.892749</v>
      </c>
      <c r="O122" s="5">
        <v>0.31188</v>
      </c>
    </row>
    <row r="123">
      <c r="A123" s="12" t="str">
        <f>IFERROR(__xludf.DUMMYFUNCTION("""COMPUTED_VALUE"""),"Anthony Canty")</f>
        <v>Anthony Canty</v>
      </c>
      <c r="B123" s="13" t="str">
        <f>IFERROR(__xludf.DUMMYFUNCTION("""COMPUTED_VALUE"""),"HAM")</f>
        <v>HAM</v>
      </c>
      <c r="C123" s="14">
        <f>IFERROR(__xludf.DUMMYFUNCTION("""COMPUTED_VALUE"""),697.7)</f>
        <v>697.7</v>
      </c>
      <c r="D123" s="15">
        <f>IFERROR(__xludf.DUMMYFUNCTION("""COMPUTED_VALUE"""),1.6313808283815159)</f>
        <v>1.631380828</v>
      </c>
      <c r="E123" s="15">
        <f>IFERROR(__xludf.DUMMYFUNCTION("""COMPUTED_VALUE"""),-2.553638875589759)</f>
        <v>-2.553638876</v>
      </c>
      <c r="F123" s="15">
        <f>IFERROR(__xludf.DUMMYFUNCTION("""COMPUTED_VALUE"""),-0.9222580472082431)</f>
        <v>-0.9222580472</v>
      </c>
      <c r="G123" s="17">
        <f>IFERROR(__xludf.DUMMYFUNCTION("""COMPUTED_VALUE"""),0.23944243728664225)</f>
        <v>0.2394424373</v>
      </c>
      <c r="H123" s="4"/>
      <c r="I123" s="5" t="s">
        <v>3125</v>
      </c>
      <c r="J123" s="5" t="s">
        <v>3008</v>
      </c>
      <c r="K123" s="5">
        <v>698.0</v>
      </c>
      <c r="L123" s="5">
        <v>1.619597</v>
      </c>
      <c r="M123" s="5">
        <v>-2.541855</v>
      </c>
      <c r="N123" s="5">
        <v>-0.922258</v>
      </c>
      <c r="O123" s="5">
        <v>0.239442</v>
      </c>
    </row>
    <row r="124">
      <c r="A124" s="18" t="str">
        <f>IFERROR(__xludf.DUMMYFUNCTION("""COMPUTED_VALUE"""),"Edward Reisig")</f>
        <v>Edward Reisig</v>
      </c>
      <c r="B124" s="19" t="str">
        <f>IFERROR(__xludf.DUMMYFUNCTION("""COMPUTED_VALUE"""),"ORAN")</f>
        <v>ORAN</v>
      </c>
      <c r="C124" s="20">
        <f>IFERROR(__xludf.DUMMYFUNCTION("""COMPUTED_VALUE"""),14.7)</f>
        <v>14.7</v>
      </c>
      <c r="D124" s="21">
        <f>IFERROR(__xludf.DUMMYFUNCTION("""COMPUTED_VALUE"""),-0.6779874553456262)</f>
        <v>-0.6779874553</v>
      </c>
      <c r="E124" s="21">
        <f>IFERROR(__xludf.DUMMYFUNCTION("""COMPUTED_VALUE"""),-0.25504350684423616)</f>
        <v>-0.2550435068</v>
      </c>
      <c r="F124" s="21">
        <f>IFERROR(__xludf.DUMMYFUNCTION("""COMPUTED_VALUE"""),-0.9330309621898624)</f>
        <v>-0.9330309622</v>
      </c>
      <c r="G124" s="23">
        <f>IFERROR(__xludf.DUMMYFUNCTION("""COMPUTED_VALUE"""),0.00477131314930781)</f>
        <v>0.004771313149</v>
      </c>
      <c r="H124" s="4"/>
      <c r="I124" s="5" t="s">
        <v>3126</v>
      </c>
      <c r="J124" s="5" t="s">
        <v>3088</v>
      </c>
      <c r="K124" s="5">
        <v>15.0</v>
      </c>
      <c r="L124" s="5">
        <v>-0.753675</v>
      </c>
      <c r="M124" s="5">
        <v>-0.179356</v>
      </c>
      <c r="N124" s="5">
        <v>-0.933031</v>
      </c>
      <c r="O124" s="5">
        <v>0.004771</v>
      </c>
    </row>
    <row r="125">
      <c r="A125" s="12" t="str">
        <f>IFERROR(__xludf.DUMMYFUNCTION("""COMPUTED_VALUE"""),"Christian Fintel")</f>
        <v>Christian Fintel</v>
      </c>
      <c r="B125" s="13" t="str">
        <f>IFERROR(__xludf.DUMMYFUNCTION("""COMPUTED_VALUE"""),"HEBE")</f>
        <v>HEBE</v>
      </c>
      <c r="C125" s="14">
        <f>IFERROR(__xludf.DUMMYFUNCTION("""COMPUTED_VALUE"""),798.8)</f>
        <v>798.8</v>
      </c>
      <c r="D125" s="15">
        <f>IFERROR(__xludf.DUMMYFUNCTION("""COMPUTED_VALUE"""),0.7561177295339894)</f>
        <v>0.7561177295</v>
      </c>
      <c r="E125" s="15">
        <f>IFERROR(__xludf.DUMMYFUNCTION("""COMPUTED_VALUE"""),-1.741137167535793)</f>
        <v>-1.741137168</v>
      </c>
      <c r="F125" s="15">
        <f>IFERROR(__xludf.DUMMYFUNCTION("""COMPUTED_VALUE"""),-0.9850194380018036)</f>
        <v>-0.985019438</v>
      </c>
      <c r="G125" s="17">
        <f>IFERROR(__xludf.DUMMYFUNCTION("""COMPUTED_VALUE"""),0.24444782538839194)</f>
        <v>0.2444478254</v>
      </c>
      <c r="H125" s="4"/>
      <c r="I125" s="5" t="s">
        <v>3127</v>
      </c>
      <c r="J125" s="5" t="s">
        <v>3004</v>
      </c>
      <c r="K125" s="24">
        <v>799.0</v>
      </c>
      <c r="L125" s="5">
        <v>0.291093</v>
      </c>
      <c r="M125" s="5">
        <v>-1.276112</v>
      </c>
      <c r="N125" s="5">
        <v>-0.985019</v>
      </c>
      <c r="O125" s="5">
        <v>0.244448</v>
      </c>
    </row>
    <row r="126">
      <c r="A126" s="18" t="str">
        <f>IFERROR(__xludf.DUMMYFUNCTION("""COMPUTED_VALUE"""),"Jakob Schope")</f>
        <v>Jakob Schope</v>
      </c>
      <c r="B126" s="19" t="str">
        <f>IFERROR(__xludf.DUMMYFUNCTION("""COMPUTED_VALUE"""),"MLP")</f>
        <v>MLP</v>
      </c>
      <c r="C126" s="20">
        <f>IFERROR(__xludf.DUMMYFUNCTION("""COMPUTED_VALUE"""),20.4)</f>
        <v>20.4</v>
      </c>
      <c r="D126" s="21">
        <f>IFERROR(__xludf.DUMMYFUNCTION("""COMPUTED_VALUE"""),-0.614311611345678)</f>
        <v>-0.6143116113</v>
      </c>
      <c r="E126" s="21">
        <f>IFERROR(__xludf.DUMMYFUNCTION("""COMPUTED_VALUE"""),-0.3990452860539887)</f>
        <v>-0.3990452861</v>
      </c>
      <c r="F126" s="21">
        <f>IFERROR(__xludf.DUMMYFUNCTION("""COMPUTED_VALUE"""),-1.0133568973996667)</f>
        <v>-1.013356897</v>
      </c>
      <c r="G126" s="23">
        <f>IFERROR(__xludf.DUMMYFUNCTION("""COMPUTED_VALUE"""),0.006141767695532738)</f>
        <v>0.006141767696</v>
      </c>
      <c r="H126" s="4"/>
      <c r="I126" s="5" t="s">
        <v>3128</v>
      </c>
      <c r="J126" s="5" t="s">
        <v>2987</v>
      </c>
      <c r="K126" s="5">
        <v>20.0</v>
      </c>
      <c r="L126" s="5">
        <v>-0.560071</v>
      </c>
      <c r="M126" s="5">
        <v>-0.453285</v>
      </c>
      <c r="N126" s="5">
        <v>-1.013357</v>
      </c>
      <c r="O126" s="5">
        <v>0.006142</v>
      </c>
    </row>
    <row r="127">
      <c r="A127" s="12" t="str">
        <f>IFERROR(__xludf.DUMMYFUNCTION("""COMPUTED_VALUE"""),"Jelani Hewitt")</f>
        <v>Jelani Hewitt</v>
      </c>
      <c r="B127" s="13" t="str">
        <f>IFERROR(__xludf.DUMMYFUNCTION("""COMPUTED_VALUE"""),"MLP")</f>
        <v>MLP</v>
      </c>
      <c r="C127" s="14">
        <f>IFERROR(__xludf.DUMMYFUNCTION("""COMPUTED_VALUE"""),65.2)</f>
        <v>65.2</v>
      </c>
      <c r="D127" s="15">
        <f>IFERROR(__xludf.DUMMYFUNCTION("""COMPUTED_VALUE"""),-0.8997804171785349)</f>
        <v>-0.8997804172</v>
      </c>
      <c r="E127" s="15">
        <f>IFERROR(__xludf.DUMMYFUNCTION("""COMPUTED_VALUE"""),-0.1358790666758034)</f>
        <v>-0.1358790667</v>
      </c>
      <c r="F127" s="15">
        <f>IFERROR(__xludf.DUMMYFUNCTION("""COMPUTED_VALUE"""),-1.0356594838543383)</f>
        <v>-1.035659484</v>
      </c>
      <c r="G127" s="17">
        <f>IFERROR(__xludf.DUMMYFUNCTION("""COMPUTED_VALUE"""),0.019185854371060317)</f>
        <v>0.01918585437</v>
      </c>
      <c r="H127" s="4"/>
      <c r="I127" s="5" t="s">
        <v>3129</v>
      </c>
      <c r="J127" s="5" t="s">
        <v>2987</v>
      </c>
      <c r="K127" s="5">
        <v>65.0</v>
      </c>
      <c r="L127" s="5">
        <v>-0.726425</v>
      </c>
      <c r="M127" s="5">
        <v>-0.309235</v>
      </c>
      <c r="N127" s="5">
        <v>-1.035659</v>
      </c>
      <c r="O127" s="5">
        <v>0.019186</v>
      </c>
    </row>
    <row r="128">
      <c r="A128" s="18" t="str">
        <f>IFERROR(__xludf.DUMMYFUNCTION("""COMPUTED_VALUE"""),"Tim Kopple")</f>
        <v>Tim Kopple</v>
      </c>
      <c r="B128" s="19" t="str">
        <f>IFERROR(__xludf.DUMMYFUNCTION("""COMPUTED_VALUE"""),"ORAN")</f>
        <v>ORAN</v>
      </c>
      <c r="C128" s="20">
        <f>IFERROR(__xludf.DUMMYFUNCTION("""COMPUTED_VALUE"""),28.6)</f>
        <v>28.6</v>
      </c>
      <c r="D128" s="21">
        <f>IFERROR(__xludf.DUMMYFUNCTION("""COMPUTED_VALUE"""),-0.9459447899518966)</f>
        <v>-0.94594479</v>
      </c>
      <c r="E128" s="21">
        <f>IFERROR(__xludf.DUMMYFUNCTION("""COMPUTED_VALUE"""),-0.09570077869944449)</f>
        <v>-0.0957007787</v>
      </c>
      <c r="F128" s="21">
        <f>IFERROR(__xludf.DUMMYFUNCTION("""COMPUTED_VALUE"""),-1.041645568651341)</f>
        <v>-1.041645569</v>
      </c>
      <c r="G128" s="23">
        <f>IFERROR(__xludf.DUMMYFUNCTION("""COMPUTED_VALUE"""),0.008337982087476603)</f>
        <v>0.008337982087</v>
      </c>
      <c r="H128" s="4"/>
      <c r="I128" s="5" t="s">
        <v>3130</v>
      </c>
      <c r="J128" s="5" t="s">
        <v>3088</v>
      </c>
      <c r="K128" s="5">
        <v>29.0</v>
      </c>
      <c r="L128" s="5">
        <v>-1.093202</v>
      </c>
      <c r="M128" s="5">
        <v>0.051556</v>
      </c>
      <c r="N128" s="5">
        <v>-1.041646</v>
      </c>
      <c r="O128" s="5">
        <v>0.008338</v>
      </c>
    </row>
    <row r="129">
      <c r="A129" s="12" t="str">
        <f>IFERROR(__xludf.DUMMYFUNCTION("""COMPUTED_VALUE"""),"Adom Jacko")</f>
        <v>Adom Jacko</v>
      </c>
      <c r="B129" s="13" t="str">
        <f>IFERROR(__xludf.DUMMYFUNCTION("""COMPUTED_VALUE"""),"HEBE")</f>
        <v>HEBE</v>
      </c>
      <c r="C129" s="14">
        <f>IFERROR(__xludf.DUMMYFUNCTION("""COMPUTED_VALUE"""),108.5)</f>
        <v>108.5</v>
      </c>
      <c r="D129" s="15">
        <f>IFERROR(__xludf.DUMMYFUNCTION("""COMPUTED_VALUE"""),-1.2111466363116037)</f>
        <v>-1.211146636</v>
      </c>
      <c r="E129" s="15">
        <f>IFERROR(__xludf.DUMMYFUNCTION("""COMPUTED_VALUE"""),0.164102703625715)</f>
        <v>0.1641027036</v>
      </c>
      <c r="F129" s="15">
        <f>IFERROR(__xludf.DUMMYFUNCTION("""COMPUTED_VALUE"""),-1.0470439326858887)</f>
        <v>-1.047043933</v>
      </c>
      <c r="G129" s="17">
        <f>IFERROR(__xludf.DUMMYFUNCTION("""COMPUTED_VALUE"""),0.03117403469995582)</f>
        <v>0.0311740347</v>
      </c>
      <c r="H129" s="4"/>
      <c r="I129" s="5" t="s">
        <v>3131</v>
      </c>
      <c r="J129" s="5" t="s">
        <v>3004</v>
      </c>
      <c r="K129" s="5">
        <v>109.0</v>
      </c>
      <c r="L129" s="5">
        <v>-1.379331</v>
      </c>
      <c r="M129" s="5">
        <v>0.332287</v>
      </c>
      <c r="N129" s="5">
        <v>-1.047044</v>
      </c>
      <c r="O129" s="5">
        <v>0.031174</v>
      </c>
    </row>
    <row r="130">
      <c r="A130" s="18" t="str">
        <f>IFERROR(__xludf.DUMMYFUNCTION("""COMPUTED_VALUE"""),"Tre Burnette")</f>
        <v>Tre Burnette</v>
      </c>
      <c r="B130" s="19" t="str">
        <f>IFERROR(__xludf.DUMMYFUNCTION("""COMPUTED_VALUE"""),"VFL")</f>
        <v>VFL</v>
      </c>
      <c r="C130" s="20">
        <f>IFERROR(__xludf.DUMMYFUNCTION("""COMPUTED_VALUE"""),177.0)</f>
        <v>177</v>
      </c>
      <c r="D130" s="21">
        <f>IFERROR(__xludf.DUMMYFUNCTION("""COMPUTED_VALUE"""),-1.387727013606916)</f>
        <v>-1.387727014</v>
      </c>
      <c r="E130" s="21">
        <f>IFERROR(__xludf.DUMMYFUNCTION("""COMPUTED_VALUE"""),0.33947265901743706)</f>
        <v>0.339472659</v>
      </c>
      <c r="F130" s="21">
        <f>IFERROR(__xludf.DUMMYFUNCTION("""COMPUTED_VALUE"""),-1.048254354589479)</f>
        <v>-1.048254355</v>
      </c>
      <c r="G130" s="23">
        <f>IFERROR(__xludf.DUMMYFUNCTION("""COMPUTED_VALUE"""),0.05114888199199744)</f>
        <v>0.05114888199</v>
      </c>
      <c r="H130" s="4"/>
      <c r="I130" s="5" t="s">
        <v>3132</v>
      </c>
      <c r="J130" s="5" t="s">
        <v>2999</v>
      </c>
      <c r="K130" s="24">
        <v>177.0</v>
      </c>
      <c r="L130" s="5">
        <v>-1.181938</v>
      </c>
      <c r="M130" s="5">
        <v>0.133684</v>
      </c>
      <c r="N130" s="5">
        <v>-1.048254</v>
      </c>
      <c r="O130" s="5">
        <v>0.051149</v>
      </c>
    </row>
    <row r="131">
      <c r="A131" s="12" t="str">
        <f>IFERROR(__xludf.DUMMYFUNCTION("""COMPUTED_VALUE"""),"Jason George")</f>
        <v>Jason George</v>
      </c>
      <c r="B131" s="13" t="str">
        <f>IFERROR(__xludf.DUMMYFUNCTION("""COMPUTED_VALUE"""),"ORAN")</f>
        <v>ORAN</v>
      </c>
      <c r="C131" s="14">
        <f>IFERROR(__xludf.DUMMYFUNCTION("""COMPUTED_VALUE"""),92.2)</f>
        <v>92.2</v>
      </c>
      <c r="D131" s="15">
        <f>IFERROR(__xludf.DUMMYFUNCTION("""COMPUTED_VALUE"""),-0.24121606814801216)</f>
        <v>-0.2412160681</v>
      </c>
      <c r="E131" s="15">
        <f>IFERROR(__xludf.DUMMYFUNCTION("""COMPUTED_VALUE"""),-0.8219769282142828)</f>
        <v>-0.8219769282</v>
      </c>
      <c r="F131" s="15">
        <f>IFERROR(__xludf.DUMMYFUNCTION("""COMPUTED_VALUE"""),-1.063192996362295)</f>
        <v>-1.063192996</v>
      </c>
      <c r="G131" s="17">
        <f>IFERROR(__xludf.DUMMYFUNCTION("""COMPUTED_VALUE"""),0.02627542922858317)</f>
        <v>0.02627542923</v>
      </c>
      <c r="H131" s="4"/>
      <c r="I131" s="5" t="s">
        <v>3133</v>
      </c>
      <c r="J131" s="5" t="s">
        <v>3088</v>
      </c>
      <c r="K131" s="5">
        <v>92.0</v>
      </c>
      <c r="L131" s="5">
        <v>-0.715939</v>
      </c>
      <c r="M131" s="5">
        <v>-0.347254</v>
      </c>
      <c r="N131" s="5">
        <v>-1.063193</v>
      </c>
      <c r="O131" s="5">
        <v>0.026275</v>
      </c>
    </row>
    <row r="132">
      <c r="A132" s="18" t="str">
        <f>IFERROR(__xludf.DUMMYFUNCTION("""COMPUTED_VALUE"""),"Eric Palm")</f>
        <v>Eric Palm</v>
      </c>
      <c r="B132" s="19" t="str">
        <f>IFERROR(__xludf.DUMMYFUNCTION("""COMPUTED_VALUE"""),"MLP")</f>
        <v>MLP</v>
      </c>
      <c r="C132" s="20">
        <f>IFERROR(__xludf.DUMMYFUNCTION("""COMPUTED_VALUE"""),594.9)</f>
        <v>594.9</v>
      </c>
      <c r="D132" s="21">
        <f>IFERROR(__xludf.DUMMYFUNCTION("""COMPUTED_VALUE"""),0.2817120296069555)</f>
        <v>0.2817120296</v>
      </c>
      <c r="E132" s="21">
        <f>IFERROR(__xludf.DUMMYFUNCTION("""COMPUTED_VALUE"""),-1.3461978763105342)</f>
        <v>-1.346197876</v>
      </c>
      <c r="F132" s="21">
        <f>IFERROR(__xludf.DUMMYFUNCTION("""COMPUTED_VALUE"""),-1.0644858467035787)</f>
        <v>-1.064485847</v>
      </c>
      <c r="G132" s="23">
        <f>IFERROR(__xludf.DUMMYFUNCTION("""COMPUTED_VALUE"""),0.16982337412792337)</f>
        <v>0.1698233741</v>
      </c>
      <c r="H132" s="4"/>
      <c r="I132" s="5" t="s">
        <v>3134</v>
      </c>
      <c r="J132" s="5" t="s">
        <v>2987</v>
      </c>
      <c r="K132" s="5">
        <v>595.0</v>
      </c>
      <c r="L132" s="5">
        <v>1.079362</v>
      </c>
      <c r="M132" s="5">
        <v>-2.143848</v>
      </c>
      <c r="N132" s="5">
        <v>-1.064486</v>
      </c>
      <c r="O132" s="5">
        <v>0.169823</v>
      </c>
    </row>
    <row r="133">
      <c r="A133" s="12" t="str">
        <f>IFERROR(__xludf.DUMMYFUNCTION("""COMPUTED_VALUE"""),"Roland Nyama")</f>
        <v>Roland Nyama</v>
      </c>
      <c r="B133" s="13" t="str">
        <f>IFERROR(__xludf.DUMMYFUNCTION("""COMPUTED_VALUE"""),"PS")</f>
        <v>PS</v>
      </c>
      <c r="C133" s="14">
        <f>IFERROR(__xludf.DUMMYFUNCTION("""COMPUTED_VALUE"""),577.1)</f>
        <v>577.1</v>
      </c>
      <c r="D133" s="15">
        <f>IFERROR(__xludf.DUMMYFUNCTION("""COMPUTED_VALUE"""),-1.811408387145566)</f>
        <v>-1.811408387</v>
      </c>
      <c r="E133" s="15">
        <f>IFERROR(__xludf.DUMMYFUNCTION("""COMPUTED_VALUE"""),0.731292332646589)</f>
        <v>0.7312923326</v>
      </c>
      <c r="F133" s="15">
        <f>IFERROR(__xludf.DUMMYFUNCTION("""COMPUTED_VALUE"""),-1.080116054498977)</f>
        <v>-1.080116054</v>
      </c>
      <c r="G133" s="17">
        <f>IFERROR(__xludf.DUMMYFUNCTION("""COMPUTED_VALUE"""),0.16185128015160796)</f>
        <v>0.1618512802</v>
      </c>
      <c r="H133" s="4"/>
      <c r="I133" s="5" t="s">
        <v>3135</v>
      </c>
      <c r="J133" s="5" t="s">
        <v>2975</v>
      </c>
      <c r="K133" s="5">
        <v>577.0</v>
      </c>
      <c r="L133" s="5">
        <v>-0.619838</v>
      </c>
      <c r="M133" s="5">
        <v>-0.460278</v>
      </c>
      <c r="N133" s="5">
        <v>-1.080116</v>
      </c>
      <c r="O133" s="5">
        <v>0.161851</v>
      </c>
    </row>
    <row r="134">
      <c r="A134" s="18" t="str">
        <f>IFERROR(__xludf.DUMMYFUNCTION("""COMPUTED_VALUE"""),"Ben Gahlert")</f>
        <v>Ben Gahlert</v>
      </c>
      <c r="B134" s="19" t="str">
        <f>IFERROR(__xludf.DUMMYFUNCTION("""COMPUTED_VALUE"""),"NUE")</f>
        <v>NUE</v>
      </c>
      <c r="C134" s="20">
        <f>IFERROR(__xludf.DUMMYFUNCTION("""COMPUTED_VALUE"""),36.8)</f>
        <v>36.8</v>
      </c>
      <c r="D134" s="21">
        <f>IFERROR(__xludf.DUMMYFUNCTION("""COMPUTED_VALUE"""),-1.096861392987268)</f>
        <v>-1.096861393</v>
      </c>
      <c r="E134" s="21">
        <f>IFERROR(__xludf.DUMMYFUNCTION("""COMPUTED_VALUE"""),-0.020639088141905182)</f>
        <v>-0.02063908814</v>
      </c>
      <c r="F134" s="21">
        <f>IFERROR(__xludf.DUMMYFUNCTION("""COMPUTED_VALUE"""),-1.117500481129173)</f>
        <v>-1.117500481</v>
      </c>
      <c r="G134" s="23">
        <f>IFERROR(__xludf.DUMMYFUNCTION("""COMPUTED_VALUE"""),0.009904020253232247)</f>
        <v>0.009904020253</v>
      </c>
      <c r="H134" s="4"/>
      <c r="I134" s="5" t="s">
        <v>3136</v>
      </c>
      <c r="J134" s="5" t="s">
        <v>3023</v>
      </c>
      <c r="K134" s="24">
        <v>37.0</v>
      </c>
      <c r="L134" s="5">
        <v>-1.27168</v>
      </c>
      <c r="M134" s="5">
        <v>0.154179</v>
      </c>
      <c r="N134" s="5">
        <v>-1.1175</v>
      </c>
      <c r="O134" s="5">
        <v>0.009904</v>
      </c>
    </row>
    <row r="135">
      <c r="A135" s="12" t="str">
        <f>IFERROR(__xludf.DUMMYFUNCTION("""COMPUTED_VALUE"""),"Luc Van Slooten")</f>
        <v>Luc Van Slooten</v>
      </c>
      <c r="B135" s="13" t="str">
        <f>IFERROR(__xludf.DUMMYFUNCTION("""COMPUTED_VALUE"""),"RAS")</f>
        <v>RAS</v>
      </c>
      <c r="C135" s="14">
        <f>IFERROR(__xludf.DUMMYFUNCTION("""COMPUTED_VALUE"""),150.1)</f>
        <v>150.1</v>
      </c>
      <c r="D135" s="15">
        <f>IFERROR(__xludf.DUMMYFUNCTION("""COMPUTED_VALUE"""),-3.2463896875388065)</f>
        <v>-3.246389688</v>
      </c>
      <c r="E135" s="15">
        <f>IFERROR(__xludf.DUMMYFUNCTION("""COMPUTED_VALUE"""),2.125961179119841)</f>
        <v>2.125961179</v>
      </c>
      <c r="F135" s="15">
        <f>IFERROR(__xludf.DUMMYFUNCTION("""COMPUTED_VALUE"""),-1.1204285084189656)</f>
        <v>-1.120428508</v>
      </c>
      <c r="G135" s="17">
        <f>IFERROR(__xludf.DUMMYFUNCTION("""COMPUTED_VALUE"""),0.03990908093165733)</f>
        <v>0.03990908093</v>
      </c>
      <c r="H135" s="4"/>
      <c r="I135" s="5" t="s">
        <v>3137</v>
      </c>
      <c r="J135" s="5" t="s">
        <v>2953</v>
      </c>
      <c r="K135" s="5">
        <v>150.0</v>
      </c>
      <c r="L135" s="5">
        <v>-1.835152</v>
      </c>
      <c r="M135" s="5">
        <v>0.714724</v>
      </c>
      <c r="N135" s="5">
        <v>-1.120429</v>
      </c>
      <c r="O135" s="5">
        <v>0.039909</v>
      </c>
    </row>
    <row r="136">
      <c r="A136" s="18" t="str">
        <f>IFERROR(__xludf.DUMMYFUNCTION("""COMPUTED_VALUE"""),"Jonas Richter")</f>
        <v>Jonas Richter</v>
      </c>
      <c r="B136" s="19" t="str">
        <f>IFERROR(__xludf.DUMMYFUNCTION("""COMPUTED_VALUE"""),"BVC")</f>
        <v>BVC</v>
      </c>
      <c r="C136" s="20">
        <f>IFERROR(__xludf.DUMMYFUNCTION("""COMPUTED_VALUE"""),423.1)</f>
        <v>423.1</v>
      </c>
      <c r="D136" s="21">
        <f>IFERROR(__xludf.DUMMYFUNCTION("""COMPUTED_VALUE"""),-2.432048995335079)</f>
        <v>-2.432048995</v>
      </c>
      <c r="E136" s="21">
        <f>IFERROR(__xludf.DUMMYFUNCTION("""COMPUTED_VALUE"""),1.179564457913699)</f>
        <v>1.179564458</v>
      </c>
      <c r="F136" s="21">
        <f>IFERROR(__xludf.DUMMYFUNCTION("""COMPUTED_VALUE"""),-1.2524845374213798)</f>
        <v>-1.252484537</v>
      </c>
      <c r="G136" s="23">
        <f>IFERROR(__xludf.DUMMYFUNCTION("""COMPUTED_VALUE"""),0.09606309897870892)</f>
        <v>0.09606309898</v>
      </c>
      <c r="H136" s="4"/>
      <c r="I136" s="5" t="s">
        <v>3138</v>
      </c>
      <c r="J136" s="5" t="s">
        <v>2996</v>
      </c>
      <c r="K136" s="24">
        <v>423.0</v>
      </c>
      <c r="L136" s="5">
        <v>-2.508369</v>
      </c>
      <c r="M136" s="5">
        <v>1.255884</v>
      </c>
      <c r="N136" s="5">
        <v>-1.252485</v>
      </c>
      <c r="O136" s="5">
        <v>0.096063</v>
      </c>
    </row>
    <row r="137">
      <c r="A137" s="12" t="str">
        <f>IFERROR(__xludf.DUMMYFUNCTION("""COMPUTED_VALUE"""),"Rene Kindzeka")</f>
        <v>Rene Kindzeka</v>
      </c>
      <c r="B137" s="13" t="str">
        <f>IFERROR(__xludf.DUMMYFUNCTION("""COMPUTED_VALUE"""),"HAM")</f>
        <v>HAM</v>
      </c>
      <c r="C137" s="14">
        <f>IFERROR(__xludf.DUMMYFUNCTION("""COMPUTED_VALUE"""),409.6)</f>
        <v>409.6</v>
      </c>
      <c r="D137" s="15">
        <f>IFERROR(__xludf.DUMMYFUNCTION("""COMPUTED_VALUE"""),-0.07395233938795051)</f>
        <v>-0.07395233939</v>
      </c>
      <c r="E137" s="15">
        <f>IFERROR(__xludf.DUMMYFUNCTION("""COMPUTED_VALUE"""),-1.178657827832976)</f>
        <v>-1.178657828</v>
      </c>
      <c r="F137" s="15">
        <f>IFERROR(__xludf.DUMMYFUNCTION("""COMPUTED_VALUE"""),-1.2526101672209264)</f>
        <v>-1.252610167</v>
      </c>
      <c r="G137" s="17">
        <f>IFERROR(__xludf.DUMMYFUNCTION("""COMPUTED_VALUE"""),0.09748207080997016)</f>
        <v>0.09748207081</v>
      </c>
      <c r="H137" s="4"/>
      <c r="I137" s="5" t="s">
        <v>3139</v>
      </c>
      <c r="J137" s="5" t="s">
        <v>3008</v>
      </c>
      <c r="K137" s="5">
        <v>410.0</v>
      </c>
      <c r="L137" s="5">
        <v>-0.085736</v>
      </c>
      <c r="M137" s="5">
        <v>-1.166874</v>
      </c>
      <c r="N137" s="5">
        <v>-1.25261</v>
      </c>
      <c r="O137" s="5">
        <v>0.097482</v>
      </c>
    </row>
    <row r="138">
      <c r="A138" s="18" t="str">
        <f>IFERROR(__xludf.DUMMYFUNCTION("""COMPUTED_VALUE"""),"Nils Mittmann")</f>
        <v>Nils Mittmann</v>
      </c>
      <c r="B138" s="19" t="str">
        <f>IFERROR(__xludf.DUMMYFUNCTION("""COMPUTED_VALUE"""),"ORAN")</f>
        <v>ORAN</v>
      </c>
      <c r="C138" s="20">
        <f>IFERROR(__xludf.DUMMYFUNCTION("""COMPUTED_VALUE"""),805.0)</f>
        <v>805</v>
      </c>
      <c r="D138" s="21">
        <f>IFERROR(__xludf.DUMMYFUNCTION("""COMPUTED_VALUE"""),1.520222786758116)</f>
        <v>1.520222787</v>
      </c>
      <c r="E138" s="21">
        <f>IFERROR(__xludf.DUMMYFUNCTION("""COMPUTED_VALUE"""),-2.7817718465696784)</f>
        <v>-2.781771847</v>
      </c>
      <c r="F138" s="21">
        <f>IFERROR(__xludf.DUMMYFUNCTION("""COMPUTED_VALUE"""),-1.2615490598115624)</f>
        <v>-1.26154906</v>
      </c>
      <c r="G138" s="23">
        <f>IFERROR(__xludf.DUMMYFUNCTION("""COMPUTED_VALUE"""),0.18083658518436893)</f>
        <v>0.1808365852</v>
      </c>
      <c r="H138" s="4"/>
      <c r="I138" s="5" t="s">
        <v>3140</v>
      </c>
      <c r="J138" s="5" t="s">
        <v>3088</v>
      </c>
      <c r="K138" s="5">
        <v>805.0</v>
      </c>
      <c r="L138" s="5">
        <v>-0.024428</v>
      </c>
      <c r="M138" s="5">
        <v>-1.237121</v>
      </c>
      <c r="N138" s="5">
        <v>-1.261549</v>
      </c>
      <c r="O138" s="5">
        <v>0.180837</v>
      </c>
    </row>
    <row r="139">
      <c r="A139" s="12" t="str">
        <f>IFERROR(__xludf.DUMMYFUNCTION("""COMPUTED_VALUE"""),"William Darouiche")</f>
        <v>William Darouiche</v>
      </c>
      <c r="B139" s="13" t="str">
        <f>IFERROR(__xludf.DUMMYFUNCTION("""COMPUTED_VALUE"""),"VFL")</f>
        <v>VFL</v>
      </c>
      <c r="C139" s="14">
        <f>IFERROR(__xludf.DUMMYFUNCTION("""COMPUTED_VALUE"""),26.8)</f>
        <v>26.8</v>
      </c>
      <c r="D139" s="15">
        <f>IFERROR(__xludf.DUMMYFUNCTION("""COMPUTED_VALUE"""),-1.0227731784780314)</f>
        <v>-1.022773178</v>
      </c>
      <c r="E139" s="15">
        <f>IFERROR(__xludf.DUMMYFUNCTION("""COMPUTED_VALUE"""),-0.28703108518413445)</f>
        <v>-0.2870310852</v>
      </c>
      <c r="F139" s="15">
        <f>IFERROR(__xludf.DUMMYFUNCTION("""COMPUTED_VALUE"""),-1.3098042636621658)</f>
        <v>-1.309804264</v>
      </c>
      <c r="G139" s="17">
        <f>IFERROR(__xludf.DUMMYFUNCTION("""COMPUTED_VALUE"""),0.005616283818763354)</f>
        <v>0.005616283819</v>
      </c>
      <c r="H139" s="4"/>
      <c r="I139" s="5" t="s">
        <v>3141</v>
      </c>
      <c r="J139" s="5" t="s">
        <v>2999</v>
      </c>
      <c r="K139" s="5">
        <v>27.0</v>
      </c>
      <c r="L139" s="5">
        <v>-0.991614</v>
      </c>
      <c r="M139" s="5">
        <v>-0.31819</v>
      </c>
      <c r="N139" s="5">
        <v>-1.309804</v>
      </c>
      <c r="O139" s="5">
        <v>0.005616</v>
      </c>
    </row>
    <row r="140">
      <c r="A140" s="18" t="str">
        <f>IFERROR(__xludf.DUMMYFUNCTION("""COMPUTED_VALUE"""),"Manuel Feuerpfeil")</f>
        <v>Manuel Feuerpfeil</v>
      </c>
      <c r="B140" s="19" t="str">
        <f>IFERROR(__xludf.DUMMYFUNCTION("""COMPUTED_VALUE"""),"NUE")</f>
        <v>NUE</v>
      </c>
      <c r="C140" s="20">
        <f>IFERROR(__xludf.DUMMYFUNCTION("""COMPUTED_VALUE"""),54.7)</f>
        <v>54.7</v>
      </c>
      <c r="D140" s="21">
        <f>IFERROR(__xludf.DUMMYFUNCTION("""COMPUTED_VALUE"""),-0.6712738264574745)</f>
        <v>-0.6712738265</v>
      </c>
      <c r="E140" s="21">
        <f>IFERROR(__xludf.DUMMYFUNCTION("""COMPUTED_VALUE"""),-0.6490374499123299)</f>
        <v>-0.6490374499</v>
      </c>
      <c r="F140" s="21">
        <f>IFERROR(__xludf.DUMMYFUNCTION("""COMPUTED_VALUE"""),-1.3203112763698044)</f>
        <v>-1.320311276</v>
      </c>
      <c r="G140" s="23">
        <f>IFERROR(__xludf.DUMMYFUNCTION("""COMPUTED_VALUE"""),0.011338265308068496)</f>
        <v>0.01133826531</v>
      </c>
      <c r="H140" s="4"/>
      <c r="I140" s="5" t="s">
        <v>3142</v>
      </c>
      <c r="J140" s="5" t="s">
        <v>3023</v>
      </c>
      <c r="K140" s="5">
        <v>55.0</v>
      </c>
      <c r="L140" s="5">
        <v>-0.931126</v>
      </c>
      <c r="M140" s="5">
        <v>-0.389185</v>
      </c>
      <c r="N140" s="5">
        <v>-1.320311</v>
      </c>
      <c r="O140" s="5">
        <v>0.011338</v>
      </c>
    </row>
    <row r="141">
      <c r="A141" s="12" t="str">
        <f>IFERROR(__xludf.DUMMYFUNCTION("""COMPUTED_VALUE"""),"Derreck Brooks")</f>
        <v>Derreck Brooks</v>
      </c>
      <c r="B141" s="13" t="str">
        <f>IFERROR(__xludf.DUMMYFUNCTION("""COMPUTED_VALUE"""),"HAG")</f>
        <v>HAG</v>
      </c>
      <c r="C141" s="14">
        <f>IFERROR(__xludf.DUMMYFUNCTION("""COMPUTED_VALUE"""),875.7)</f>
        <v>875.7</v>
      </c>
      <c r="D141" s="15">
        <f>IFERROR(__xludf.DUMMYFUNCTION("""COMPUTED_VALUE"""),-1.576619828526935)</f>
        <v>-1.576619829</v>
      </c>
      <c r="E141" s="15">
        <f>IFERROR(__xludf.DUMMYFUNCTION("""COMPUTED_VALUE"""),0.22336314695483406)</f>
        <v>0.223363147</v>
      </c>
      <c r="F141" s="15">
        <f>IFERROR(__xludf.DUMMYFUNCTION("""COMPUTED_VALUE"""),-1.353256681572101)</f>
        <v>-1.353256682</v>
      </c>
      <c r="G141" s="17">
        <f>IFERROR(__xludf.DUMMYFUNCTION("""COMPUTED_VALUE"""),0.17136522109239033)</f>
        <v>0.1713652211</v>
      </c>
      <c r="H141" s="4"/>
      <c r="I141" s="5" t="s">
        <v>3143</v>
      </c>
      <c r="J141" s="5" t="s">
        <v>3006</v>
      </c>
      <c r="K141" s="5">
        <v>876.0</v>
      </c>
      <c r="L141" s="5">
        <v>-1.910758</v>
      </c>
      <c r="M141" s="5">
        <v>0.557501</v>
      </c>
      <c r="N141" s="5">
        <v>-1.353257</v>
      </c>
      <c r="O141" s="5">
        <v>0.171365</v>
      </c>
    </row>
    <row r="142">
      <c r="A142" s="18" t="str">
        <f>IFERROR(__xludf.DUMMYFUNCTION("""COMPUTED_VALUE"""),"Brian Wenzel")</f>
        <v>Brian Wenzel</v>
      </c>
      <c r="B142" s="19" t="str">
        <f>IFERROR(__xludf.DUMMYFUNCTION("""COMPUTED_VALUE"""),"VFL")</f>
        <v>VFL</v>
      </c>
      <c r="C142" s="20">
        <f>IFERROR(__xludf.DUMMYFUNCTION("""COMPUTED_VALUE"""),295.3)</f>
        <v>295.3</v>
      </c>
      <c r="D142" s="21">
        <f>IFERROR(__xludf.DUMMYFUNCTION("""COMPUTED_VALUE"""),-2.510785248046182)</f>
        <v>-2.510785248</v>
      </c>
      <c r="E142" s="21">
        <f>IFERROR(__xludf.DUMMYFUNCTION("""COMPUTED_VALUE"""),1.1505079561888643)</f>
        <v>1.150507956</v>
      </c>
      <c r="F142" s="21">
        <f>IFERROR(__xludf.DUMMYFUNCTION("""COMPUTED_VALUE"""),-1.3602772918573178)</f>
        <v>-1.360277292</v>
      </c>
      <c r="G142" s="23">
        <f>IFERROR(__xludf.DUMMYFUNCTION("""COMPUTED_VALUE"""),0.05735842197016613)</f>
        <v>0.05735842197</v>
      </c>
      <c r="H142" s="4"/>
      <c r="I142" s="5" t="s">
        <v>3144</v>
      </c>
      <c r="J142" s="5" t="s">
        <v>2999</v>
      </c>
      <c r="K142" s="24">
        <v>295.0</v>
      </c>
      <c r="L142" s="5">
        <v>-2.167456</v>
      </c>
      <c r="M142" s="5">
        <v>0.807178</v>
      </c>
      <c r="N142" s="5">
        <v>-1.360277</v>
      </c>
      <c r="O142" s="5">
        <v>0.057358</v>
      </c>
    </row>
    <row r="143">
      <c r="A143" s="12" t="str">
        <f>IFERROR(__xludf.DUMMYFUNCTION("""COMPUTED_VALUE"""),"David Kramer")</f>
        <v>David Kramer</v>
      </c>
      <c r="B143" s="13" t="str">
        <f>IFERROR(__xludf.DUMMYFUNCTION("""COMPUTED_VALUE"""),"ORAN")</f>
        <v>ORAN</v>
      </c>
      <c r="C143" s="14">
        <f>IFERROR(__xludf.DUMMYFUNCTION("""COMPUTED_VALUE"""),797.7)</f>
        <v>797.7</v>
      </c>
      <c r="D143" s="15">
        <f>IFERROR(__xludf.DUMMYFUNCTION("""COMPUTED_VALUE"""),2.620209631373279)</f>
        <v>2.620209631</v>
      </c>
      <c r="E143" s="15">
        <f>IFERROR(__xludf.DUMMYFUNCTION("""COMPUTED_VALUE"""),-4.023766932046401)</f>
        <v>-4.023766932</v>
      </c>
      <c r="F143" s="15">
        <f>IFERROR(__xludf.DUMMYFUNCTION("""COMPUTED_VALUE"""),-1.4035573006731226)</f>
        <v>-1.403557301</v>
      </c>
      <c r="G143" s="17">
        <f>IFERROR(__xludf.DUMMYFUNCTION("""COMPUTED_VALUE"""),0.14473617408195089)</f>
        <v>0.1447361741</v>
      </c>
      <c r="H143" s="4"/>
      <c r="I143" s="5" t="s">
        <v>1193</v>
      </c>
      <c r="J143" s="5" t="s">
        <v>3088</v>
      </c>
      <c r="K143" s="5">
        <v>798.0</v>
      </c>
      <c r="L143" s="5">
        <v>1.075558</v>
      </c>
      <c r="M143" s="5">
        <v>-2.479116</v>
      </c>
      <c r="N143" s="5">
        <v>-1.403557</v>
      </c>
      <c r="O143" s="5">
        <v>0.144736</v>
      </c>
    </row>
    <row r="144">
      <c r="A144" s="18" t="str">
        <f>IFERROR(__xludf.DUMMYFUNCTION("""COMPUTED_VALUE"""),"Brad Tinsley")</f>
        <v>Brad Tinsley</v>
      </c>
      <c r="B144" s="19" t="str">
        <f>IFERROR(__xludf.DUMMYFUNCTION("""COMPUTED_VALUE"""),"BVC")</f>
        <v>BVC</v>
      </c>
      <c r="C144" s="20">
        <f>IFERROR(__xludf.DUMMYFUNCTION("""COMPUTED_VALUE"""),657.5)</f>
        <v>657.5</v>
      </c>
      <c r="D144" s="21">
        <f>IFERROR(__xludf.DUMMYFUNCTION("""COMPUTED_VALUE"""),-1.0988191558109421)</f>
        <v>-1.098819156</v>
      </c>
      <c r="E144" s="21">
        <f>IFERROR(__xludf.DUMMYFUNCTION("""COMPUTED_VALUE"""),-0.3259292194074088)</f>
        <v>-0.3259292194</v>
      </c>
      <c r="F144" s="21">
        <f>IFERROR(__xludf.DUMMYFUNCTION("""COMPUTED_VALUE"""),-1.424748375218351)</f>
        <v>-1.424748375</v>
      </c>
      <c r="G144" s="23">
        <f>IFERROR(__xludf.DUMMYFUNCTION("""COMPUTED_VALUE"""),0.11488068011726993)</f>
        <v>0.1148806801</v>
      </c>
      <c r="H144" s="4"/>
      <c r="I144" s="5" t="s">
        <v>2624</v>
      </c>
      <c r="J144" s="5" t="s">
        <v>2996</v>
      </c>
      <c r="K144" s="5">
        <v>658.0</v>
      </c>
      <c r="L144" s="5">
        <v>-1.175139</v>
      </c>
      <c r="M144" s="5">
        <v>-0.249609</v>
      </c>
      <c r="N144" s="5">
        <v>-1.424748</v>
      </c>
      <c r="O144" s="5">
        <v>0.114881</v>
      </c>
    </row>
    <row r="145">
      <c r="A145" s="12" t="str">
        <f>IFERROR(__xludf.DUMMYFUNCTION("""COMPUTED_VALUE"""),"Besnik Bekteshi")</f>
        <v>Besnik Bekteshi</v>
      </c>
      <c r="B145" s="13" t="str">
        <f>IFERROR(__xludf.DUMMYFUNCTION("""COMPUTED_VALUE"""),"RHEI")</f>
        <v>RHEI</v>
      </c>
      <c r="C145" s="14">
        <f>IFERROR(__xludf.DUMMYFUNCTION("""COMPUTED_VALUE"""),759.0)</f>
        <v>759</v>
      </c>
      <c r="D145" s="15">
        <f>IFERROR(__xludf.DUMMYFUNCTION("""COMPUTED_VALUE"""),0.7193371136999804)</f>
        <v>0.7193371137</v>
      </c>
      <c r="E145" s="15">
        <f>IFERROR(__xludf.DUMMYFUNCTION("""COMPUTED_VALUE"""),-2.155215755726223)</f>
        <v>-2.155215756</v>
      </c>
      <c r="F145" s="15">
        <f>IFERROR(__xludf.DUMMYFUNCTION("""COMPUTED_VALUE"""),-1.4358786420262426)</f>
        <v>-1.435878642</v>
      </c>
      <c r="G145" s="17">
        <f>IFERROR(__xludf.DUMMYFUNCTION("""COMPUTED_VALUE"""),0.13007787295494744)</f>
        <v>0.130077873</v>
      </c>
      <c r="H145" s="4"/>
      <c r="I145" s="5" t="s">
        <v>3145</v>
      </c>
      <c r="J145" s="5" t="s">
        <v>2972</v>
      </c>
      <c r="K145" s="5">
        <v>759.0</v>
      </c>
      <c r="L145" s="5">
        <v>-0.685928</v>
      </c>
      <c r="M145" s="5">
        <v>-0.749951</v>
      </c>
      <c r="N145" s="5">
        <v>-1.435879</v>
      </c>
      <c r="O145" s="5">
        <v>0.130078</v>
      </c>
    </row>
    <row r="146">
      <c r="A146" s="18" t="str">
        <f>IFERROR(__xludf.DUMMYFUNCTION("""COMPUTED_VALUE"""),"Zachary Ensminger")</f>
        <v>Zachary Ensminger</v>
      </c>
      <c r="B146" s="19" t="str">
        <f>IFERROR(__xludf.DUMMYFUNCTION("""COMPUTED_VALUE"""),"ORAN")</f>
        <v>ORAN</v>
      </c>
      <c r="C146" s="20">
        <f>IFERROR(__xludf.DUMMYFUNCTION("""COMPUTED_VALUE"""),58.0)</f>
        <v>58</v>
      </c>
      <c r="D146" s="21">
        <f>IFERROR(__xludf.DUMMYFUNCTION("""COMPUTED_VALUE"""),-0.7939734939361338)</f>
        <v>-0.7939734939</v>
      </c>
      <c r="E146" s="21">
        <f>IFERROR(__xludf.DUMMYFUNCTION("""COMPUTED_VALUE"""),-0.6948332263484438)</f>
        <v>-0.6948332263</v>
      </c>
      <c r="F146" s="21">
        <f>IFERROR(__xludf.DUMMYFUNCTION("""COMPUTED_VALUE"""),-1.4888067202845776)</f>
        <v>-1.48880672</v>
      </c>
      <c r="G146" s="23">
        <f>IFERROR(__xludf.DUMMYFUNCTION("""COMPUTED_VALUE"""),0.009019488283230915)</f>
        <v>0.009019488283</v>
      </c>
      <c r="H146" s="4"/>
      <c r="I146" s="5" t="s">
        <v>3146</v>
      </c>
      <c r="J146" s="5" t="s">
        <v>3088</v>
      </c>
      <c r="K146" s="5">
        <v>58.0</v>
      </c>
      <c r="L146" s="5">
        <v>-1.092606</v>
      </c>
      <c r="M146" s="5">
        <v>-0.396201</v>
      </c>
      <c r="N146" s="5">
        <v>-1.488807</v>
      </c>
      <c r="O146" s="5">
        <v>0.009019</v>
      </c>
    </row>
    <row r="147">
      <c r="A147" s="12" t="str">
        <f>IFERROR(__xludf.DUMMYFUNCTION("""COMPUTED_VALUE"""),"James Reid")</f>
        <v>James Reid</v>
      </c>
      <c r="B147" s="13" t="str">
        <f>IFERROR(__xludf.DUMMYFUNCTION("""COMPUTED_VALUE"""),"HAG")</f>
        <v>HAG</v>
      </c>
      <c r="C147" s="14">
        <f>IFERROR(__xludf.DUMMYFUNCTION("""COMPUTED_VALUE"""),448.1)</f>
        <v>448.1</v>
      </c>
      <c r="D147" s="15">
        <f>IFERROR(__xludf.DUMMYFUNCTION("""COMPUTED_VALUE"""),1.3939510878569596)</f>
        <v>1.393951088</v>
      </c>
      <c r="E147" s="15">
        <f>IFERROR(__xludf.DUMMYFUNCTION("""COMPUTED_VALUE"""),-2.8911398242422477)</f>
        <v>-2.891139824</v>
      </c>
      <c r="F147" s="15">
        <f>IFERROR(__xludf.DUMMYFUNCTION("""COMPUTED_VALUE"""),-1.4971887363852883)</f>
        <v>-1.497188736</v>
      </c>
      <c r="G147" s="17">
        <f>IFERROR(__xludf.DUMMYFUNCTION("""COMPUTED_VALUE"""),0.0681734585503923)</f>
        <v>0.06817345855</v>
      </c>
      <c r="H147" s="4"/>
      <c r="I147" s="5" t="s">
        <v>3147</v>
      </c>
      <c r="J147" s="5" t="s">
        <v>3006</v>
      </c>
      <c r="K147" s="5">
        <v>448.0</v>
      </c>
      <c r="L147" s="5">
        <v>1.059813</v>
      </c>
      <c r="M147" s="5">
        <v>-2.557002</v>
      </c>
      <c r="N147" s="5">
        <v>-1.497189</v>
      </c>
      <c r="O147" s="5">
        <v>0.068173</v>
      </c>
    </row>
    <row r="148">
      <c r="A148" s="18" t="str">
        <f>IFERROR(__xludf.DUMMYFUNCTION("""COMPUTED_VALUE"""),"Franklyn Aunitz")</f>
        <v>Franklyn Aunitz</v>
      </c>
      <c r="B148" s="19" t="str">
        <f>IFERROR(__xludf.DUMMYFUNCTION("""COMPUTED_VALUE"""),"URS")</f>
        <v>URS</v>
      </c>
      <c r="C148" s="20">
        <f>IFERROR(__xludf.DUMMYFUNCTION("""COMPUTED_VALUE"""),41.5)</f>
        <v>41.5</v>
      </c>
      <c r="D148" s="21">
        <f>IFERROR(__xludf.DUMMYFUNCTION("""COMPUTED_VALUE"""),-1.0166601980225543)</f>
        <v>-1.016660198</v>
      </c>
      <c r="E148" s="21">
        <f>IFERROR(__xludf.DUMMYFUNCTION("""COMPUTED_VALUE"""),-0.5089964448538618)</f>
        <v>-0.5089964449</v>
      </c>
      <c r="F148" s="21">
        <f>IFERROR(__xludf.DUMMYFUNCTION("""COMPUTED_VALUE"""),-1.525656642876416)</f>
        <v>-1.525656643</v>
      </c>
      <c r="G148" s="23">
        <f>IFERROR(__xludf.DUMMYFUNCTION("""COMPUTED_VALUE"""),0.005951902020757388)</f>
        <v>0.005951902021</v>
      </c>
      <c r="H148" s="4"/>
      <c r="I148" s="5" t="s">
        <v>3148</v>
      </c>
      <c r="J148" s="5" t="s">
        <v>3036</v>
      </c>
      <c r="K148" s="5">
        <v>42.0</v>
      </c>
      <c r="L148" s="5">
        <v>-1.101118</v>
      </c>
      <c r="M148" s="5">
        <v>-0.424538</v>
      </c>
      <c r="N148" s="5">
        <v>-1.525657</v>
      </c>
      <c r="O148" s="5">
        <v>0.005952</v>
      </c>
    </row>
    <row r="149">
      <c r="A149" s="12" t="str">
        <f>IFERROR(__xludf.DUMMYFUNCTION("""COMPUTED_VALUE"""),"Luka Buntic")</f>
        <v>Luka Buntic</v>
      </c>
      <c r="B149" s="13" t="str">
        <f>IFERROR(__xludf.DUMMYFUNCTION("""COMPUTED_VALUE"""),"TRI")</f>
        <v>TRI</v>
      </c>
      <c r="C149" s="14">
        <f>IFERROR(__xludf.DUMMYFUNCTION("""COMPUTED_VALUE"""),130.7)</f>
        <v>130.7</v>
      </c>
      <c r="D149" s="15">
        <f>IFERROR(__xludf.DUMMYFUNCTION("""COMPUTED_VALUE"""),-1.2242608999705085)</f>
        <v>-1.2242609</v>
      </c>
      <c r="E149" s="15">
        <f>IFERROR(__xludf.DUMMYFUNCTION("""COMPUTED_VALUE"""),-0.3197970158988983)</f>
        <v>-0.3197970159</v>
      </c>
      <c r="F149" s="15">
        <f>IFERROR(__xludf.DUMMYFUNCTION("""COMPUTED_VALUE"""),-1.5440579158694068)</f>
        <v>-1.544057916</v>
      </c>
      <c r="G149" s="17">
        <f>IFERROR(__xludf.DUMMYFUNCTION("""COMPUTED_VALUE"""),0.018112912394255366)</f>
        <v>0.01811291239</v>
      </c>
      <c r="H149" s="4"/>
      <c r="I149" s="5" t="s">
        <v>3149</v>
      </c>
      <c r="J149" s="5" t="s">
        <v>2991</v>
      </c>
      <c r="K149" s="24">
        <v>131.0</v>
      </c>
      <c r="L149" s="5">
        <v>-0.78791</v>
      </c>
      <c r="M149" s="5">
        <v>-0.756148</v>
      </c>
      <c r="N149" s="5">
        <v>-1.544058</v>
      </c>
      <c r="O149" s="5">
        <v>0.018113</v>
      </c>
    </row>
    <row r="150">
      <c r="A150" s="18" t="str">
        <f>IFERROR(__xludf.DUMMYFUNCTION("""COMPUTED_VALUE"""),"Levi Giese")</f>
        <v>Levi Giese</v>
      </c>
      <c r="B150" s="19" t="str">
        <f>IFERROR(__xludf.DUMMYFUNCTION("""COMPUTED_VALUE"""),"VFL")</f>
        <v>VFL</v>
      </c>
      <c r="C150" s="20">
        <f>IFERROR(__xludf.DUMMYFUNCTION("""COMPUTED_VALUE"""),38.6)</f>
        <v>38.6</v>
      </c>
      <c r="D150" s="21">
        <f>IFERROR(__xludf.DUMMYFUNCTION("""COMPUTED_VALUE"""),-0.94064575081081)</f>
        <v>-0.9406457508</v>
      </c>
      <c r="E150" s="21">
        <f>IFERROR(__xludf.DUMMYFUNCTION("""COMPUTED_VALUE"""),-0.6665268435453554)</f>
        <v>-0.6665268435</v>
      </c>
      <c r="F150" s="21">
        <f>IFERROR(__xludf.DUMMYFUNCTION("""COMPUTED_VALUE"""),-1.6071725943561654)</f>
        <v>-1.607172594</v>
      </c>
      <c r="G150" s="23">
        <f>IFERROR(__xludf.DUMMYFUNCTION("""COMPUTED_VALUE"""),0.0046039549356729475)</f>
        <v>0.004603954936</v>
      </c>
      <c r="H150" s="4"/>
      <c r="I150" s="5" t="s">
        <v>3150</v>
      </c>
      <c r="J150" s="5" t="s">
        <v>2999</v>
      </c>
      <c r="K150" s="24">
        <v>39.0</v>
      </c>
      <c r="L150" s="5">
        <v>-0.895768</v>
      </c>
      <c r="M150" s="5">
        <v>-0.711405</v>
      </c>
      <c r="N150" s="5">
        <v>-1.607173</v>
      </c>
      <c r="O150" s="5">
        <v>0.004604</v>
      </c>
    </row>
    <row r="151">
      <c r="A151" s="12" t="str">
        <f>IFERROR(__xludf.DUMMYFUNCTION("""COMPUTED_VALUE"""),"Nicholas Tischler")</f>
        <v>Nicholas Tischler</v>
      </c>
      <c r="B151" s="13" t="str">
        <f>IFERROR(__xludf.DUMMYFUNCTION("""COMPUTED_VALUE"""),"BYP")</f>
        <v>BYP</v>
      </c>
      <c r="C151" s="14">
        <f>IFERROR(__xludf.DUMMYFUNCTION("""COMPUTED_VALUE"""),47.1)</f>
        <v>47.1</v>
      </c>
      <c r="D151" s="15">
        <f>IFERROR(__xludf.DUMMYFUNCTION("""COMPUTED_VALUE"""),-1.0512653225294342)</f>
        <v>-1.051265323</v>
      </c>
      <c r="E151" s="15">
        <f>IFERROR(__xludf.DUMMYFUNCTION("""COMPUTED_VALUE"""),-0.6359455086640249)</f>
        <v>-0.6359455087</v>
      </c>
      <c r="F151" s="15">
        <f>IFERROR(__xludf.DUMMYFUNCTION("""COMPUTED_VALUE"""),-1.687210831193459)</f>
        <v>-1.687210831</v>
      </c>
      <c r="G151" s="17">
        <f>IFERROR(__xludf.DUMMYFUNCTION("""COMPUTED_VALUE"""),0.004461756766299322)</f>
        <v>0.004461756766</v>
      </c>
      <c r="H151" s="4"/>
      <c r="I151" s="5" t="s">
        <v>3151</v>
      </c>
      <c r="J151" s="5" t="s">
        <v>2983</v>
      </c>
      <c r="K151" s="24">
        <v>47.0</v>
      </c>
      <c r="L151" s="5">
        <v>-1.220445</v>
      </c>
      <c r="M151" s="5">
        <v>-0.466766</v>
      </c>
      <c r="N151" s="5">
        <v>-1.687211</v>
      </c>
      <c r="O151" s="5">
        <v>0.004462</v>
      </c>
    </row>
    <row r="152">
      <c r="A152" s="18" t="str">
        <f>IFERROR(__xludf.DUMMYFUNCTION("""COMPUTED_VALUE"""),"Hugh Robertson")</f>
        <v>Hugh Robertson</v>
      </c>
      <c r="B152" s="19" t="str">
        <f>IFERROR(__xludf.DUMMYFUNCTION("""COMPUTED_VALUE"""),"BVC")</f>
        <v>BVC</v>
      </c>
      <c r="C152" s="20">
        <f>IFERROR(__xludf.DUMMYFUNCTION("""COMPUTED_VALUE"""),190.9)</f>
        <v>190.9</v>
      </c>
      <c r="D152" s="21">
        <f>IFERROR(__xludf.DUMMYFUNCTION("""COMPUTED_VALUE"""),-1.3326932434434806)</f>
        <v>-1.332693243</v>
      </c>
      <c r="E152" s="21">
        <f>IFERROR(__xludf.DUMMYFUNCTION("""COMPUTED_VALUE"""),-0.39862681877901274)</f>
        <v>-0.3986268188</v>
      </c>
      <c r="F152" s="21">
        <f>IFERROR(__xludf.DUMMYFUNCTION("""COMPUTED_VALUE"""),-1.7313200622224934)</f>
        <v>-1.731320062</v>
      </c>
      <c r="G152" s="23">
        <f>IFERROR(__xludf.DUMMYFUNCTION("""COMPUTED_VALUE"""),0.015578819815805393)</f>
        <v>0.01557881982</v>
      </c>
      <c r="H152" s="4"/>
      <c r="I152" s="5" t="s">
        <v>691</v>
      </c>
      <c r="J152" s="5" t="s">
        <v>2996</v>
      </c>
      <c r="K152" s="5">
        <v>191.0</v>
      </c>
      <c r="L152" s="5">
        <v>-1.381258</v>
      </c>
      <c r="M152" s="5">
        <v>-0.350062</v>
      </c>
      <c r="N152" s="5">
        <v>-1.73132</v>
      </c>
      <c r="O152" s="5">
        <v>0.015579</v>
      </c>
    </row>
    <row r="153">
      <c r="A153" s="12" t="str">
        <f>IFERROR(__xludf.DUMMYFUNCTION("""COMPUTED_VALUE"""),"Stefan Schmidt")</f>
        <v>Stefan Schmidt</v>
      </c>
      <c r="B153" s="13" t="str">
        <f>IFERROR(__xludf.DUMMYFUNCTION("""COMPUTED_VALUE"""),"HAM")</f>
        <v>HAM</v>
      </c>
      <c r="C153" s="14">
        <f>IFERROR(__xludf.DUMMYFUNCTION("""COMPUTED_VALUE"""),333.2)</f>
        <v>333.2</v>
      </c>
      <c r="D153" s="15">
        <f>IFERROR(__xludf.DUMMYFUNCTION("""COMPUTED_VALUE"""),-1.2236459056394338)</f>
        <v>-1.223645906</v>
      </c>
      <c r="E153" s="15">
        <f>IFERROR(__xludf.DUMMYFUNCTION("""COMPUTED_VALUE"""),-0.5152804339004258)</f>
        <v>-0.5152804339</v>
      </c>
      <c r="F153" s="15">
        <f>IFERROR(__xludf.DUMMYFUNCTION("""COMPUTED_VALUE"""),-1.7389263395398595)</f>
        <v>-1.73892634</v>
      </c>
      <c r="G153" s="17">
        <f>IFERROR(__xludf.DUMMYFUNCTION("""COMPUTED_VALUE"""),0.027700375983633875)</f>
        <v>0.02770037598</v>
      </c>
      <c r="H153" s="4"/>
      <c r="I153" s="5" t="s">
        <v>3152</v>
      </c>
      <c r="J153" s="5" t="s">
        <v>3008</v>
      </c>
      <c r="K153" s="24">
        <v>333.0</v>
      </c>
      <c r="L153" s="5">
        <v>-1.23543</v>
      </c>
      <c r="M153" s="5">
        <v>-0.503497</v>
      </c>
      <c r="N153" s="5">
        <v>-1.738926</v>
      </c>
      <c r="O153" s="5">
        <v>0.0277</v>
      </c>
    </row>
    <row r="154">
      <c r="A154" s="18" t="str">
        <f>IFERROR(__xludf.DUMMYFUNCTION("""COMPUTED_VALUE"""),"Chris Fowler")</f>
        <v>Chris Fowler</v>
      </c>
      <c r="B154" s="19" t="str">
        <f>IFERROR(__xludf.DUMMYFUNCTION("""COMPUTED_VALUE"""),"BYP")</f>
        <v>BYP</v>
      </c>
      <c r="C154" s="20">
        <f>IFERROR(__xludf.DUMMYFUNCTION("""COMPUTED_VALUE"""),750.6)</f>
        <v>750.6</v>
      </c>
      <c r="D154" s="21">
        <f>IFERROR(__xludf.DUMMYFUNCTION("""COMPUTED_VALUE"""),0.5986633585096531)</f>
        <v>0.5986633585</v>
      </c>
      <c r="E154" s="21">
        <f>IFERROR(__xludf.DUMMYFUNCTION("""COMPUTED_VALUE"""),-2.378753019920153)</f>
        <v>-2.37875302</v>
      </c>
      <c r="F154" s="21">
        <f>IFERROR(__xludf.DUMMYFUNCTION("""COMPUTED_VALUE"""),-1.7800896614105)</f>
        <v>-1.780089661</v>
      </c>
      <c r="G154" s="23">
        <f>IFERROR(__xludf.DUMMYFUNCTION("""COMPUTED_VALUE"""),0.049990500524324646)</f>
        <v>0.04999050052</v>
      </c>
      <c r="H154" s="4"/>
      <c r="I154" s="5" t="s">
        <v>3153</v>
      </c>
      <c r="J154" s="5" t="s">
        <v>2983</v>
      </c>
      <c r="K154" s="5">
        <v>751.0</v>
      </c>
      <c r="L154" s="5">
        <v>-0.478916</v>
      </c>
      <c r="M154" s="5">
        <v>-1.301174</v>
      </c>
      <c r="N154" s="5">
        <v>-1.78009</v>
      </c>
      <c r="O154" s="5">
        <v>0.049991</v>
      </c>
    </row>
    <row r="155">
      <c r="A155" s="12" t="str">
        <f>IFERROR(__xludf.DUMMYFUNCTION("""COMPUTED_VALUE"""),"Till Pape")</f>
        <v>Till Pape</v>
      </c>
      <c r="B155" s="13" t="str">
        <f>IFERROR(__xludf.DUMMYFUNCTION("""COMPUTED_VALUE"""),"ORAN")</f>
        <v>ORAN</v>
      </c>
      <c r="C155" s="14">
        <f>IFERROR(__xludf.DUMMYFUNCTION("""COMPUTED_VALUE"""),575.8)</f>
        <v>575.8</v>
      </c>
      <c r="D155" s="15">
        <f>IFERROR(__xludf.DUMMYFUNCTION("""COMPUTED_VALUE"""),1.469673093870756)</f>
        <v>1.469673094</v>
      </c>
      <c r="E155" s="15">
        <f>IFERROR(__xludf.DUMMYFUNCTION("""COMPUTED_VALUE"""),-3.2740145998256533)</f>
        <v>-3.2740146</v>
      </c>
      <c r="F155" s="15">
        <f>IFERROR(__xludf.DUMMYFUNCTION("""COMPUTED_VALUE"""),-1.8043415059548975)</f>
        <v>-1.804341506</v>
      </c>
      <c r="G155" s="17">
        <f>IFERROR(__xludf.DUMMYFUNCTION("""COMPUTED_VALUE"""),0.0342719753175491)</f>
        <v>0.03427197532</v>
      </c>
      <c r="H155" s="4"/>
      <c r="I155" s="5" t="s">
        <v>836</v>
      </c>
      <c r="J155" s="5" t="s">
        <v>3088</v>
      </c>
      <c r="K155" s="5">
        <v>576.0</v>
      </c>
      <c r="L155" s="5">
        <v>-0.074978</v>
      </c>
      <c r="M155" s="5">
        <v>-1.729363</v>
      </c>
      <c r="N155" s="5">
        <v>-1.804342</v>
      </c>
      <c r="O155" s="5">
        <v>0.034272</v>
      </c>
    </row>
    <row r="156">
      <c r="A156" s="18" t="str">
        <f>IFERROR(__xludf.DUMMYFUNCTION("""COMPUTED_VALUE"""),"Michael Jost")</f>
        <v>Michael Jost</v>
      </c>
      <c r="B156" s="19" t="str">
        <f>IFERROR(__xludf.DUMMYFUNCTION("""COMPUTED_VALUE"""),"CRA")</f>
        <v>CRA</v>
      </c>
      <c r="C156" s="20">
        <f>IFERROR(__xludf.DUMMYFUNCTION("""COMPUTED_VALUE"""),488.7)</f>
        <v>488.7</v>
      </c>
      <c r="D156" s="21">
        <f>IFERROR(__xludf.DUMMYFUNCTION("""COMPUTED_VALUE"""),-5.025596027538146)</f>
        <v>-5.025596028</v>
      </c>
      <c r="E156" s="21">
        <f>IFERROR(__xludf.DUMMYFUNCTION("""COMPUTED_VALUE"""),3.2058470461428614)</f>
        <v>3.205847046</v>
      </c>
      <c r="F156" s="21">
        <f>IFERROR(__xludf.DUMMYFUNCTION("""COMPUTED_VALUE"""),-1.8197489813952847)</f>
        <v>-1.819748981</v>
      </c>
      <c r="G156" s="23">
        <f>IFERROR(__xludf.DUMMYFUNCTION("""COMPUTED_VALUE"""),0.02677255264404946)</f>
        <v>0.02677255264</v>
      </c>
      <c r="H156" s="4"/>
      <c r="I156" s="5" t="s">
        <v>3154</v>
      </c>
      <c r="J156" s="5" t="s">
        <v>2957</v>
      </c>
      <c r="K156" s="5">
        <v>489.0</v>
      </c>
      <c r="L156" s="5">
        <v>-1.702837</v>
      </c>
      <c r="M156" s="5">
        <v>-0.116912</v>
      </c>
      <c r="N156" s="5">
        <v>-1.819749</v>
      </c>
      <c r="O156" s="5">
        <v>0.026773</v>
      </c>
    </row>
    <row r="157">
      <c r="A157" s="12" t="str">
        <f>IFERROR(__xludf.DUMMYFUNCTION("""COMPUTED_VALUE"""),"Christopher Razis")</f>
        <v>Christopher Razis</v>
      </c>
      <c r="B157" s="13" t="str">
        <f>IFERROR(__xludf.DUMMYFUNCTION("""COMPUTED_VALUE"""),"RAS")</f>
        <v>RAS</v>
      </c>
      <c r="C157" s="14">
        <f>IFERROR(__xludf.DUMMYFUNCTION("""COMPUTED_VALUE"""),492.3)</f>
        <v>492.3</v>
      </c>
      <c r="D157" s="15">
        <f>IFERROR(__xludf.DUMMYFUNCTION("""COMPUTED_VALUE"""),-5.767694221264866)</f>
        <v>-5.767694221</v>
      </c>
      <c r="E157" s="15">
        <f>IFERROR(__xludf.DUMMYFUNCTION("""COMPUTED_VALUE"""),3.9234705306111777)</f>
        <v>3.923470531</v>
      </c>
      <c r="F157" s="15">
        <f>IFERROR(__xludf.DUMMYFUNCTION("""COMPUTED_VALUE"""),-1.844223690653688)</f>
        <v>-1.844223691</v>
      </c>
      <c r="G157" s="17">
        <f>IFERROR(__xludf.DUMMYFUNCTION("""COMPUTED_VALUE"""),0.02318201249978404)</f>
        <v>0.0231820125</v>
      </c>
      <c r="H157" s="4"/>
      <c r="I157" s="5" t="s">
        <v>3155</v>
      </c>
      <c r="J157" s="5" t="s">
        <v>2953</v>
      </c>
      <c r="K157" s="5">
        <v>492.0</v>
      </c>
      <c r="L157" s="5">
        <v>-2.9471</v>
      </c>
      <c r="M157" s="5">
        <v>1.102876</v>
      </c>
      <c r="N157" s="5">
        <v>-1.844224</v>
      </c>
      <c r="O157" s="5">
        <v>0.023182</v>
      </c>
    </row>
    <row r="158">
      <c r="A158" s="18" t="str">
        <f>IFERROR(__xludf.DUMMYFUNCTION("""COMPUTED_VALUE"""),"Lucas Gertz")</f>
        <v>Lucas Gertz</v>
      </c>
      <c r="B158" s="19" t="str">
        <f>IFERROR(__xludf.DUMMYFUNCTION("""COMPUTED_VALUE"""),"HAM")</f>
        <v>HAM</v>
      </c>
      <c r="C158" s="20">
        <f>IFERROR(__xludf.DUMMYFUNCTION("""COMPUTED_VALUE"""),508.1)</f>
        <v>508.1</v>
      </c>
      <c r="D158" s="21">
        <f>IFERROR(__xludf.DUMMYFUNCTION("""COMPUTED_VALUE"""),-3.596009155353071)</f>
        <v>-3.596009155</v>
      </c>
      <c r="E158" s="21">
        <f>IFERROR(__xludf.DUMMYFUNCTION("""COMPUTED_VALUE"""),1.7487490847194154)</f>
        <v>1.748749085</v>
      </c>
      <c r="F158" s="21">
        <f>IFERROR(__xludf.DUMMYFUNCTION("""COMPUTED_VALUE"""),-1.8472600706336555)</f>
        <v>-1.847260071</v>
      </c>
      <c r="G158" s="23">
        <f>IFERROR(__xludf.DUMMYFUNCTION("""COMPUTED_VALUE"""),0.024712654252298755)</f>
        <v>0.02471265425</v>
      </c>
      <c r="H158" s="4"/>
      <c r="I158" s="5" t="s">
        <v>3156</v>
      </c>
      <c r="J158" s="5" t="s">
        <v>3008</v>
      </c>
      <c r="K158" s="5">
        <v>508.0</v>
      </c>
      <c r="L158" s="5">
        <v>-3.607793</v>
      </c>
      <c r="M158" s="5">
        <v>1.760533</v>
      </c>
      <c r="N158" s="5">
        <v>-1.84726</v>
      </c>
      <c r="O158" s="5">
        <v>0.024713</v>
      </c>
    </row>
    <row r="159">
      <c r="A159" s="12" t="str">
        <f>IFERROR(__xludf.DUMMYFUNCTION("""COMPUTED_VALUE"""),"Carson Puriefoy")</f>
        <v>Carson Puriefoy</v>
      </c>
      <c r="B159" s="13" t="str">
        <f>IFERROR(__xludf.DUMMYFUNCTION("""COMPUTED_VALUE"""),"MLP")</f>
        <v>MLP</v>
      </c>
      <c r="C159" s="14">
        <f>IFERROR(__xludf.DUMMYFUNCTION("""COMPUTED_VALUE"""),72.2)</f>
        <v>72.2</v>
      </c>
      <c r="D159" s="15">
        <f>IFERROR(__xludf.DUMMYFUNCTION("""COMPUTED_VALUE"""),-1.7492178930103335)</f>
        <v>-1.749217893</v>
      </c>
      <c r="E159" s="15">
        <f>IFERROR(__xludf.DUMMYFUNCTION("""COMPUTED_VALUE"""),-0.1132006717182521)</f>
        <v>-0.1132006717</v>
      </c>
      <c r="F159" s="15">
        <f>IFERROR(__xludf.DUMMYFUNCTION("""COMPUTED_VALUE"""),-1.8624185647285856)</f>
        <v>-1.862418565</v>
      </c>
      <c r="G159" s="17">
        <f>IFERROR(__xludf.DUMMYFUNCTION("""COMPUTED_VALUE"""),0.003031099322764875)</f>
        <v>0.003031099323</v>
      </c>
      <c r="H159" s="4"/>
      <c r="I159" s="5" t="s">
        <v>3157</v>
      </c>
      <c r="J159" s="5" t="s">
        <v>2987</v>
      </c>
      <c r="K159" s="5">
        <v>72.0</v>
      </c>
      <c r="L159" s="5">
        <v>-1.55725</v>
      </c>
      <c r="M159" s="5">
        <v>-0.305168</v>
      </c>
      <c r="N159" s="5">
        <v>-1.862419</v>
      </c>
      <c r="O159" s="5">
        <v>0.003031</v>
      </c>
    </row>
    <row r="160">
      <c r="A160" s="18" t="str">
        <f>IFERROR(__xludf.DUMMYFUNCTION("""COMPUTED_VALUE"""),"Eddy Edigin")</f>
        <v>Eddy Edigin</v>
      </c>
      <c r="B160" s="19" t="str">
        <f>IFERROR(__xludf.DUMMYFUNCTION("""COMPUTED_VALUE"""),"BYP")</f>
        <v>BYP</v>
      </c>
      <c r="C160" s="20">
        <f>IFERROR(__xludf.DUMMYFUNCTION("""COMPUTED_VALUE"""),585.3)</f>
        <v>585.3</v>
      </c>
      <c r="D160" s="21">
        <f>IFERROR(__xludf.DUMMYFUNCTION("""COMPUTED_VALUE"""),-0.8097774201600458)</f>
        <v>-0.8097774202</v>
      </c>
      <c r="E160" s="21">
        <f>IFERROR(__xludf.DUMMYFUNCTION("""COMPUTED_VALUE"""),-1.1551567468709032)</f>
        <v>-1.155156747</v>
      </c>
      <c r="F160" s="21">
        <f>IFERROR(__xludf.DUMMYFUNCTION("""COMPUTED_VALUE"""),-1.964934167030949)</f>
        <v>-1.964934167</v>
      </c>
      <c r="G160" s="23">
        <f>IFERROR(__xludf.DUMMYFUNCTION("""COMPUTED_VALUE"""),0.006215784679541789)</f>
        <v>0.00621578468</v>
      </c>
      <c r="H160" s="4"/>
      <c r="I160" s="5" t="s">
        <v>243</v>
      </c>
      <c r="J160" s="5" t="s">
        <v>2983</v>
      </c>
      <c r="K160" s="24">
        <v>585.0</v>
      </c>
      <c r="L160" s="5">
        <v>-1.887357</v>
      </c>
      <c r="M160" s="5">
        <v>-0.077578</v>
      </c>
      <c r="N160" s="5">
        <v>-1.964934</v>
      </c>
      <c r="O160" s="5">
        <v>0.006216</v>
      </c>
    </row>
    <row r="161">
      <c r="A161" s="12" t="str">
        <f>IFERROR(__xludf.DUMMYFUNCTION("""COMPUTED_VALUE"""),"Rob Ferguson")</f>
        <v>Rob Ferguson</v>
      </c>
      <c r="B161" s="13" t="str">
        <f>IFERROR(__xludf.DUMMYFUNCTION("""COMPUTED_VALUE"""),"BYP")</f>
        <v>BYP</v>
      </c>
      <c r="C161" s="14">
        <f>IFERROR(__xludf.DUMMYFUNCTION("""COMPUTED_VALUE"""),637.4)</f>
        <v>637.4</v>
      </c>
      <c r="D161" s="15">
        <f>IFERROR(__xludf.DUMMYFUNCTION("""COMPUTED_VALUE"""),0.18669325886898103)</f>
        <v>0.1866932589</v>
      </c>
      <c r="E161" s="15">
        <f>IFERROR(__xludf.DUMMYFUNCTION("""COMPUTED_VALUE"""),-2.165130487320923)</f>
        <v>-2.165130487</v>
      </c>
      <c r="F161" s="15">
        <f>IFERROR(__xludf.DUMMYFUNCTION("""COMPUTED_VALUE"""),-1.9784372284519423)</f>
        <v>-1.978437228</v>
      </c>
      <c r="G161" s="17">
        <f>IFERROR(__xludf.DUMMYFUNCTION("""COMPUTED_VALUE"""),0.00416245851952419)</f>
        <v>0.00416245852</v>
      </c>
      <c r="H161" s="4"/>
      <c r="I161" s="5" t="s">
        <v>3158</v>
      </c>
      <c r="J161" s="5" t="s">
        <v>2983</v>
      </c>
      <c r="K161" s="5">
        <v>637.0</v>
      </c>
      <c r="L161" s="5">
        <v>-0.890886</v>
      </c>
      <c r="M161" s="5">
        <v>-1.087551</v>
      </c>
      <c r="N161" s="5">
        <v>-1.978437</v>
      </c>
      <c r="O161" s="5">
        <v>0.004162</v>
      </c>
    </row>
    <row r="162">
      <c r="A162" s="18" t="str">
        <f>IFERROR(__xludf.DUMMYFUNCTION("""COMPUTED_VALUE"""),"Daniel Mixich")</f>
        <v>Daniel Mixich</v>
      </c>
      <c r="B162" s="19" t="str">
        <f>IFERROR(__xludf.DUMMYFUNCTION("""COMPUTED_VALUE"""),"BVC")</f>
        <v>BVC</v>
      </c>
      <c r="C162" s="20">
        <f>IFERROR(__xludf.DUMMYFUNCTION("""COMPUTED_VALUE"""),483.4)</f>
        <v>483.4</v>
      </c>
      <c r="D162" s="21">
        <f>IFERROR(__xludf.DUMMYFUNCTION("""COMPUTED_VALUE"""),-1.8729656774336207)</f>
        <v>-1.872965677</v>
      </c>
      <c r="E162" s="21">
        <f>IFERROR(__xludf.DUMMYFUNCTION("""COMPUTED_VALUE"""),-0.21495501584593923)</f>
        <v>-0.2149550158</v>
      </c>
      <c r="F162" s="21">
        <f>IFERROR(__xludf.DUMMYFUNCTION("""COMPUTED_VALUE"""),-2.08792069327956)</f>
        <v>-2.087920693</v>
      </c>
      <c r="G162" s="23">
        <f>IFERROR(__xludf.DUMMYFUNCTION("""COMPUTED_VALUE"""),-0.012908956486868758)</f>
        <v>-0.01290895649</v>
      </c>
      <c r="H162" s="4"/>
      <c r="I162" s="5" t="s">
        <v>3159</v>
      </c>
      <c r="J162" s="5" t="s">
        <v>2996</v>
      </c>
      <c r="K162" s="24">
        <v>483.0</v>
      </c>
      <c r="L162" s="5">
        <v>-1.949286</v>
      </c>
      <c r="M162" s="5">
        <v>-0.138635</v>
      </c>
      <c r="N162" s="5">
        <v>-2.087921</v>
      </c>
      <c r="O162" s="5">
        <v>-0.012909</v>
      </c>
    </row>
    <row r="163">
      <c r="A163" s="12" t="str">
        <f>IFERROR(__xludf.DUMMYFUNCTION("""COMPUTED_VALUE"""),"Georg Voigtmann")</f>
        <v>Georg Voigtmann</v>
      </c>
      <c r="B163" s="13" t="str">
        <f>IFERROR(__xludf.DUMMYFUNCTION("""COMPUTED_VALUE"""),"FIN")</f>
        <v>FIN</v>
      </c>
      <c r="C163" s="14">
        <f>IFERROR(__xludf.DUMMYFUNCTION("""COMPUTED_VALUE"""),512.4)</f>
        <v>512.4</v>
      </c>
      <c r="D163" s="15">
        <f>IFERROR(__xludf.DUMMYFUNCTION("""COMPUTED_VALUE"""),0.9868370156915733)</f>
        <v>0.9868370157</v>
      </c>
      <c r="E163" s="15">
        <f>IFERROR(__xludf.DUMMYFUNCTION("""COMPUTED_VALUE"""),-3.0803988058479965)</f>
        <v>-3.080398806</v>
      </c>
      <c r="F163" s="15">
        <f>IFERROR(__xludf.DUMMYFUNCTION("""COMPUTED_VALUE"""),-2.093561790156423)</f>
        <v>-2.09356179</v>
      </c>
      <c r="G163" s="17">
        <f>IFERROR(__xludf.DUMMYFUNCTION("""COMPUTED_VALUE"""),-0.014556012367220945)</f>
        <v>-0.01455601237</v>
      </c>
      <c r="H163" s="4"/>
      <c r="I163" s="5" t="s">
        <v>3160</v>
      </c>
      <c r="J163" s="5" t="s">
        <v>3059</v>
      </c>
      <c r="K163" s="5">
        <v>512.0</v>
      </c>
      <c r="L163" s="5">
        <v>-1.545651</v>
      </c>
      <c r="M163" s="5">
        <v>-0.547911</v>
      </c>
      <c r="N163" s="5">
        <v>-2.093562</v>
      </c>
      <c r="O163" s="5">
        <v>-0.014556</v>
      </c>
    </row>
    <row r="164">
      <c r="A164" s="18" t="str">
        <f>IFERROR(__xludf.DUMMYFUNCTION("""COMPUTED_VALUE"""),"Alex Foster")</f>
        <v>Alex Foster</v>
      </c>
      <c r="B164" s="19" t="str">
        <f>IFERROR(__xludf.DUMMYFUNCTION("""COMPUTED_VALUE"""),"RHEI")</f>
        <v>RHEI</v>
      </c>
      <c r="C164" s="20">
        <f>IFERROR(__xludf.DUMMYFUNCTION("""COMPUTED_VALUE"""),479.5)</f>
        <v>479.5</v>
      </c>
      <c r="D164" s="21">
        <f>IFERROR(__xludf.DUMMYFUNCTION("""COMPUTED_VALUE"""),1.492942973849202)</f>
        <v>1.492942974</v>
      </c>
      <c r="E164" s="21">
        <f>IFERROR(__xludf.DUMMYFUNCTION("""COMPUTED_VALUE"""),-3.6347134804803347)</f>
        <v>-3.63471348</v>
      </c>
      <c r="F164" s="21">
        <f>IFERROR(__xludf.DUMMYFUNCTION("""COMPUTED_VALUE"""),-2.1417705066311328)</f>
        <v>-2.141770507</v>
      </c>
      <c r="G164" s="23">
        <f>IFERROR(__xludf.DUMMYFUNCTION("""COMPUTED_VALUE"""),-0.020652071072459005)</f>
        <v>-0.02065207107</v>
      </c>
      <c r="H164" s="4"/>
      <c r="I164" s="5" t="s">
        <v>3161</v>
      </c>
      <c r="J164" s="5" t="s">
        <v>2972</v>
      </c>
      <c r="K164" s="24">
        <v>480.0</v>
      </c>
      <c r="L164" s="5">
        <v>0.087678</v>
      </c>
      <c r="M164" s="5">
        <v>-2.229448</v>
      </c>
      <c r="N164" s="5">
        <v>-2.141771</v>
      </c>
      <c r="O164" s="5">
        <v>-0.020652</v>
      </c>
    </row>
    <row r="165">
      <c r="A165" s="12" t="str">
        <f>IFERROR(__xludf.DUMMYFUNCTION("""COMPUTED_VALUE"""),"Armani Cotton")</f>
        <v>Armani Cotton</v>
      </c>
      <c r="B165" s="13" t="str">
        <f>IFERROR(__xludf.DUMMYFUNCTION("""COMPUTED_VALUE"""),"FIN")</f>
        <v>FIN</v>
      </c>
      <c r="C165" s="14">
        <f>IFERROR(__xludf.DUMMYFUNCTION("""COMPUTED_VALUE"""),320.1)</f>
        <v>320.1</v>
      </c>
      <c r="D165" s="15">
        <f>IFERROR(__xludf.DUMMYFUNCTION("""COMPUTED_VALUE"""),-0.6371390203686338)</f>
        <v>-0.6371390204</v>
      </c>
      <c r="E165" s="15">
        <f>IFERROR(__xludf.DUMMYFUNCTION("""COMPUTED_VALUE"""),-1.5143147217941988)</f>
        <v>-1.514314722</v>
      </c>
      <c r="F165" s="15">
        <f>IFERROR(__xludf.DUMMYFUNCTION("""COMPUTED_VALUE"""),-2.1514537421628326)</f>
        <v>-2.151453742</v>
      </c>
      <c r="G165" s="17">
        <f>IFERROR(__xludf.DUMMYFUNCTION("""COMPUTED_VALUE"""),-0.014719750701062448)</f>
        <v>-0.0147197507</v>
      </c>
      <c r="H165" s="4"/>
      <c r="I165" s="5" t="s">
        <v>3162</v>
      </c>
      <c r="J165" s="5" t="s">
        <v>3059</v>
      </c>
      <c r="K165" s="5">
        <v>320.0</v>
      </c>
      <c r="L165" s="5">
        <v>-3.169627</v>
      </c>
      <c r="M165" s="5">
        <v>1.018173</v>
      </c>
      <c r="N165" s="5">
        <v>-2.151454</v>
      </c>
      <c r="O165" s="5">
        <v>-0.01472</v>
      </c>
    </row>
    <row r="166">
      <c r="A166" s="18" t="str">
        <f>IFERROR(__xludf.DUMMYFUNCTION("""COMPUTED_VALUE"""),"Chris Brady")</f>
        <v>Chris Brady</v>
      </c>
      <c r="B166" s="19" t="str">
        <f>IFERROR(__xludf.DUMMYFUNCTION("""COMPUTED_VALUE"""),"HEBE")</f>
        <v>HEBE</v>
      </c>
      <c r="C166" s="20">
        <f>IFERROR(__xludf.DUMMYFUNCTION("""COMPUTED_VALUE"""),746.1)</f>
        <v>746.1</v>
      </c>
      <c r="D166" s="21">
        <f>IFERROR(__xludf.DUMMYFUNCTION("""COMPUTED_VALUE"""),-1.3054147194329357)</f>
        <v>-1.305414719</v>
      </c>
      <c r="E166" s="21">
        <f>IFERROR(__xludf.DUMMYFUNCTION("""COMPUTED_VALUE"""),-0.9540777339110726)</f>
        <v>-0.9540777339</v>
      </c>
      <c r="F166" s="21">
        <f>IFERROR(__xludf.DUMMYFUNCTION("""COMPUTED_VALUE"""),-2.2594924533440084)</f>
        <v>-2.259492453</v>
      </c>
      <c r="G166" s="23">
        <f>IFERROR(__xludf.DUMMYFUNCTION("""COMPUTED_VALUE"""),-0.058373020835066215)</f>
        <v>-0.05837302084</v>
      </c>
      <c r="H166" s="4"/>
      <c r="I166" s="5" t="s">
        <v>1851</v>
      </c>
      <c r="J166" s="5" t="s">
        <v>3004</v>
      </c>
      <c r="K166" s="5">
        <v>746.0</v>
      </c>
      <c r="L166" s="5">
        <v>-1.77044</v>
      </c>
      <c r="M166" s="5">
        <v>-0.489053</v>
      </c>
      <c r="N166" s="5">
        <v>-2.259492</v>
      </c>
      <c r="O166" s="5">
        <v>-0.058373</v>
      </c>
    </row>
    <row r="167">
      <c r="A167" s="12" t="str">
        <f>IFERROR(__xludf.DUMMYFUNCTION("""COMPUTED_VALUE"""),"Jonas Grof")</f>
        <v>Jonas Grof</v>
      </c>
      <c r="B167" s="13" t="str">
        <f>IFERROR(__xludf.DUMMYFUNCTION("""COMPUTED_VALUE"""),"HAG")</f>
        <v>HAG</v>
      </c>
      <c r="C167" s="14">
        <f>IFERROR(__xludf.DUMMYFUNCTION("""COMPUTED_VALUE"""),969.0)</f>
        <v>969</v>
      </c>
      <c r="D167" s="15">
        <f>IFERROR(__xludf.DUMMYFUNCTION("""COMPUTED_VALUE"""),-1.906188893553089)</f>
        <v>-1.906188894</v>
      </c>
      <c r="E167" s="15">
        <f>IFERROR(__xludf.DUMMYFUNCTION("""COMPUTED_VALUE"""),-0.3901721500505535)</f>
        <v>-0.3901721501</v>
      </c>
      <c r="F167" s="15">
        <f>IFERROR(__xludf.DUMMYFUNCTION("""COMPUTED_VALUE"""),-2.2963610436036426)</f>
        <v>-2.296361044</v>
      </c>
      <c r="G167" s="17">
        <f>IFERROR(__xludf.DUMMYFUNCTION("""COMPUTED_VALUE"""),-0.08689209687544407)</f>
        <v>-0.08689209688</v>
      </c>
      <c r="H167" s="4"/>
      <c r="I167" s="5" t="s">
        <v>3163</v>
      </c>
      <c r="J167" s="5" t="s">
        <v>3006</v>
      </c>
      <c r="K167" s="5">
        <v>969.0</v>
      </c>
      <c r="L167" s="5">
        <v>-2.240327</v>
      </c>
      <c r="M167" s="5">
        <v>-0.056034</v>
      </c>
      <c r="N167" s="5">
        <v>-2.296361</v>
      </c>
      <c r="O167" s="5">
        <v>-0.086892</v>
      </c>
    </row>
    <row r="168">
      <c r="A168" s="18" t="str">
        <f>IFERROR(__xludf.DUMMYFUNCTION("""COMPUTED_VALUE"""),"Mate Fazekas")</f>
        <v>Mate Fazekas</v>
      </c>
      <c r="B168" s="19" t="str">
        <f>IFERROR(__xludf.DUMMYFUNCTION("""COMPUTED_VALUE"""),"ORAN")</f>
        <v>ORAN</v>
      </c>
      <c r="C168" s="20">
        <f>IFERROR(__xludf.DUMMYFUNCTION("""COMPUTED_VALUE"""),72.0)</f>
        <v>72</v>
      </c>
      <c r="D168" s="21">
        <f>IFERROR(__xludf.DUMMYFUNCTION("""COMPUTED_VALUE"""),-0.7240876808357122)</f>
        <v>-0.7240876808</v>
      </c>
      <c r="E168" s="21">
        <f>IFERROR(__xludf.DUMMYFUNCTION("""COMPUTED_VALUE"""),-1.5865284939272692)</f>
        <v>-1.586528494</v>
      </c>
      <c r="F168" s="21">
        <f>IFERROR(__xludf.DUMMYFUNCTION("""COMPUTED_VALUE"""),-2.3106161747629814)</f>
        <v>-2.310616175</v>
      </c>
      <c r="G168" s="23">
        <f>IFERROR(__xludf.DUMMYFUNCTION("""COMPUTED_VALUE"""),-0.006803389459522311)</f>
        <v>-0.00680338946</v>
      </c>
      <c r="H168" s="4"/>
      <c r="I168" s="5" t="s">
        <v>3164</v>
      </c>
      <c r="J168" s="5" t="s">
        <v>3088</v>
      </c>
      <c r="K168" s="5">
        <v>72.0</v>
      </c>
      <c r="L168" s="5">
        <v>-1.094804</v>
      </c>
      <c r="M168" s="5">
        <v>-1.215812</v>
      </c>
      <c r="N168" s="5">
        <v>-2.310616</v>
      </c>
      <c r="O168" s="5">
        <v>-0.006803</v>
      </c>
    </row>
    <row r="169">
      <c r="A169" s="12" t="str">
        <f>IFERROR(__xludf.DUMMYFUNCTION("""COMPUTED_VALUE"""),"Charles Barton")</f>
        <v>Charles Barton</v>
      </c>
      <c r="B169" s="13" t="str">
        <f>IFERROR(__xludf.DUMMYFUNCTION("""COMPUTED_VALUE"""),"VFL")</f>
        <v>VFL</v>
      </c>
      <c r="C169" s="14">
        <f>IFERROR(__xludf.DUMMYFUNCTION("""COMPUTED_VALUE"""),1042.2)</f>
        <v>1042.2</v>
      </c>
      <c r="D169" s="15">
        <f>IFERROR(__xludf.DUMMYFUNCTION("""COMPUTED_VALUE"""),0.15578128057870733)</f>
        <v>0.1557812806</v>
      </c>
      <c r="E169" s="15">
        <f>IFERROR(__xludf.DUMMYFUNCTION("""COMPUTED_VALUE"""),-2.4974242016256474)</f>
        <v>-2.497424202</v>
      </c>
      <c r="F169" s="15">
        <f>IFERROR(__xludf.DUMMYFUNCTION("""COMPUTED_VALUE"""),-2.3416429210469403)</f>
        <v>-2.341642921</v>
      </c>
      <c r="G169" s="17">
        <f>IFERROR(__xludf.DUMMYFUNCTION("""COMPUTED_VALUE"""),-0.10810990254199111)</f>
        <v>-0.1081099025</v>
      </c>
      <c r="H169" s="4"/>
      <c r="I169" s="5" t="s">
        <v>3165</v>
      </c>
      <c r="J169" s="5" t="s">
        <v>2999</v>
      </c>
      <c r="K169" s="24">
        <v>1042.0</v>
      </c>
      <c r="L169" s="5">
        <v>0.504575</v>
      </c>
      <c r="M169" s="5">
        <v>-2.846218</v>
      </c>
      <c r="N169" s="5">
        <v>-2.341643</v>
      </c>
      <c r="O169" s="5">
        <v>-0.10811</v>
      </c>
    </row>
    <row r="170">
      <c r="A170" s="18" t="str">
        <f>IFERROR(__xludf.DUMMYFUNCTION("""COMPUTED_VALUE"""),"Jesse Morgan")</f>
        <v>Jesse Morgan</v>
      </c>
      <c r="B170" s="19" t="str">
        <f>IFERROR(__xludf.DUMMYFUNCTION("""COMPUTED_VALUE"""),"RHEI")</f>
        <v>RHEI</v>
      </c>
      <c r="C170" s="20">
        <f>IFERROR(__xludf.DUMMYFUNCTION("""COMPUTED_VALUE"""),521.4)</f>
        <v>521.4</v>
      </c>
      <c r="D170" s="21">
        <f>IFERROR(__xludf.DUMMYFUNCTION("""COMPUTED_VALUE"""),0.2828578929451957)</f>
        <v>0.2828578929</v>
      </c>
      <c r="E170" s="21">
        <f>IFERROR(__xludf.DUMMYFUNCTION("""COMPUTED_VALUE"""),-2.6706337226224948)</f>
        <v>-2.670633723</v>
      </c>
      <c r="F170" s="21">
        <f>IFERROR(__xludf.DUMMYFUNCTION("""COMPUTED_VALUE"""),-2.3877758296772993)</f>
        <v>-2.38777583</v>
      </c>
      <c r="G170" s="23">
        <f>IFERROR(__xludf.DUMMYFUNCTION("""COMPUTED_VALUE"""),-0.06142439260612547)</f>
        <v>-0.06142439261</v>
      </c>
      <c r="H170" s="4"/>
      <c r="I170" s="5" t="s">
        <v>3166</v>
      </c>
      <c r="J170" s="5" t="s">
        <v>2972</v>
      </c>
      <c r="K170" s="5">
        <v>521.0</v>
      </c>
      <c r="L170" s="5">
        <v>-1.122407</v>
      </c>
      <c r="M170" s="5">
        <v>-1.265369</v>
      </c>
      <c r="N170" s="5">
        <v>-2.387776</v>
      </c>
      <c r="O170" s="5">
        <v>-0.061424</v>
      </c>
    </row>
    <row r="171">
      <c r="A171" s="12" t="str">
        <f>IFERROR(__xludf.DUMMYFUNCTION("""COMPUTED_VALUE"""),"Marvin Omuvwie")</f>
        <v>Marvin Omuvwie</v>
      </c>
      <c r="B171" s="13" t="str">
        <f>IFERROR(__xludf.DUMMYFUNCTION("""COMPUTED_VALUE"""),"NUE")</f>
        <v>NUE</v>
      </c>
      <c r="C171" s="14">
        <f>IFERROR(__xludf.DUMMYFUNCTION("""COMPUTED_VALUE"""),484.5)</f>
        <v>484.5</v>
      </c>
      <c r="D171" s="15">
        <f>IFERROR(__xludf.DUMMYFUNCTION("""COMPUTED_VALUE"""),-0.33032981740490286)</f>
        <v>-0.3303298174</v>
      </c>
      <c r="E171" s="15">
        <f>IFERROR(__xludf.DUMMYFUNCTION("""COMPUTED_VALUE"""),-2.0946128179325463)</f>
        <v>-2.094612818</v>
      </c>
      <c r="F171" s="15">
        <f>IFERROR(__xludf.DUMMYFUNCTION("""COMPUTED_VALUE"""),-2.424942635337449)</f>
        <v>-2.424942635</v>
      </c>
      <c r="G171" s="17">
        <f>IFERROR(__xludf.DUMMYFUNCTION("""COMPUTED_VALUE"""),-0.06278751748594849)</f>
        <v>-0.06278751749</v>
      </c>
      <c r="H171" s="4"/>
      <c r="I171" s="5" t="s">
        <v>3167</v>
      </c>
      <c r="J171" s="5" t="s">
        <v>3023</v>
      </c>
      <c r="K171" s="5">
        <v>485.0</v>
      </c>
      <c r="L171" s="5">
        <v>-1.755478</v>
      </c>
      <c r="M171" s="5">
        <v>-0.669465</v>
      </c>
      <c r="N171" s="5">
        <v>-2.424943</v>
      </c>
      <c r="O171" s="5">
        <v>-0.062788</v>
      </c>
    </row>
    <row r="172">
      <c r="A172" s="18" t="str">
        <f>IFERROR(__xludf.DUMMYFUNCTION("""COMPUTED_VALUE"""),"Lennart Steffen")</f>
        <v>Lennart Steffen</v>
      </c>
      <c r="B172" s="19" t="str">
        <f>IFERROR(__xludf.DUMMYFUNCTION("""COMPUTED_VALUE"""),"MLP")</f>
        <v>MLP</v>
      </c>
      <c r="C172" s="20">
        <f>IFERROR(__xludf.DUMMYFUNCTION("""COMPUTED_VALUE"""),147.7)</f>
        <v>147.7</v>
      </c>
      <c r="D172" s="21">
        <f>IFERROR(__xludf.DUMMYFUNCTION("""COMPUTED_VALUE"""),-1.7674289240035335)</f>
        <v>-1.767428924</v>
      </c>
      <c r="E172" s="21">
        <f>IFERROR(__xludf.DUMMYFUNCTION("""COMPUTED_VALUE"""),-0.7139841752559399)</f>
        <v>-0.7139841753</v>
      </c>
      <c r="F172" s="21">
        <f>IFERROR(__xludf.DUMMYFUNCTION("""COMPUTED_VALUE"""),-2.4814130992594734)</f>
        <v>-2.481413099</v>
      </c>
      <c r="G172" s="23">
        <f>IFERROR(__xludf.DUMMYFUNCTION("""COMPUTED_VALUE"""),-0.02169709211346954)</f>
        <v>-0.02169709211</v>
      </c>
      <c r="H172" s="4"/>
      <c r="I172" s="5" t="s">
        <v>3168</v>
      </c>
      <c r="J172" s="5" t="s">
        <v>2987</v>
      </c>
      <c r="K172" s="5">
        <v>148.0</v>
      </c>
      <c r="L172" s="5">
        <v>-1.374719</v>
      </c>
      <c r="M172" s="5">
        <v>-1.106694</v>
      </c>
      <c r="N172" s="5">
        <v>-2.481413</v>
      </c>
      <c r="O172" s="5">
        <v>-0.021697</v>
      </c>
    </row>
    <row r="173">
      <c r="A173" s="12" t="str">
        <f>IFERROR(__xludf.DUMMYFUNCTION("""COMPUTED_VALUE"""),"Josh Greene")</f>
        <v>Josh Greene</v>
      </c>
      <c r="B173" s="13" t="str">
        <f>IFERROR(__xludf.DUMMYFUNCTION("""COMPUTED_VALUE"""),"PS")</f>
        <v>PS</v>
      </c>
      <c r="C173" s="14">
        <f>IFERROR(__xludf.DUMMYFUNCTION("""COMPUTED_VALUE"""),378.7)</f>
        <v>378.7</v>
      </c>
      <c r="D173" s="15">
        <f>IFERROR(__xludf.DUMMYFUNCTION("""COMPUTED_VALUE"""),-3.107430833708277)</f>
        <v>-3.107430834</v>
      </c>
      <c r="E173" s="15">
        <f>IFERROR(__xludf.DUMMYFUNCTION("""COMPUTED_VALUE"""),0.6140298146877154)</f>
        <v>0.6140298147</v>
      </c>
      <c r="F173" s="15">
        <f>IFERROR(__xludf.DUMMYFUNCTION("""COMPUTED_VALUE"""),-2.4934010190205615)</f>
        <v>-2.493401019</v>
      </c>
      <c r="G173" s="17">
        <f>IFERROR(__xludf.DUMMYFUNCTION("""COMPUTED_VALUE"""),-0.05696752772873832)</f>
        <v>-0.05696752773</v>
      </c>
      <c r="H173" s="4"/>
      <c r="I173" s="5" t="s">
        <v>3169</v>
      </c>
      <c r="J173" s="5" t="s">
        <v>2975</v>
      </c>
      <c r="K173" s="5">
        <v>379.0</v>
      </c>
      <c r="L173" s="5">
        <v>-1.915861</v>
      </c>
      <c r="M173" s="5">
        <v>-0.57754</v>
      </c>
      <c r="N173" s="5">
        <v>-2.493401</v>
      </c>
      <c r="O173" s="5">
        <v>-0.056968</v>
      </c>
    </row>
    <row r="174">
      <c r="A174" s="18" t="str">
        <f>IFERROR(__xludf.DUMMYFUNCTION("""COMPUTED_VALUE"""),"Jacob Parker")</f>
        <v>Jacob Parker</v>
      </c>
      <c r="B174" s="19" t="str">
        <f>IFERROR(__xludf.DUMMYFUNCTION("""COMPUTED_VALUE"""),"BVC")</f>
        <v>BVC</v>
      </c>
      <c r="C174" s="20">
        <f>IFERROR(__xludf.DUMMYFUNCTION("""COMPUTED_VALUE"""),291.5)</f>
        <v>291.5</v>
      </c>
      <c r="D174" s="21">
        <f>IFERROR(__xludf.DUMMYFUNCTION("""COMPUTED_VALUE"""),-4.185837343495698)</f>
        <v>-4.185837343</v>
      </c>
      <c r="E174" s="21">
        <f>IFERROR(__xludf.DUMMYFUNCTION("""COMPUTED_VALUE"""),1.5916918716488064)</f>
        <v>1.591691872</v>
      </c>
      <c r="F174" s="21">
        <f>IFERROR(__xludf.DUMMYFUNCTION("""COMPUTED_VALUE"""),-2.5941454718468915)</f>
        <v>-2.594145472</v>
      </c>
      <c r="G174" s="23">
        <f>IFERROR(__xludf.DUMMYFUNCTION("""COMPUTED_VALUE"""),-0.052604722934882935)</f>
        <v>-0.05260472293</v>
      </c>
      <c r="H174" s="4"/>
      <c r="I174" s="5" t="s">
        <v>3170</v>
      </c>
      <c r="J174" s="5" t="s">
        <v>2996</v>
      </c>
      <c r="K174" s="5">
        <v>292.0</v>
      </c>
      <c r="L174" s="5">
        <v>-4.259995</v>
      </c>
      <c r="M174" s="5">
        <v>1.665849</v>
      </c>
      <c r="N174" s="5">
        <v>-2.594145</v>
      </c>
      <c r="O174" s="5">
        <v>-0.052605</v>
      </c>
    </row>
    <row r="175">
      <c r="A175" s="12" t="str">
        <f>IFERROR(__xludf.DUMMYFUNCTION("""COMPUTED_VALUE"""),"Maximilian Kuhle")</f>
        <v>Maximilian Kuhle</v>
      </c>
      <c r="B175" s="13" t="str">
        <f>IFERROR(__xludf.DUMMYFUNCTION("""COMPUTED_VALUE"""),"FIN")</f>
        <v>FIN</v>
      </c>
      <c r="C175" s="14">
        <f>IFERROR(__xludf.DUMMYFUNCTION("""COMPUTED_VALUE"""),656.2)</f>
        <v>656.2</v>
      </c>
      <c r="D175" s="15">
        <f>IFERROR(__xludf.DUMMYFUNCTION("""COMPUTED_VALUE"""),2.999705946572732)</f>
        <v>2.999705947</v>
      </c>
      <c r="E175" s="15">
        <f>IFERROR(__xludf.DUMMYFUNCTION("""COMPUTED_VALUE"""),-5.618198335471725)</f>
        <v>-5.618198335</v>
      </c>
      <c r="F175" s="15">
        <f>IFERROR(__xludf.DUMMYFUNCTION("""COMPUTED_VALUE"""),-2.6184923888989933)</f>
        <v>-2.618492389</v>
      </c>
      <c r="G175" s="17">
        <f>IFERROR(__xludf.DUMMYFUNCTION("""COMPUTED_VALUE"""),-0.1232268530709812)</f>
        <v>-0.1232268531</v>
      </c>
      <c r="H175" s="4"/>
      <c r="I175" s="5" t="s">
        <v>3171</v>
      </c>
      <c r="J175" s="5" t="s">
        <v>3059</v>
      </c>
      <c r="K175" s="24">
        <v>656.0</v>
      </c>
      <c r="L175" s="5">
        <v>0.467218</v>
      </c>
      <c r="M175" s="5">
        <v>-3.08571</v>
      </c>
      <c r="N175" s="5">
        <v>-2.618492</v>
      </c>
      <c r="O175" s="5">
        <v>-0.123227</v>
      </c>
    </row>
    <row r="176">
      <c r="A176" s="18" t="str">
        <f>IFERROR(__xludf.DUMMYFUNCTION("""COMPUTED_VALUE"""),"Devon Moore")</f>
        <v>Devon Moore</v>
      </c>
      <c r="B176" s="19" t="str">
        <f>IFERROR(__xludf.DUMMYFUNCTION("""COMPUTED_VALUE"""),"URS")</f>
        <v>URS</v>
      </c>
      <c r="C176" s="20">
        <f>IFERROR(__xludf.DUMMYFUNCTION("""COMPUTED_VALUE"""),211.7)</f>
        <v>211.7</v>
      </c>
      <c r="D176" s="21">
        <f>IFERROR(__xludf.DUMMYFUNCTION("""COMPUTED_VALUE"""),-0.04519370129987171)</f>
        <v>-0.0451937013</v>
      </c>
      <c r="E176" s="21">
        <f>IFERROR(__xludf.DUMMYFUNCTION("""COMPUTED_VALUE"""),-2.6561944093880334)</f>
        <v>-2.656194409</v>
      </c>
      <c r="F176" s="21">
        <f>IFERROR(__xludf.DUMMYFUNCTION("""COMPUTED_VALUE"""),-2.701388110687905)</f>
        <v>-2.701388111</v>
      </c>
      <c r="G176" s="23">
        <f>IFERROR(__xludf.DUMMYFUNCTION("""COMPUTED_VALUE"""),-0.04489460052241513)</f>
        <v>-0.04489460052</v>
      </c>
      <c r="H176" s="4"/>
      <c r="I176" s="5" t="s">
        <v>3172</v>
      </c>
      <c r="J176" s="5" t="s">
        <v>3036</v>
      </c>
      <c r="K176" s="5">
        <v>212.0</v>
      </c>
      <c r="L176" s="5">
        <v>-0.476032</v>
      </c>
      <c r="M176" s="5">
        <v>-2.225356</v>
      </c>
      <c r="N176" s="5">
        <v>-2.701388</v>
      </c>
      <c r="O176" s="5">
        <v>-0.044895</v>
      </c>
    </row>
    <row r="177">
      <c r="A177" s="12" t="str">
        <f>IFERROR(__xludf.DUMMYFUNCTION("""COMPUTED_VALUE"""),"Paul Albrecht")</f>
        <v>Paul Albrecht</v>
      </c>
      <c r="B177" s="13" t="str">
        <f>IFERROR(__xludf.DUMMYFUNCTION("""COMPUTED_VALUE"""),"HEBE")</f>
        <v>HEBE</v>
      </c>
      <c r="C177" s="14">
        <f>IFERROR(__xludf.DUMMYFUNCTION("""COMPUTED_VALUE"""),786.0)</f>
        <v>786</v>
      </c>
      <c r="D177" s="15">
        <f>IFERROR(__xludf.DUMMYFUNCTION("""COMPUTED_VALUE"""),-1.7282655811375112)</f>
        <v>-1.728265581</v>
      </c>
      <c r="E177" s="15">
        <f>IFERROR(__xludf.DUMMYFUNCTION("""COMPUTED_VALUE"""),-0.9858044875595755)</f>
        <v>-0.9858044876</v>
      </c>
      <c r="F177" s="15">
        <f>IFERROR(__xludf.DUMMYFUNCTION("""COMPUTED_VALUE"""),-2.7140700686970867)</f>
        <v>-2.714070069</v>
      </c>
      <c r="G177" s="17">
        <f>IFERROR(__xludf.DUMMYFUNCTION("""COMPUTED_VALUE"""),-0.16922081104682854)</f>
        <v>-0.169220811</v>
      </c>
      <c r="H177" s="4"/>
      <c r="I177" s="5" t="s">
        <v>3173</v>
      </c>
      <c r="J177" s="5" t="s">
        <v>3004</v>
      </c>
      <c r="K177" s="24">
        <v>786.0</v>
      </c>
      <c r="L177" s="5">
        <v>-2.19329</v>
      </c>
      <c r="M177" s="5">
        <v>-0.52078</v>
      </c>
      <c r="N177" s="5">
        <v>-2.71407</v>
      </c>
      <c r="O177" s="5">
        <v>-0.169221</v>
      </c>
    </row>
    <row r="178">
      <c r="A178" s="18" t="str">
        <f>IFERROR(__xludf.DUMMYFUNCTION("""COMPUTED_VALUE"""),"Morgan Grim")</f>
        <v>Morgan Grim</v>
      </c>
      <c r="B178" s="19" t="str">
        <f>IFERROR(__xludf.DUMMYFUNCTION("""COMPUTED_VALUE"""),"FIN")</f>
        <v>FIN</v>
      </c>
      <c r="C178" s="20">
        <f>IFERROR(__xludf.DUMMYFUNCTION("""COMPUTED_VALUE"""),705.7)</f>
        <v>705.7</v>
      </c>
      <c r="D178" s="21">
        <f>IFERROR(__xludf.DUMMYFUNCTION("""COMPUTED_VALUE"""),-1.2508604385301385)</f>
        <v>-1.250860439</v>
      </c>
      <c r="E178" s="21">
        <f>IFERROR(__xludf.DUMMYFUNCTION("""COMPUTED_VALUE"""),-1.4899850913012929)</f>
        <v>-1.489985091</v>
      </c>
      <c r="F178" s="21">
        <f>IFERROR(__xludf.DUMMYFUNCTION("""COMPUTED_VALUE"""),-2.7408455298314314)</f>
        <v>-2.74084553</v>
      </c>
      <c r="G178" s="23">
        <f>IFERROR(__xludf.DUMMYFUNCTION("""COMPUTED_VALUE"""),-0.15873860312396998)</f>
        <v>-0.1587386031</v>
      </c>
      <c r="H178" s="4"/>
      <c r="I178" s="5" t="s">
        <v>3174</v>
      </c>
      <c r="J178" s="5" t="s">
        <v>3059</v>
      </c>
      <c r="K178" s="5">
        <v>706.0</v>
      </c>
      <c r="L178" s="5">
        <v>-3.783349</v>
      </c>
      <c r="M178" s="5">
        <v>1.042503</v>
      </c>
      <c r="N178" s="5">
        <v>-2.740846</v>
      </c>
      <c r="O178" s="5">
        <v>-0.158739</v>
      </c>
    </row>
    <row r="179">
      <c r="A179" s="12" t="str">
        <f>IFERROR(__xludf.DUMMYFUNCTION("""COMPUTED_VALUE"""),"Christoph Philipps")</f>
        <v>Christoph Philipps</v>
      </c>
      <c r="B179" s="13" t="str">
        <f>IFERROR(__xludf.DUMMYFUNCTION("""COMPUTED_VALUE"""),"ORAN")</f>
        <v>ORAN</v>
      </c>
      <c r="C179" s="14">
        <f>IFERROR(__xludf.DUMMYFUNCTION("""COMPUTED_VALUE"""),325.9)</f>
        <v>325.9</v>
      </c>
      <c r="D179" s="15">
        <f>IFERROR(__xludf.DUMMYFUNCTION("""COMPUTED_VALUE"""),-1.2339558267803807)</f>
        <v>-1.233955827</v>
      </c>
      <c r="E179" s="15">
        <f>IFERROR(__xludf.DUMMYFUNCTION("""COMPUTED_VALUE"""),-1.5222415028444634)</f>
        <v>-1.522241503</v>
      </c>
      <c r="F179" s="15">
        <f>IFERROR(__xludf.DUMMYFUNCTION("""COMPUTED_VALUE"""),-2.756197329624844)</f>
        <v>-2.75619733</v>
      </c>
      <c r="G179" s="17">
        <f>IFERROR(__xludf.DUMMYFUNCTION("""COMPUTED_VALUE"""),-0.07497013090976436)</f>
        <v>-0.07497013091</v>
      </c>
      <c r="H179" s="4"/>
      <c r="I179" s="5" t="s">
        <v>883</v>
      </c>
      <c r="J179" s="5" t="s">
        <v>3088</v>
      </c>
      <c r="K179" s="5">
        <v>326.0</v>
      </c>
      <c r="L179" s="5">
        <v>-2.778607</v>
      </c>
      <c r="M179" s="5">
        <v>0.02241</v>
      </c>
      <c r="N179" s="5">
        <v>-2.756197</v>
      </c>
      <c r="O179" s="5">
        <v>-0.07497</v>
      </c>
    </row>
    <row r="180">
      <c r="A180" s="18" t="str">
        <f>IFERROR(__xludf.DUMMYFUNCTION("""COMPUTED_VALUE"""),"Timo Lanmuller")</f>
        <v>Timo Lanmuller</v>
      </c>
      <c r="B180" s="19" t="str">
        <f>IFERROR(__xludf.DUMMYFUNCTION("""COMPUTED_VALUE"""),"ORAN")</f>
        <v>ORAN</v>
      </c>
      <c r="C180" s="20">
        <f>IFERROR(__xludf.DUMMYFUNCTION("""COMPUTED_VALUE"""),64.4)</f>
        <v>64.4</v>
      </c>
      <c r="D180" s="21">
        <f>IFERROR(__xludf.DUMMYFUNCTION("""COMPUTED_VALUE"""),-1.8693841863074625)</f>
        <v>-1.869384186</v>
      </c>
      <c r="E180" s="21">
        <f>IFERROR(__xludf.DUMMYFUNCTION("""COMPUTED_VALUE"""),-0.9222026901408058)</f>
        <v>-0.9222026901</v>
      </c>
      <c r="F180" s="21">
        <f>IFERROR(__xludf.DUMMYFUNCTION("""COMPUTED_VALUE"""),-2.7915868764482683)</f>
        <v>-2.791586876</v>
      </c>
      <c r="G180" s="23">
        <f>IFERROR(__xludf.DUMMYFUNCTION("""COMPUTED_VALUE"""),-0.015507908224981052)</f>
        <v>-0.01550790822</v>
      </c>
      <c r="H180" s="4"/>
      <c r="I180" s="5" t="s">
        <v>3175</v>
      </c>
      <c r="J180" s="5" t="s">
        <v>3088</v>
      </c>
      <c r="K180" s="5">
        <v>64.0</v>
      </c>
      <c r="L180" s="5">
        <v>-2.200969</v>
      </c>
      <c r="M180" s="5">
        <v>-0.590618</v>
      </c>
      <c r="N180" s="5">
        <v>-2.791587</v>
      </c>
      <c r="O180" s="5">
        <v>-0.015508</v>
      </c>
    </row>
    <row r="181">
      <c r="A181" s="12" t="str">
        <f>IFERROR(__xludf.DUMMYFUNCTION("""COMPUTED_VALUE"""),"Bjorn Rohwer")</f>
        <v>Bjorn Rohwer</v>
      </c>
      <c r="B181" s="13" t="str">
        <f>IFERROR(__xludf.DUMMYFUNCTION("""COMPUTED_VALUE"""),"ORAN")</f>
        <v>ORAN</v>
      </c>
      <c r="C181" s="14">
        <f>IFERROR(__xludf.DUMMYFUNCTION("""COMPUTED_VALUE"""),535.9)</f>
        <v>535.9</v>
      </c>
      <c r="D181" s="15">
        <f>IFERROR(__xludf.DUMMYFUNCTION("""COMPUTED_VALUE"""),1.0873124194165436)</f>
        <v>1.087312419</v>
      </c>
      <c r="E181" s="15">
        <f>IFERROR(__xludf.DUMMYFUNCTION("""COMPUTED_VALUE"""),-3.885536140036685)</f>
        <v>-3.88553614</v>
      </c>
      <c r="F181" s="15">
        <f>IFERROR(__xludf.DUMMYFUNCTION("""COMPUTED_VALUE"""),-2.7982237206201415)</f>
        <v>-2.798223721</v>
      </c>
      <c r="G181" s="17">
        <f>IFERROR(__xludf.DUMMYFUNCTION("""COMPUTED_VALUE"""),-0.13012991791590386)</f>
        <v>-0.1301299179</v>
      </c>
      <c r="H181" s="4"/>
      <c r="I181" s="5" t="s">
        <v>987</v>
      </c>
      <c r="J181" s="5" t="s">
        <v>3088</v>
      </c>
      <c r="K181" s="5">
        <v>536.0</v>
      </c>
      <c r="L181" s="5">
        <v>-0.457339</v>
      </c>
      <c r="M181" s="5">
        <v>-2.340885</v>
      </c>
      <c r="N181" s="5">
        <v>-2.798224</v>
      </c>
      <c r="O181" s="5">
        <v>-0.13013</v>
      </c>
    </row>
    <row r="182">
      <c r="A182" s="18" t="str">
        <f>IFERROR(__xludf.DUMMYFUNCTION("""COMPUTED_VALUE"""),"Jonathan Maier")</f>
        <v>Jonathan Maier</v>
      </c>
      <c r="B182" s="19" t="str">
        <f>IFERROR(__xludf.DUMMYFUNCTION("""COMPUTED_VALUE"""),"NUE")</f>
        <v>NUE</v>
      </c>
      <c r="C182" s="20">
        <f>IFERROR(__xludf.DUMMYFUNCTION("""COMPUTED_VALUE"""),546.7)</f>
        <v>546.7</v>
      </c>
      <c r="D182" s="21">
        <f>IFERROR(__xludf.DUMMYFUNCTION("""COMPUTED_VALUE"""),-0.631465683944407)</f>
        <v>-0.6314656839</v>
      </c>
      <c r="E182" s="21">
        <f>IFERROR(__xludf.DUMMYFUNCTION("""COMPUTED_VALUE"""),-2.1954574801821973)</f>
        <v>-2.19545748</v>
      </c>
      <c r="F182" s="21">
        <f>IFERROR(__xludf.DUMMYFUNCTION("""COMPUTED_VALUE"""),-2.826923164126604)</f>
        <v>-2.826923164</v>
      </c>
      <c r="G182" s="23">
        <f>IFERROR(__xludf.DUMMYFUNCTION("""COMPUTED_VALUE"""),-0.13786799364332533)</f>
        <v>-0.1378679936</v>
      </c>
      <c r="H182" s="4"/>
      <c r="I182" s="5" t="s">
        <v>3176</v>
      </c>
      <c r="J182" s="5" t="s">
        <v>3023</v>
      </c>
      <c r="K182" s="5">
        <v>547.0</v>
      </c>
      <c r="L182" s="5">
        <v>-2.056614</v>
      </c>
      <c r="M182" s="5">
        <v>-0.77031</v>
      </c>
      <c r="N182" s="5">
        <v>-2.826923</v>
      </c>
      <c r="O182" s="5">
        <v>-0.137868</v>
      </c>
    </row>
    <row r="183">
      <c r="A183" s="12" t="str">
        <f>IFERROR(__xludf.DUMMYFUNCTION("""COMPUTED_VALUE"""),"Malo Valerien")</f>
        <v>Malo Valerien</v>
      </c>
      <c r="B183" s="13" t="str">
        <f>IFERROR(__xludf.DUMMYFUNCTION("""COMPUTED_VALUE"""),"NUE")</f>
        <v>NUE</v>
      </c>
      <c r="C183" s="14">
        <f>IFERROR(__xludf.DUMMYFUNCTION("""COMPUTED_VALUE"""),367.2)</f>
        <v>367.2</v>
      </c>
      <c r="D183" s="15">
        <f>IFERROR(__xludf.DUMMYFUNCTION("""COMPUTED_VALUE"""),0.4716343044101954)</f>
        <v>0.4716343044</v>
      </c>
      <c r="E183" s="15">
        <f>IFERROR(__xludf.DUMMYFUNCTION("""COMPUTED_VALUE"""),-3.299825801165147)</f>
        <v>-3.299825801</v>
      </c>
      <c r="F183" s="15">
        <f>IFERROR(__xludf.DUMMYFUNCTION("""COMPUTED_VALUE"""),-2.8281914967549513)</f>
        <v>-2.828191497</v>
      </c>
      <c r="G183" s="17">
        <f>IFERROR(__xludf.DUMMYFUNCTION("""COMPUTED_VALUE"""),-0.09274332532685627)</f>
        <v>-0.09274332533</v>
      </c>
      <c r="H183" s="4"/>
      <c r="I183" s="5" t="s">
        <v>3177</v>
      </c>
      <c r="J183" s="5" t="s">
        <v>3023</v>
      </c>
      <c r="K183" s="5">
        <v>367.0</v>
      </c>
      <c r="L183" s="5">
        <v>-0.953514</v>
      </c>
      <c r="M183" s="5">
        <v>-1.874678</v>
      </c>
      <c r="N183" s="5">
        <v>-2.828191</v>
      </c>
      <c r="O183" s="5">
        <v>-0.092743</v>
      </c>
    </row>
    <row r="184">
      <c r="A184" s="18" t="str">
        <f>IFERROR(__xludf.DUMMYFUNCTION("""COMPUTED_VALUE"""),"Achmadschah Zazai")</f>
        <v>Achmadschah Zazai</v>
      </c>
      <c r="B184" s="19" t="str">
        <f>IFERROR(__xludf.DUMMYFUNCTION("""COMPUTED_VALUE"""),"URS")</f>
        <v>URS</v>
      </c>
      <c r="C184" s="20">
        <f>IFERROR(__xludf.DUMMYFUNCTION("""COMPUTED_VALUE"""),314.1)</f>
        <v>314.1</v>
      </c>
      <c r="D184" s="21">
        <f>IFERROR(__xludf.DUMMYFUNCTION("""COMPUTED_VALUE"""),2.6637398195545288)</f>
        <v>2.66373982</v>
      </c>
      <c r="E184" s="21">
        <f>IFERROR(__xludf.DUMMYFUNCTION("""COMPUTED_VALUE"""),-5.508426843869103)</f>
        <v>-5.508426844</v>
      </c>
      <c r="F184" s="21">
        <f>IFERROR(__xludf.DUMMYFUNCTION("""COMPUTED_VALUE"""),-2.8446870243145734)</f>
        <v>-2.844687024</v>
      </c>
      <c r="G184" s="23">
        <f>IFERROR(__xludf.DUMMYFUNCTION("""COMPUTED_VALUE"""),-0.08021925287786237)</f>
        <v>-0.08021925288</v>
      </c>
      <c r="H184" s="4"/>
      <c r="I184" s="5" t="s">
        <v>3178</v>
      </c>
      <c r="J184" s="5" t="s">
        <v>3036</v>
      </c>
      <c r="K184" s="5">
        <v>314.0</v>
      </c>
      <c r="L184" s="5">
        <v>2.053199</v>
      </c>
      <c r="M184" s="5">
        <v>-4.897886</v>
      </c>
      <c r="N184" s="5">
        <v>-2.844687</v>
      </c>
      <c r="O184" s="5">
        <v>-0.080219</v>
      </c>
    </row>
    <row r="185">
      <c r="A185" s="12" t="str">
        <f>IFERROR(__xludf.DUMMYFUNCTION("""COMPUTED_VALUE"""),"Tibor Taras")</f>
        <v>Tibor Taras</v>
      </c>
      <c r="B185" s="13" t="str">
        <f>IFERROR(__xludf.DUMMYFUNCTION("""COMPUTED_VALUE"""),"BYP")</f>
        <v>BYP</v>
      </c>
      <c r="C185" s="14">
        <f>IFERROR(__xludf.DUMMYFUNCTION("""COMPUTED_VALUE"""),751.7)</f>
        <v>751.7</v>
      </c>
      <c r="D185" s="15">
        <f>IFERROR(__xludf.DUMMYFUNCTION("""COMPUTED_VALUE"""),0.6998263997542493)</f>
        <v>0.6998263998</v>
      </c>
      <c r="E185" s="15">
        <f>IFERROR(__xludf.DUMMYFUNCTION("""COMPUTED_VALUE"""),-3.5964025455185302)</f>
        <v>-3.596402546</v>
      </c>
      <c r="F185" s="15">
        <f>IFERROR(__xludf.DUMMYFUNCTION("""COMPUTED_VALUE"""),-2.896576145764281)</f>
        <v>-2.896576146</v>
      </c>
      <c r="G185" s="17">
        <f>IFERROR(__xludf.DUMMYFUNCTION("""COMPUTED_VALUE"""),-0.20411034083923563)</f>
        <v>-0.2041103408</v>
      </c>
      <c r="H185" s="4"/>
      <c r="I185" s="5" t="s">
        <v>3179</v>
      </c>
      <c r="J185" s="5" t="s">
        <v>2983</v>
      </c>
      <c r="K185" s="24">
        <v>752.0</v>
      </c>
      <c r="L185" s="5">
        <v>-0.377753</v>
      </c>
      <c r="M185" s="5">
        <v>-2.518823</v>
      </c>
      <c r="N185" s="5">
        <v>-2.896576</v>
      </c>
      <c r="O185" s="5">
        <v>-0.20411</v>
      </c>
    </row>
    <row r="186">
      <c r="A186" s="18" t="str">
        <f>IFERROR(__xludf.DUMMYFUNCTION("""COMPUTED_VALUE"""),"Arne Wendler")</f>
        <v>Arne Wendler</v>
      </c>
      <c r="B186" s="19" t="str">
        <f>IFERROR(__xludf.DUMMYFUNCTION("""COMPUTED_VALUE"""),"BVC")</f>
        <v>BVC</v>
      </c>
      <c r="C186" s="20">
        <f>IFERROR(__xludf.DUMMYFUNCTION("""COMPUTED_VALUE"""),237.9)</f>
        <v>237.9</v>
      </c>
      <c r="D186" s="21">
        <f>IFERROR(__xludf.DUMMYFUNCTION("""COMPUTED_VALUE"""),-3.0441744933411727)</f>
        <v>-3.044174493</v>
      </c>
      <c r="E186" s="21">
        <f>IFERROR(__xludf.DUMMYFUNCTION("""COMPUTED_VALUE"""),0.11595151855259545)</f>
        <v>0.1159515186</v>
      </c>
      <c r="F186" s="21">
        <f>IFERROR(__xludf.DUMMYFUNCTION("""COMPUTED_VALUE"""),-2.9282229747885773)</f>
        <v>-2.928222975</v>
      </c>
      <c r="G186" s="23">
        <f>IFERROR(__xludf.DUMMYFUNCTION("""COMPUTED_VALUE"""),-0.06707182793455703)</f>
        <v>-0.06707182793</v>
      </c>
      <c r="H186" s="4"/>
      <c r="I186" s="5" t="s">
        <v>3180</v>
      </c>
      <c r="J186" s="5" t="s">
        <v>2996</v>
      </c>
      <c r="K186" s="5">
        <v>238.0</v>
      </c>
      <c r="L186" s="5">
        <v>-3.104696</v>
      </c>
      <c r="M186" s="5">
        <v>0.176473</v>
      </c>
      <c r="N186" s="5">
        <v>-2.928223</v>
      </c>
      <c r="O186" s="5">
        <v>-0.067072</v>
      </c>
    </row>
    <row r="187">
      <c r="A187" s="12" t="str">
        <f>IFERROR(__xludf.DUMMYFUNCTION("""COMPUTED_VALUE"""),"Anthony Dallier")</f>
        <v>Anthony Dallier</v>
      </c>
      <c r="B187" s="13" t="str">
        <f>IFERROR(__xludf.DUMMYFUNCTION("""COMPUTED_VALUE"""),"NUE")</f>
        <v>NUE</v>
      </c>
      <c r="C187" s="14">
        <f>IFERROR(__xludf.DUMMYFUNCTION("""COMPUTED_VALUE"""),77.5)</f>
        <v>77.5</v>
      </c>
      <c r="D187" s="15">
        <f>IFERROR(__xludf.DUMMYFUNCTION("""COMPUTED_VALUE"""),-2.3995899525238387)</f>
        <v>-2.399589953</v>
      </c>
      <c r="E187" s="15">
        <f>IFERROR(__xludf.DUMMYFUNCTION("""COMPUTED_VALUE"""),-0.6575642817796021)</f>
        <v>-0.6575642818</v>
      </c>
      <c r="F187" s="15">
        <f>IFERROR(__xludf.DUMMYFUNCTION("""COMPUTED_VALUE"""),-3.057154234303441)</f>
        <v>-3.057154234</v>
      </c>
      <c r="G187" s="17">
        <f>IFERROR(__xludf.DUMMYFUNCTION("""COMPUTED_VALUE"""),-0.0249855710617551)</f>
        <v>-0.02498557106</v>
      </c>
      <c r="H187" s="4"/>
      <c r="I187" s="5" t="s">
        <v>3181</v>
      </c>
      <c r="J187" s="5" t="s">
        <v>3023</v>
      </c>
      <c r="K187" s="5">
        <v>78.0</v>
      </c>
      <c r="L187" s="5">
        <v>-2.767753</v>
      </c>
      <c r="M187" s="5">
        <v>-0.289401</v>
      </c>
      <c r="N187" s="5">
        <v>-3.057154</v>
      </c>
      <c r="O187" s="5">
        <v>-0.024986</v>
      </c>
    </row>
    <row r="188">
      <c r="A188" s="18" t="str">
        <f>IFERROR(__xludf.DUMMYFUNCTION("""COMPUTED_VALUE"""),"Robert Nortmann")</f>
        <v>Robert Nortmann</v>
      </c>
      <c r="B188" s="19" t="str">
        <f>IFERROR(__xludf.DUMMYFUNCTION("""COMPUTED_VALUE"""),"TRI")</f>
        <v>TRI</v>
      </c>
      <c r="C188" s="20">
        <f>IFERROR(__xludf.DUMMYFUNCTION("""COMPUTED_VALUE"""),307.0)</f>
        <v>307</v>
      </c>
      <c r="D188" s="21">
        <f>IFERROR(__xludf.DUMMYFUNCTION("""COMPUTED_VALUE"""),-3.2049209125132307)</f>
        <v>-3.204920913</v>
      </c>
      <c r="E188" s="21">
        <f>IFERROR(__xludf.DUMMYFUNCTION("""COMPUTED_VALUE"""),0.023956376229907317)</f>
        <v>0.02395637623</v>
      </c>
      <c r="F188" s="21">
        <f>IFERROR(__xludf.DUMMYFUNCTION("""COMPUTED_VALUE"""),-3.1809645362833234)</f>
        <v>-3.180964536</v>
      </c>
      <c r="G188" s="23">
        <f>IFERROR(__xludf.DUMMYFUNCTION("""COMPUTED_VALUE"""),-0.11019915150176719)</f>
        <v>-0.1101991515</v>
      </c>
      <c r="H188" s="4"/>
      <c r="I188" s="5" t="s">
        <v>3182</v>
      </c>
      <c r="J188" s="5" t="s">
        <v>2991</v>
      </c>
      <c r="K188" s="5">
        <v>307.0</v>
      </c>
      <c r="L188" s="5">
        <v>-2.20335</v>
      </c>
      <c r="M188" s="5">
        <v>-0.977615</v>
      </c>
      <c r="N188" s="5">
        <v>-3.180965</v>
      </c>
      <c r="O188" s="5">
        <v>-0.110199</v>
      </c>
    </row>
    <row r="189">
      <c r="A189" s="12" t="str">
        <f>IFERROR(__xludf.DUMMYFUNCTION("""COMPUTED_VALUE"""),"Benedikt Nicolay")</f>
        <v>Benedikt Nicolay</v>
      </c>
      <c r="B189" s="13" t="str">
        <f>IFERROR(__xludf.DUMMYFUNCTION("""COMPUTED_VALUE"""),"HEBE")</f>
        <v>HEBE</v>
      </c>
      <c r="C189" s="14">
        <f>IFERROR(__xludf.DUMMYFUNCTION("""COMPUTED_VALUE"""),94.3)</f>
        <v>94.3</v>
      </c>
      <c r="D189" s="15">
        <f>IFERROR(__xludf.DUMMYFUNCTION("""COMPUTED_VALUE"""),-2.483864445174543)</f>
        <v>-2.483864445</v>
      </c>
      <c r="E189" s="15">
        <f>IFERROR(__xludf.DUMMYFUNCTION("""COMPUTED_VALUE"""),-0.713241362608307)</f>
        <v>-0.7132413626</v>
      </c>
      <c r="F189" s="15">
        <f>IFERROR(__xludf.DUMMYFUNCTION("""COMPUTED_VALUE"""),-3.19710580778285)</f>
        <v>-3.197105808</v>
      </c>
      <c r="G189" s="17">
        <f>IFERROR(__xludf.DUMMYFUNCTION("""COMPUTED_VALUE"""),-0.03403569532459219)</f>
        <v>-0.03403569532</v>
      </c>
      <c r="H189" s="4"/>
      <c r="I189" s="5" t="s">
        <v>3183</v>
      </c>
      <c r="J189" s="5" t="s">
        <v>3004</v>
      </c>
      <c r="K189" s="5">
        <v>94.0</v>
      </c>
      <c r="L189" s="5">
        <v>-2.630037</v>
      </c>
      <c r="M189" s="5">
        <v>-0.567069</v>
      </c>
      <c r="N189" s="5">
        <v>-3.197106</v>
      </c>
      <c r="O189" s="5">
        <v>-0.034036</v>
      </c>
    </row>
    <row r="190">
      <c r="A190" s="18" t="str">
        <f>IFERROR(__xludf.DUMMYFUNCTION("""COMPUTED_VALUE"""),"Phillip Daubner")</f>
        <v>Phillip Daubner</v>
      </c>
      <c r="B190" s="19" t="str">
        <f>IFERROR(__xludf.DUMMYFUNCTION("""COMPUTED_VALUE"""),"FIN")</f>
        <v>FIN</v>
      </c>
      <c r="C190" s="20">
        <f>IFERROR(__xludf.DUMMYFUNCTION("""COMPUTED_VALUE"""),698.1)</f>
        <v>698.1</v>
      </c>
      <c r="D190" s="21">
        <f>IFERROR(__xludf.DUMMYFUNCTION("""COMPUTED_VALUE"""),0.4083733293138847)</f>
        <v>0.4083733293</v>
      </c>
      <c r="E190" s="21">
        <f>IFERROR(__xludf.DUMMYFUNCTION("""COMPUTED_VALUE"""),-3.654968029202367)</f>
        <v>-3.654968029</v>
      </c>
      <c r="F190" s="21">
        <f>IFERROR(__xludf.DUMMYFUNCTION("""COMPUTED_VALUE"""),-3.2465946998884823)</f>
        <v>-3.2465947</v>
      </c>
      <c r="G190" s="23">
        <f>IFERROR(__xludf.DUMMYFUNCTION("""COMPUTED_VALUE"""),-0.2642272995173251)</f>
        <v>-0.2642272995</v>
      </c>
      <c r="H190" s="4"/>
      <c r="I190" s="5" t="s">
        <v>3184</v>
      </c>
      <c r="J190" s="5" t="s">
        <v>3059</v>
      </c>
      <c r="K190" s="5">
        <v>698.0</v>
      </c>
      <c r="L190" s="5">
        <v>-2.124115</v>
      </c>
      <c r="M190" s="5">
        <v>-1.12248</v>
      </c>
      <c r="N190" s="5">
        <v>-3.246595</v>
      </c>
      <c r="O190" s="5">
        <v>-0.264227</v>
      </c>
    </row>
    <row r="191">
      <c r="A191" s="12" t="str">
        <f>IFERROR(__xludf.DUMMYFUNCTION("""COMPUTED_VALUE"""),"Lavon Long")</f>
        <v>Lavon Long</v>
      </c>
      <c r="B191" s="13" t="str">
        <f>IFERROR(__xludf.DUMMYFUNCTION("""COMPUTED_VALUE"""),"HEBE")</f>
        <v>HEBE</v>
      </c>
      <c r="C191" s="14">
        <f>IFERROR(__xludf.DUMMYFUNCTION("""COMPUTED_VALUE"""),494.4)</f>
        <v>494.4</v>
      </c>
      <c r="D191" s="15">
        <f>IFERROR(__xludf.DUMMYFUNCTION("""COMPUTED_VALUE"""),-2.9407532152237232)</f>
        <v>-2.940753215</v>
      </c>
      <c r="E191" s="15">
        <f>IFERROR(__xludf.DUMMYFUNCTION("""COMPUTED_VALUE"""),-0.3709062882912866)</f>
        <v>-0.3709062883</v>
      </c>
      <c r="F191" s="15">
        <f>IFERROR(__xludf.DUMMYFUNCTION("""COMPUTED_VALUE"""),-3.31165950351501)</f>
        <v>-3.311659504</v>
      </c>
      <c r="G191" s="17">
        <f>IFERROR(__xludf.DUMMYFUNCTION("""COMPUTED_VALUE"""),-0.19551945101529555)</f>
        <v>-0.195519451</v>
      </c>
      <c r="H191" s="4"/>
      <c r="I191" s="5" t="s">
        <v>3185</v>
      </c>
      <c r="J191" s="5" t="s">
        <v>3004</v>
      </c>
      <c r="K191" s="5">
        <v>494.0</v>
      </c>
      <c r="L191" s="5">
        <v>-3.405778</v>
      </c>
      <c r="M191" s="5">
        <v>0.094119</v>
      </c>
      <c r="N191" s="5">
        <v>-3.31166</v>
      </c>
      <c r="O191" s="5">
        <v>-0.195519</v>
      </c>
    </row>
    <row r="192">
      <c r="A192" s="18" t="str">
        <f>IFERROR(__xludf.DUMMYFUNCTION("""COMPUTED_VALUE"""),"Adin Vrabac")</f>
        <v>Adin Vrabac</v>
      </c>
      <c r="B192" s="19" t="str">
        <f>IFERROR(__xludf.DUMMYFUNCTION("""COMPUTED_VALUE"""),"HAM")</f>
        <v>HAM</v>
      </c>
      <c r="C192" s="20">
        <f>IFERROR(__xludf.DUMMYFUNCTION("""COMPUTED_VALUE"""),268.9)</f>
        <v>268.9</v>
      </c>
      <c r="D192" s="21">
        <f>IFERROR(__xludf.DUMMYFUNCTION("""COMPUTED_VALUE"""),-3.4555554781520352)</f>
        <v>-3.455555478</v>
      </c>
      <c r="E192" s="21">
        <f>IFERROR(__xludf.DUMMYFUNCTION("""COMPUTED_VALUE"""),0.05957335835056421)</f>
        <v>0.05957335835</v>
      </c>
      <c r="F192" s="21">
        <f>IFERROR(__xludf.DUMMYFUNCTION("""COMPUTED_VALUE"""),-3.395982119801471)</f>
        <v>-3.39598212</v>
      </c>
      <c r="G192" s="23">
        <f>IFERROR(__xludf.DUMMYFUNCTION("""COMPUTED_VALUE"""),-0.11953312421971754)</f>
        <v>-0.1195331242</v>
      </c>
      <c r="H192" s="4"/>
      <c r="I192" s="5" t="s">
        <v>525</v>
      </c>
      <c r="J192" s="5" t="s">
        <v>3008</v>
      </c>
      <c r="K192" s="5">
        <v>269.0</v>
      </c>
      <c r="L192" s="5">
        <v>-3.466118</v>
      </c>
      <c r="M192" s="5">
        <v>0.070135</v>
      </c>
      <c r="N192" s="5">
        <v>-3.395982</v>
      </c>
      <c r="O192" s="5">
        <v>-0.119533</v>
      </c>
    </row>
    <row r="193">
      <c r="A193" s="12" t="str">
        <f>IFERROR(__xludf.DUMMYFUNCTION("""COMPUTED_VALUE"""),"Leon Baeck")</f>
        <v>Leon Baeck</v>
      </c>
      <c r="B193" s="13" t="str">
        <f>IFERROR(__xludf.DUMMYFUNCTION("""COMPUTED_VALUE"""),"RHEI")</f>
        <v>RHEI</v>
      </c>
      <c r="C193" s="14">
        <f>IFERROR(__xludf.DUMMYFUNCTION("""COMPUTED_VALUE"""),260.7)</f>
        <v>260.7</v>
      </c>
      <c r="D193" s="15">
        <f>IFERROR(__xludf.DUMMYFUNCTION("""COMPUTED_VALUE"""),-4.86135859034438)</f>
        <v>-4.86135859</v>
      </c>
      <c r="E193" s="15">
        <f>IFERROR(__xludf.DUMMYFUNCTION("""COMPUTED_VALUE"""),1.4313424065788092)</f>
        <v>1.431342407</v>
      </c>
      <c r="F193" s="15">
        <f>IFERROR(__xludf.DUMMYFUNCTION("""COMPUTED_VALUE"""),-3.4300161837655705)</f>
        <v>-3.430016184</v>
      </c>
      <c r="G193" s="17">
        <f>IFERROR(__xludf.DUMMYFUNCTION("""COMPUTED_VALUE"""),-0.11325857464843403)</f>
        <v>-0.1132585746</v>
      </c>
      <c r="H193" s="4"/>
      <c r="I193" s="5" t="s">
        <v>3186</v>
      </c>
      <c r="J193" s="5" t="s">
        <v>2972</v>
      </c>
      <c r="K193" s="5">
        <v>261.0</v>
      </c>
      <c r="L193" s="5">
        <v>-6.082534</v>
      </c>
      <c r="M193" s="5">
        <v>2.652518</v>
      </c>
      <c r="N193" s="5">
        <v>-3.430016</v>
      </c>
      <c r="O193" s="5">
        <v>-0.113259</v>
      </c>
    </row>
    <row r="194">
      <c r="A194" s="18" t="str">
        <f>IFERROR(__xludf.DUMMYFUNCTION("""COMPUTED_VALUE"""),"Luca Kahl")</f>
        <v>Luca Kahl</v>
      </c>
      <c r="B194" s="19" t="str">
        <f>IFERROR(__xludf.DUMMYFUNCTION("""COMPUTED_VALUE"""),"FIN")</f>
        <v>FIN</v>
      </c>
      <c r="C194" s="20">
        <f>IFERROR(__xludf.DUMMYFUNCTION("""COMPUTED_VALUE"""),451.0)</f>
        <v>451</v>
      </c>
      <c r="D194" s="21">
        <f>IFERROR(__xludf.DUMMYFUNCTION("""COMPUTED_VALUE"""),-0.2229506142044808)</f>
        <v>-0.2229506142</v>
      </c>
      <c r="E194" s="21">
        <f>IFERROR(__xludf.DUMMYFUNCTION("""COMPUTED_VALUE"""),-3.479349165261447)</f>
        <v>-3.479349165</v>
      </c>
      <c r="F194" s="21">
        <f>IFERROR(__xludf.DUMMYFUNCTION("""COMPUTED_VALUE"""),-3.702299779465928)</f>
        <v>-3.702299779</v>
      </c>
      <c r="G194" s="23">
        <f>IFERROR(__xludf.DUMMYFUNCTION("""COMPUTED_VALUE"""),-0.23310272839918172)</f>
        <v>-0.2331027284</v>
      </c>
      <c r="H194" s="4"/>
      <c r="I194" s="5" t="s">
        <v>3187</v>
      </c>
      <c r="J194" s="5" t="s">
        <v>3059</v>
      </c>
      <c r="K194" s="5">
        <v>451.0</v>
      </c>
      <c r="L194" s="5">
        <v>-2.755439</v>
      </c>
      <c r="M194" s="5">
        <v>-0.946861</v>
      </c>
      <c r="N194" s="5">
        <v>-3.7023</v>
      </c>
      <c r="O194" s="5">
        <v>-0.233103</v>
      </c>
    </row>
    <row r="195">
      <c r="A195" s="12" t="str">
        <f>IFERROR(__xludf.DUMMYFUNCTION("""COMPUTED_VALUE"""),"Felix Per Edwardsson")</f>
        <v>Felix Per Edwardsson</v>
      </c>
      <c r="B195" s="13" t="str">
        <f>IFERROR(__xludf.DUMMYFUNCTION("""COMPUTED_VALUE"""),"BYP")</f>
        <v>BYP</v>
      </c>
      <c r="C195" s="14">
        <f>IFERROR(__xludf.DUMMYFUNCTION("""COMPUTED_VALUE"""),214.8)</f>
        <v>214.8</v>
      </c>
      <c r="D195" s="15">
        <f>IFERROR(__xludf.DUMMYFUNCTION("""COMPUTED_VALUE"""),-0.8664374059415973)</f>
        <v>-0.8664374059</v>
      </c>
      <c r="E195" s="15">
        <f>IFERROR(__xludf.DUMMYFUNCTION("""COMPUTED_VALUE"""),-2.88562880861308)</f>
        <v>-2.885628809</v>
      </c>
      <c r="F195" s="15">
        <f>IFERROR(__xludf.DUMMYFUNCTION("""COMPUTED_VALUE"""),-3.7520662145546773)</f>
        <v>-3.752066215</v>
      </c>
      <c r="G195" s="17">
        <f>IFERROR(__xludf.DUMMYFUNCTION("""COMPUTED_VALUE"""),-0.11397722262099459)</f>
        <v>-0.1139772226</v>
      </c>
      <c r="H195" s="4"/>
      <c r="I195" s="5" t="s">
        <v>3188</v>
      </c>
      <c r="J195" s="5" t="s">
        <v>2983</v>
      </c>
      <c r="K195" s="5">
        <v>215.0</v>
      </c>
      <c r="L195" s="5">
        <v>-1.637984</v>
      </c>
      <c r="M195" s="5">
        <v>-2.114082</v>
      </c>
      <c r="N195" s="5">
        <v>-3.752066</v>
      </c>
      <c r="O195" s="5">
        <v>-0.113977</v>
      </c>
    </row>
    <row r="196">
      <c r="A196" s="18" t="str">
        <f>IFERROR(__xludf.DUMMYFUNCTION("""COMPUTED_VALUE"""),"Dmitrj Kreis")</f>
        <v>Dmitrj Kreis</v>
      </c>
      <c r="B196" s="19" t="str">
        <f>IFERROR(__xludf.DUMMYFUNCTION("""COMPUTED_VALUE"""),"PS")</f>
        <v>PS</v>
      </c>
      <c r="C196" s="20">
        <f>IFERROR(__xludf.DUMMYFUNCTION("""COMPUTED_VALUE"""),477.3)</f>
        <v>477.3</v>
      </c>
      <c r="D196" s="21">
        <f>IFERROR(__xludf.DUMMYFUNCTION("""COMPUTED_VALUE"""),-6.203943707948417)</f>
        <v>-6.203943708</v>
      </c>
      <c r="E196" s="21">
        <f>IFERROR(__xludf.DUMMYFUNCTION("""COMPUTED_VALUE"""),2.4405802781137877)</f>
        <v>2.440580278</v>
      </c>
      <c r="F196" s="21">
        <f>IFERROR(__xludf.DUMMYFUNCTION("""COMPUTED_VALUE"""),-3.7633634298346292)</f>
        <v>-3.76336343</v>
      </c>
      <c r="G196" s="23">
        <f>IFERROR(__xludf.DUMMYFUNCTION("""COMPUTED_VALUE"""),-0.2566051033255767)</f>
        <v>-0.2566051033</v>
      </c>
      <c r="H196" s="4"/>
      <c r="I196" s="5" t="s">
        <v>3189</v>
      </c>
      <c r="J196" s="5" t="s">
        <v>2975</v>
      </c>
      <c r="K196" s="5">
        <v>477.0</v>
      </c>
      <c r="L196" s="5">
        <v>-5.012374</v>
      </c>
      <c r="M196" s="5">
        <v>1.24901</v>
      </c>
      <c r="N196" s="5">
        <v>-3.763363</v>
      </c>
      <c r="O196" s="5">
        <v>-0.256605</v>
      </c>
    </row>
    <row r="197">
      <c r="A197" s="12" t="str">
        <f>IFERROR(__xludf.DUMMYFUNCTION("""COMPUTED_VALUE"""),"Cole Preston")</f>
        <v>Cole Preston</v>
      </c>
      <c r="B197" s="13" t="str">
        <f>IFERROR(__xludf.DUMMYFUNCTION("""COMPUTED_VALUE"""),"URS")</f>
        <v>URS</v>
      </c>
      <c r="C197" s="14">
        <f>IFERROR(__xludf.DUMMYFUNCTION("""COMPUTED_VALUE"""),163.8)</f>
        <v>163.8</v>
      </c>
      <c r="D197" s="15">
        <f>IFERROR(__xludf.DUMMYFUNCTION("""COMPUTED_VALUE"""),-0.7446511663100703)</f>
        <v>-0.7446511663</v>
      </c>
      <c r="E197" s="15">
        <f>IFERROR(__xludf.DUMMYFUNCTION("""COMPUTED_VALUE"""),-3.032552227838649)</f>
        <v>-3.032552228</v>
      </c>
      <c r="F197" s="15">
        <f>IFERROR(__xludf.DUMMYFUNCTION("""COMPUTED_VALUE"""),-3.7772033941487195)</f>
        <v>-3.777203394</v>
      </c>
      <c r="G197" s="17">
        <f>IFERROR(__xludf.DUMMYFUNCTION("""COMPUTED_VALUE"""),-0.08801686284208574)</f>
        <v>-0.08801686284</v>
      </c>
      <c r="H197" s="4"/>
      <c r="I197" s="5" t="s">
        <v>3190</v>
      </c>
      <c r="J197" s="5" t="s">
        <v>3036</v>
      </c>
      <c r="K197" s="24">
        <v>164.0</v>
      </c>
      <c r="L197" s="5">
        <v>-1.078006</v>
      </c>
      <c r="M197" s="5">
        <v>-2.699197</v>
      </c>
      <c r="N197" s="5">
        <v>-3.777203</v>
      </c>
      <c r="O197" s="5">
        <v>-0.088017</v>
      </c>
    </row>
    <row r="198">
      <c r="A198" s="18" t="str">
        <f>IFERROR(__xludf.DUMMYFUNCTION("""COMPUTED_VALUE"""),"Nils Hassfurther")</f>
        <v>Nils Hassfurther</v>
      </c>
      <c r="B198" s="19" t="str">
        <f>IFERROR(__xludf.DUMMYFUNCTION("""COMPUTED_VALUE"""),"NUE")</f>
        <v>NUE</v>
      </c>
      <c r="C198" s="20">
        <f>IFERROR(__xludf.DUMMYFUNCTION("""COMPUTED_VALUE"""),437.2)</f>
        <v>437.2</v>
      </c>
      <c r="D198" s="21">
        <f>IFERROR(__xludf.DUMMYFUNCTION("""COMPUTED_VALUE"""),-0.40905066230631015)</f>
        <v>-0.4090506623</v>
      </c>
      <c r="E198" s="21">
        <f>IFERROR(__xludf.DUMMYFUNCTION("""COMPUTED_VALUE"""),-3.3794260439719768)</f>
        <v>-3.379426044</v>
      </c>
      <c r="F198" s="21">
        <f>IFERROR(__xludf.DUMMYFUNCTION("""COMPUTED_VALUE"""),-3.7884767062782867)</f>
        <v>-3.788476706</v>
      </c>
      <c r="G198" s="23">
        <f>IFERROR(__xludf.DUMMYFUNCTION("""COMPUTED_VALUE"""),-0.23845842175146792)</f>
        <v>-0.2384584218</v>
      </c>
      <c r="H198" s="4"/>
      <c r="I198" s="5" t="s">
        <v>3191</v>
      </c>
      <c r="J198" s="5" t="s">
        <v>3023</v>
      </c>
      <c r="K198" s="24">
        <v>437.0</v>
      </c>
      <c r="L198" s="5">
        <v>-1.834198</v>
      </c>
      <c r="M198" s="5">
        <v>-1.954278</v>
      </c>
      <c r="N198" s="5">
        <v>-3.788477</v>
      </c>
      <c r="O198" s="5">
        <v>-0.238458</v>
      </c>
    </row>
    <row r="199">
      <c r="A199" s="12" t="str">
        <f>IFERROR(__xludf.DUMMYFUNCTION("""COMPUTED_VALUE"""),"Moritz Sanders")</f>
        <v>Moritz Sanders</v>
      </c>
      <c r="B199" s="13" t="str">
        <f>IFERROR(__xludf.DUMMYFUNCTION("""COMPUTED_VALUE"""),"NUE")</f>
        <v>NUE</v>
      </c>
      <c r="C199" s="14">
        <f>IFERROR(__xludf.DUMMYFUNCTION("""COMPUTED_VALUE"""),387.8)</f>
        <v>387.8</v>
      </c>
      <c r="D199" s="15">
        <f>IFERROR(__xludf.DUMMYFUNCTION("""COMPUTED_VALUE"""),-1.3989159893741903)</f>
        <v>-1.398915989</v>
      </c>
      <c r="E199" s="15">
        <f>IFERROR(__xludf.DUMMYFUNCTION("""COMPUTED_VALUE"""),-2.407143362392686)</f>
        <v>-2.407143362</v>
      </c>
      <c r="F199" s="15">
        <f>IFERROR(__xludf.DUMMYFUNCTION("""COMPUTED_VALUE"""),-3.8060593517668764)</f>
        <v>-3.806059352</v>
      </c>
      <c r="G199" s="17">
        <f>IFERROR(__xludf.DUMMYFUNCTION("""COMPUTED_VALUE"""),-0.21359399897507386)</f>
        <v>-0.213593999</v>
      </c>
      <c r="H199" s="4"/>
      <c r="I199" s="5" t="s">
        <v>3192</v>
      </c>
      <c r="J199" s="5" t="s">
        <v>3023</v>
      </c>
      <c r="K199" s="5">
        <v>388.0</v>
      </c>
      <c r="L199" s="5">
        <v>-2.824064</v>
      </c>
      <c r="M199" s="5">
        <v>-0.981996</v>
      </c>
      <c r="N199" s="5">
        <v>-3.806059</v>
      </c>
      <c r="O199" s="5">
        <v>-0.213594</v>
      </c>
    </row>
    <row r="200">
      <c r="A200" s="18" t="str">
        <f>IFERROR(__xludf.DUMMYFUNCTION("""COMPUTED_VALUE"""),"Soren Fritze")</f>
        <v>Soren Fritze</v>
      </c>
      <c r="B200" s="19" t="str">
        <f>IFERROR(__xludf.DUMMYFUNCTION("""COMPUTED_VALUE"""),"HAM")</f>
        <v>HAM</v>
      </c>
      <c r="C200" s="20">
        <f>IFERROR(__xludf.DUMMYFUNCTION("""COMPUTED_VALUE"""),88.9)</f>
        <v>88.9</v>
      </c>
      <c r="D200" s="21">
        <f>IFERROR(__xludf.DUMMYFUNCTION("""COMPUTED_VALUE"""),-2.6822767218119234)</f>
        <v>-2.682276722</v>
      </c>
      <c r="E200" s="21">
        <f>IFERROR(__xludf.DUMMYFUNCTION("""COMPUTED_VALUE"""),-1.1522504730941323)</f>
        <v>-1.152250473</v>
      </c>
      <c r="F200" s="21">
        <f>IFERROR(__xludf.DUMMYFUNCTION("""COMPUTED_VALUE"""),-3.8345271949060558)</f>
        <v>-3.834527195</v>
      </c>
      <c r="G200" s="23">
        <f>IFERROR(__xludf.DUMMYFUNCTION("""COMPUTED_VALUE"""),-0.05193301396109062)</f>
        <v>-0.05193301396</v>
      </c>
      <c r="H200" s="4"/>
      <c r="I200" s="5" t="s">
        <v>3193</v>
      </c>
      <c r="J200" s="5" t="s">
        <v>3008</v>
      </c>
      <c r="K200" s="5">
        <v>89.0</v>
      </c>
      <c r="L200" s="5">
        <v>-2.685769</v>
      </c>
      <c r="M200" s="5">
        <v>-1.148759</v>
      </c>
      <c r="N200" s="5">
        <v>-3.834527</v>
      </c>
      <c r="O200" s="5">
        <v>-0.051933</v>
      </c>
    </row>
    <row r="201">
      <c r="A201" s="12" t="str">
        <f>IFERROR(__xludf.DUMMYFUNCTION("""COMPUTED_VALUE"""),"Benedict Van Laack")</f>
        <v>Benedict Van Laack</v>
      </c>
      <c r="B201" s="13" t="str">
        <f>IFERROR(__xludf.DUMMYFUNCTION("""COMPUTED_VALUE"""),"RHEI")</f>
        <v>RHEI</v>
      </c>
      <c r="C201" s="14">
        <f>IFERROR(__xludf.DUMMYFUNCTION("""COMPUTED_VALUE"""),108.5)</f>
        <v>108.5</v>
      </c>
      <c r="D201" s="15">
        <f>IFERROR(__xludf.DUMMYFUNCTION("""COMPUTED_VALUE"""),-3.337304810569186)</f>
        <v>-3.337304811</v>
      </c>
      <c r="E201" s="15">
        <f>IFERROR(__xludf.DUMMYFUNCTION("""COMPUTED_VALUE"""),-0.5147911063187163)</f>
        <v>-0.5147911063</v>
      </c>
      <c r="F201" s="15">
        <f>IFERROR(__xludf.DUMMYFUNCTION("""COMPUTED_VALUE"""),-3.8520959168879023)</f>
        <v>-3.852095917</v>
      </c>
      <c r="G201" s="17">
        <f>IFERROR(__xludf.DUMMYFUNCTION("""COMPUTED_VALUE"""),-0.06104952940698366)</f>
        <v>-0.06104952941</v>
      </c>
      <c r="H201" s="4"/>
      <c r="I201" s="5" t="s">
        <v>3194</v>
      </c>
      <c r="J201" s="5" t="s">
        <v>2972</v>
      </c>
      <c r="K201" s="5">
        <v>109.0</v>
      </c>
      <c r="L201" s="5">
        <v>-3.845542</v>
      </c>
      <c r="M201" s="5">
        <v>-0.006554</v>
      </c>
      <c r="N201" s="5">
        <v>-3.852096</v>
      </c>
      <c r="O201" s="5">
        <v>-0.06105</v>
      </c>
    </row>
    <row r="202">
      <c r="A202" s="18" t="str">
        <f>IFERROR(__xludf.DUMMYFUNCTION("""COMPUTED_VALUE"""),"Lukas Rosenbohm")</f>
        <v>Lukas Rosenbohm</v>
      </c>
      <c r="B202" s="19" t="str">
        <f>IFERROR(__xludf.DUMMYFUNCTION("""COMPUTED_VALUE"""),"MLP")</f>
        <v>MLP</v>
      </c>
      <c r="C202" s="20">
        <f>IFERROR(__xludf.DUMMYFUNCTION("""COMPUTED_VALUE"""),146.3)</f>
        <v>146.3</v>
      </c>
      <c r="D202" s="21">
        <f>IFERROR(__xludf.DUMMYFUNCTION("""COMPUTED_VALUE"""),-3.9377596252147335)</f>
        <v>-3.937759625</v>
      </c>
      <c r="E202" s="21">
        <f>IFERROR(__xludf.DUMMYFUNCTION("""COMPUTED_VALUE"""),-0.1058128380368113)</f>
        <v>-0.105812838</v>
      </c>
      <c r="F202" s="21">
        <f>IFERROR(__xludf.DUMMYFUNCTION("""COMPUTED_VALUE"""),-4.043572463251545)</f>
        <v>-4.043572463</v>
      </c>
      <c r="G202" s="23">
        <f>IFERROR(__xludf.DUMMYFUNCTION("""COMPUTED_VALUE"""),-0.09122996375536949)</f>
        <v>-0.09122996376</v>
      </c>
      <c r="H202" s="4"/>
      <c r="I202" s="5" t="s">
        <v>3195</v>
      </c>
      <c r="J202" s="5" t="s">
        <v>2987</v>
      </c>
      <c r="K202" s="5">
        <v>146.0</v>
      </c>
      <c r="L202" s="5">
        <v>-3.548772</v>
      </c>
      <c r="M202" s="5">
        <v>-0.4948</v>
      </c>
      <c r="N202" s="5">
        <v>-4.043572</v>
      </c>
      <c r="O202" s="5">
        <v>-0.09123</v>
      </c>
    </row>
    <row r="203">
      <c r="A203" s="12" t="str">
        <f>IFERROR(__xludf.DUMMYFUNCTION("""COMPUTED_VALUE"""),"Bradley Hayes")</f>
        <v>Bradley Hayes</v>
      </c>
      <c r="B203" s="13" t="str">
        <f>IFERROR(__xludf.DUMMYFUNCTION("""COMPUTED_VALUE"""),"URS")</f>
        <v>URS</v>
      </c>
      <c r="C203" s="14">
        <f>IFERROR(__xludf.DUMMYFUNCTION("""COMPUTED_VALUE"""),710.3)</f>
        <v>710.3</v>
      </c>
      <c r="D203" s="15">
        <f>IFERROR(__xludf.DUMMYFUNCTION("""COMPUTED_VALUE"""),-2.3862932065687654)</f>
        <v>-2.386293207</v>
      </c>
      <c r="E203" s="15">
        <f>IFERROR(__xludf.DUMMYFUNCTION("""COMPUTED_VALUE"""),-1.6575190743840706)</f>
        <v>-1.657519074</v>
      </c>
      <c r="F203" s="15">
        <f>IFERROR(__xludf.DUMMYFUNCTION("""COMPUTED_VALUE"""),-4.043812280952836)</f>
        <v>-4.043812281</v>
      </c>
      <c r="G203" s="17">
        <f>IFERROR(__xludf.DUMMYFUNCTION("""COMPUTED_VALUE"""),-0.43893243343714117)</f>
        <v>-0.4389324334</v>
      </c>
      <c r="H203" s="4"/>
      <c r="I203" s="5" t="s">
        <v>3196</v>
      </c>
      <c r="J203" s="5" t="s">
        <v>3036</v>
      </c>
      <c r="K203" s="5">
        <v>710.0</v>
      </c>
      <c r="L203" s="5">
        <v>-2.996834</v>
      </c>
      <c r="M203" s="5">
        <v>-1.046978</v>
      </c>
      <c r="N203" s="5">
        <v>-4.043812</v>
      </c>
      <c r="O203" s="5">
        <v>-0.438932</v>
      </c>
    </row>
    <row r="204">
      <c r="A204" s="18" t="str">
        <f>IFERROR(__xludf.DUMMYFUNCTION("""COMPUTED_VALUE"""),"Javon Baumann")</f>
        <v>Javon Baumann</v>
      </c>
      <c r="B204" s="19" t="str">
        <f>IFERROR(__xludf.DUMMYFUNCTION("""COMPUTED_VALUE"""),"HAG")</f>
        <v>HAG</v>
      </c>
      <c r="C204" s="20">
        <f>IFERROR(__xludf.DUMMYFUNCTION("""COMPUTED_VALUE"""),381.3)</f>
        <v>381.3</v>
      </c>
      <c r="D204" s="21">
        <f>IFERROR(__xludf.DUMMYFUNCTION("""COMPUTED_VALUE"""),-3.510354034209205)</f>
        <v>-3.510354034</v>
      </c>
      <c r="E204" s="21">
        <f>IFERROR(__xludf.DUMMYFUNCTION("""COMPUTED_VALUE"""),-0.540471577254825)</f>
        <v>-0.5404715773</v>
      </c>
      <c r="F204" s="21">
        <f>IFERROR(__xludf.DUMMYFUNCTION("""COMPUTED_VALUE"""),-4.05082561146403)</f>
        <v>-4.050825611</v>
      </c>
      <c r="G204" s="23">
        <f>IFERROR(__xludf.DUMMYFUNCTION("""COMPUTED_VALUE"""),-0.23660881633571584)</f>
        <v>-0.2366088163</v>
      </c>
      <c r="H204" s="4"/>
      <c r="I204" s="5" t="s">
        <v>3197</v>
      </c>
      <c r="J204" s="5" t="s">
        <v>3006</v>
      </c>
      <c r="K204" s="5">
        <v>381.0</v>
      </c>
      <c r="L204" s="5">
        <v>-3.844492</v>
      </c>
      <c r="M204" s="5">
        <v>-0.206334</v>
      </c>
      <c r="N204" s="5">
        <v>-4.050826</v>
      </c>
      <c r="O204" s="5">
        <v>-0.236609</v>
      </c>
    </row>
    <row r="205">
      <c r="A205" s="12" t="str">
        <f>IFERROR(__xludf.DUMMYFUNCTION("""COMPUTED_VALUE"""),"Thomas Cooper")</f>
        <v>Thomas Cooper</v>
      </c>
      <c r="B205" s="13" t="str">
        <f>IFERROR(__xludf.DUMMYFUNCTION("""COMPUTED_VALUE"""),"FIN")</f>
        <v>FIN</v>
      </c>
      <c r="C205" s="14">
        <f>IFERROR(__xludf.DUMMYFUNCTION("""COMPUTED_VALUE"""),165.6)</f>
        <v>165.6</v>
      </c>
      <c r="D205" s="15">
        <f>IFERROR(__xludf.DUMMYFUNCTION("""COMPUTED_VALUE"""),-2.053378478530314)</f>
        <v>-2.053378479</v>
      </c>
      <c r="E205" s="15">
        <f>IFERROR(__xludf.DUMMYFUNCTION("""COMPUTED_VALUE"""),-2.0717669420551084)</f>
        <v>-2.071766942</v>
      </c>
      <c r="F205" s="15">
        <f>IFERROR(__xludf.DUMMYFUNCTION("""COMPUTED_VALUE"""),-4.125145420585422)</f>
        <v>-4.125145421</v>
      </c>
      <c r="G205" s="17">
        <f>IFERROR(__xludf.DUMMYFUNCTION("""COMPUTED_VALUE"""),-0.10685227127738252)</f>
        <v>-0.1068522713</v>
      </c>
      <c r="H205" s="4"/>
      <c r="I205" s="5" t="s">
        <v>3198</v>
      </c>
      <c r="J205" s="5" t="s">
        <v>3059</v>
      </c>
      <c r="K205" s="5">
        <v>166.0</v>
      </c>
      <c r="L205" s="5">
        <v>-3.451312</v>
      </c>
      <c r="M205" s="5">
        <v>-0.673834</v>
      </c>
      <c r="N205" s="5">
        <v>-4.125145</v>
      </c>
      <c r="O205" s="5">
        <v>-0.106852</v>
      </c>
    </row>
    <row r="206">
      <c r="A206" s="18" t="str">
        <f>IFERROR(__xludf.DUMMYFUNCTION("""COMPUTED_VALUE"""),"Marcell Pongo")</f>
        <v>Marcell Pongo</v>
      </c>
      <c r="B206" s="19" t="str">
        <f>IFERROR(__xludf.DUMMYFUNCTION("""COMPUTED_VALUE"""),"ORAN")</f>
        <v>ORAN</v>
      </c>
      <c r="C206" s="20">
        <f>IFERROR(__xludf.DUMMYFUNCTION("""COMPUTED_VALUE"""),823.3)</f>
        <v>823.3</v>
      </c>
      <c r="D206" s="21">
        <f>IFERROR(__xludf.DUMMYFUNCTION("""COMPUTED_VALUE"""),0.08374522565441045)</f>
        <v>0.08374522565</v>
      </c>
      <c r="E206" s="21">
        <f>IFERROR(__xludf.DUMMYFUNCTION("""COMPUTED_VALUE"""),-4.213710223671449)</f>
        <v>-4.213710224</v>
      </c>
      <c r="F206" s="21">
        <f>IFERROR(__xludf.DUMMYFUNCTION("""COMPUTED_VALUE"""),-4.129964998017039)</f>
        <v>-4.129964998</v>
      </c>
      <c r="G206" s="23">
        <f>IFERROR(__xludf.DUMMYFUNCTION("""COMPUTED_VALUE"""),-0.5334569178612067)</f>
        <v>-0.5334569179</v>
      </c>
      <c r="H206" s="4"/>
      <c r="I206" s="5" t="s">
        <v>1121</v>
      </c>
      <c r="J206" s="5" t="s">
        <v>3088</v>
      </c>
      <c r="K206" s="24">
        <v>823.0</v>
      </c>
      <c r="L206" s="5">
        <v>-1.460906</v>
      </c>
      <c r="M206" s="5">
        <v>-2.669059</v>
      </c>
      <c r="N206" s="5">
        <v>-4.129965</v>
      </c>
      <c r="O206" s="5">
        <v>-0.533457</v>
      </c>
    </row>
    <row r="207">
      <c r="A207" s="12" t="str">
        <f>IFERROR(__xludf.DUMMYFUNCTION("""COMPUTED_VALUE"""),"Marco Hollersbacher")</f>
        <v>Marco Hollersbacher</v>
      </c>
      <c r="B207" s="13" t="str">
        <f>IFERROR(__xludf.DUMMYFUNCTION("""COMPUTED_VALUE"""),"HAG")</f>
        <v>HAG</v>
      </c>
      <c r="C207" s="14">
        <f>IFERROR(__xludf.DUMMYFUNCTION("""COMPUTED_VALUE"""),207.4)</f>
        <v>207.4</v>
      </c>
      <c r="D207" s="15">
        <f>IFERROR(__xludf.DUMMYFUNCTION("""COMPUTED_VALUE"""),-2.450492989621647)</f>
        <v>-2.45049299</v>
      </c>
      <c r="E207" s="15">
        <f>IFERROR(__xludf.DUMMYFUNCTION("""COMPUTED_VALUE"""),-1.8496685005388698)</f>
        <v>-1.849668501</v>
      </c>
      <c r="F207" s="15">
        <f>IFERROR(__xludf.DUMMYFUNCTION("""COMPUTED_VALUE"""),-4.300161490160517)</f>
        <v>-4.30016149</v>
      </c>
      <c r="G207" s="17">
        <f>IFERROR(__xludf.DUMMYFUNCTION("""COMPUTED_VALUE"""),-0.14434523948808997)</f>
        <v>-0.1443452395</v>
      </c>
      <c r="H207" s="4"/>
      <c r="I207" s="5" t="s">
        <v>3199</v>
      </c>
      <c r="J207" s="5" t="s">
        <v>3006</v>
      </c>
      <c r="K207" s="24">
        <v>207.0</v>
      </c>
      <c r="L207" s="5">
        <v>-2.681494</v>
      </c>
      <c r="M207" s="5">
        <v>-1.618668</v>
      </c>
      <c r="N207" s="5">
        <v>-4.300161</v>
      </c>
      <c r="O207" s="5">
        <v>-0.144345</v>
      </c>
    </row>
    <row r="208">
      <c r="A208" s="18" t="str">
        <f>IFERROR(__xludf.DUMMYFUNCTION("""COMPUTED_VALUE"""),"Gerard Gomila")</f>
        <v>Gerard Gomila</v>
      </c>
      <c r="B208" s="19" t="str">
        <f>IFERROR(__xludf.DUMMYFUNCTION("""COMPUTED_VALUE"""),"BYP")</f>
        <v>BYP</v>
      </c>
      <c r="C208" s="20">
        <f>IFERROR(__xludf.DUMMYFUNCTION("""COMPUTED_VALUE"""),389.8)</f>
        <v>389.8</v>
      </c>
      <c r="D208" s="21">
        <f>IFERROR(__xludf.DUMMYFUNCTION("""COMPUTED_VALUE"""),-1.7466502548549485)</f>
        <v>-1.746650255</v>
      </c>
      <c r="E208" s="21">
        <f>IFERROR(__xludf.DUMMYFUNCTION("""COMPUTED_VALUE"""),-2.5873808898534936)</f>
        <v>-2.58738089</v>
      </c>
      <c r="F208" s="21">
        <f>IFERROR(__xludf.DUMMYFUNCTION("""COMPUTED_VALUE"""),-4.334031144708442)</f>
        <v>-4.334031145</v>
      </c>
      <c r="G208" s="23">
        <f>IFERROR(__xludf.DUMMYFUNCTION("""COMPUTED_VALUE"""),-0.2755381634997615)</f>
        <v>-0.2755381635</v>
      </c>
      <c r="H208" s="4"/>
      <c r="I208" s="5" t="s">
        <v>3201</v>
      </c>
      <c r="J208" s="5" t="s">
        <v>2983</v>
      </c>
      <c r="K208" s="5">
        <v>390.0</v>
      </c>
      <c r="L208" s="5">
        <v>-2.824229</v>
      </c>
      <c r="M208" s="5">
        <v>-1.509802</v>
      </c>
      <c r="N208" s="5">
        <v>-4.334031</v>
      </c>
      <c r="O208" s="5">
        <v>-0.275538</v>
      </c>
    </row>
    <row r="209">
      <c r="A209" s="12" t="str">
        <f>IFERROR(__xludf.DUMMYFUNCTION("""COMPUTED_VALUE"""),"Martin Seiferth")</f>
        <v>Martin Seiferth</v>
      </c>
      <c r="B209" s="13" t="str">
        <f>IFERROR(__xludf.DUMMYFUNCTION("""COMPUTED_VALUE"""),"MLP")</f>
        <v>MLP</v>
      </c>
      <c r="C209" s="14">
        <f>IFERROR(__xludf.DUMMYFUNCTION("""COMPUTED_VALUE"""),492.5)</f>
        <v>492.5</v>
      </c>
      <c r="D209" s="15">
        <f>IFERROR(__xludf.DUMMYFUNCTION("""COMPUTED_VALUE"""),-5.169269267284543)</f>
        <v>-5.169269267</v>
      </c>
      <c r="E209" s="15">
        <f>IFERROR(__xludf.DUMMYFUNCTION("""COMPUTED_VALUE"""),0.7756650629557571)</f>
        <v>0.775665063</v>
      </c>
      <c r="F209" s="15">
        <f>IFERROR(__xludf.DUMMYFUNCTION("""COMPUTED_VALUE"""),-4.393604204328786)</f>
        <v>-4.393604204</v>
      </c>
      <c r="G209" s="17">
        <f>IFERROR(__xludf.DUMMYFUNCTION("""COMPUTED_VALUE"""),-0.35971761727163487)</f>
        <v>-0.3597176173</v>
      </c>
      <c r="H209" s="4"/>
      <c r="I209" s="5" t="s">
        <v>3202</v>
      </c>
      <c r="J209" s="5" t="s">
        <v>2987</v>
      </c>
      <c r="K209" s="5">
        <v>493.0</v>
      </c>
      <c r="L209" s="5">
        <v>-4.37162</v>
      </c>
      <c r="M209" s="5">
        <v>-0.021985</v>
      </c>
      <c r="N209" s="5">
        <v>-4.393604</v>
      </c>
      <c r="O209" s="5">
        <v>-0.359718</v>
      </c>
    </row>
    <row r="210">
      <c r="A210" s="18" t="str">
        <f>IFERROR(__xludf.DUMMYFUNCTION("""COMPUTED_VALUE"""),"Joschka Ferner")</f>
        <v>Joschka Ferner</v>
      </c>
      <c r="B210" s="19" t="str">
        <f>IFERROR(__xludf.DUMMYFUNCTION("""COMPUTED_VALUE"""),"ORAN")</f>
        <v>ORAN</v>
      </c>
      <c r="C210" s="20">
        <f>IFERROR(__xludf.DUMMYFUNCTION("""COMPUTED_VALUE"""),683.8)</f>
        <v>683.8</v>
      </c>
      <c r="D210" s="21">
        <f>IFERROR(__xludf.DUMMYFUNCTION("""COMPUTED_VALUE"""),-0.4488048313635713)</f>
        <v>-0.4488048314</v>
      </c>
      <c r="E210" s="21">
        <f>IFERROR(__xludf.DUMMYFUNCTION("""COMPUTED_VALUE"""),-3.986235544111596)</f>
        <v>-3.986235544</v>
      </c>
      <c r="F210" s="21">
        <f>IFERROR(__xludf.DUMMYFUNCTION("""COMPUTED_VALUE"""),-4.435040375475167)</f>
        <v>-4.435040375</v>
      </c>
      <c r="G210" s="23">
        <f>IFERROR(__xludf.DUMMYFUNCTION("""COMPUTED_VALUE"""),-0.5065286706812264)</f>
        <v>-0.5065286707</v>
      </c>
      <c r="H210" s="4"/>
      <c r="I210" s="5" t="s">
        <v>843</v>
      </c>
      <c r="J210" s="5" t="s">
        <v>3088</v>
      </c>
      <c r="K210" s="5">
        <v>684.0</v>
      </c>
      <c r="L210" s="5">
        <v>-1.993456</v>
      </c>
      <c r="M210" s="5">
        <v>-2.441584</v>
      </c>
      <c r="N210" s="5">
        <v>-4.43504</v>
      </c>
      <c r="O210" s="5">
        <v>-0.506529</v>
      </c>
    </row>
    <row r="211">
      <c r="A211" s="12" t="str">
        <f>IFERROR(__xludf.DUMMYFUNCTION("""COMPUTED_VALUE"""),"Daniel Keppeler")</f>
        <v>Daniel Keppeler</v>
      </c>
      <c r="B211" s="13" t="str">
        <f>IFERROR(__xludf.DUMMYFUNCTION("""COMPUTED_VALUE"""),"BYP")</f>
        <v>BYP</v>
      </c>
      <c r="C211" s="14">
        <f>IFERROR(__xludf.DUMMYFUNCTION("""COMPUTED_VALUE"""),368.7)</f>
        <v>368.7</v>
      </c>
      <c r="D211" s="15">
        <f>IFERROR(__xludf.DUMMYFUNCTION("""COMPUTED_VALUE"""),-4.604747321956413)</f>
        <v>-4.604747322</v>
      </c>
      <c r="E211" s="15">
        <f>IFERROR(__xludf.DUMMYFUNCTION("""COMPUTED_VALUE"""),0.11496367671951013)</f>
        <v>0.1149636767</v>
      </c>
      <c r="F211" s="15">
        <f>IFERROR(__xludf.DUMMYFUNCTION("""COMPUTED_VALUE"""),-4.489783645236903)</f>
        <v>-4.489783645</v>
      </c>
      <c r="G211" s="17">
        <f>IFERROR(__xludf.DUMMYFUNCTION("""COMPUTED_VALUE"""),-0.2780148699279064)</f>
        <v>-0.2780148699</v>
      </c>
      <c r="H211" s="4"/>
      <c r="I211" s="5" t="s">
        <v>3208</v>
      </c>
      <c r="J211" s="5" t="s">
        <v>2983</v>
      </c>
      <c r="K211" s="5">
        <v>369.0</v>
      </c>
      <c r="L211" s="5">
        <v>-5.682326</v>
      </c>
      <c r="M211" s="5">
        <v>1.192543</v>
      </c>
      <c r="N211" s="5">
        <v>-4.489784</v>
      </c>
      <c r="O211" s="5">
        <v>-0.278015</v>
      </c>
    </row>
    <row r="212">
      <c r="A212" s="18" t="str">
        <f>IFERROR(__xludf.DUMMYFUNCTION("""COMPUTED_VALUE"""),"Dion Prewster")</f>
        <v>Dion Prewster</v>
      </c>
      <c r="B212" s="19" t="str">
        <f>IFERROR(__xludf.DUMMYFUNCTION("""COMPUTED_VALUE"""),"FIN")</f>
        <v>FIN</v>
      </c>
      <c r="C212" s="20">
        <f>IFERROR(__xludf.DUMMYFUNCTION("""COMPUTED_VALUE"""),473.6)</f>
        <v>473.6</v>
      </c>
      <c r="D212" s="21">
        <f>IFERROR(__xludf.DUMMYFUNCTION("""COMPUTED_VALUE"""),-1.1459643072345054)</f>
        <v>-1.145964307</v>
      </c>
      <c r="E212" s="21">
        <f>IFERROR(__xludf.DUMMYFUNCTION("""COMPUTED_VALUE"""),-3.537301522891701)</f>
        <v>-3.537301523</v>
      </c>
      <c r="F212" s="21">
        <f>IFERROR(__xludf.DUMMYFUNCTION("""COMPUTED_VALUE"""),-4.6832658301262065)</f>
        <v>-4.68326583</v>
      </c>
      <c r="G212" s="23">
        <f>IFERROR(__xludf.DUMMYFUNCTION("""COMPUTED_VALUE"""),-0.385842591621634)</f>
        <v>-0.3858425916</v>
      </c>
      <c r="H212" s="4"/>
      <c r="I212" s="5" t="s">
        <v>3213</v>
      </c>
      <c r="J212" s="5" t="s">
        <v>3059</v>
      </c>
      <c r="K212" s="5">
        <v>474.0</v>
      </c>
      <c r="L212" s="5">
        <v>-3.678452</v>
      </c>
      <c r="M212" s="5">
        <v>-1.004813</v>
      </c>
      <c r="N212" s="5">
        <v>-4.683266</v>
      </c>
      <c r="O212" s="5">
        <v>-0.385843</v>
      </c>
    </row>
    <row r="213">
      <c r="A213" s="12" t="str">
        <f>IFERROR(__xludf.DUMMYFUNCTION("""COMPUTED_VALUE"""),"Dennis Heinzmann")</f>
        <v>Dennis Heinzmann</v>
      </c>
      <c r="B213" s="13" t="str">
        <f>IFERROR(__xludf.DUMMYFUNCTION("""COMPUTED_VALUE"""),"RHEI")</f>
        <v>RHEI</v>
      </c>
      <c r="C213" s="14">
        <f>IFERROR(__xludf.DUMMYFUNCTION("""COMPUTED_VALUE"""),322.4)</f>
        <v>322.4</v>
      </c>
      <c r="D213" s="15">
        <f>IFERROR(__xludf.DUMMYFUNCTION("""COMPUTED_VALUE"""),-6.106990450378896)</f>
        <v>-6.10699045</v>
      </c>
      <c r="E213" s="15">
        <f>IFERROR(__xludf.DUMMYFUNCTION("""COMPUTED_VALUE"""),1.3498512613308913)</f>
        <v>1.349851261</v>
      </c>
      <c r="F213" s="15">
        <f>IFERROR(__xludf.DUMMYFUNCTION("""COMPUTED_VALUE"""),-4.757139189048004)</f>
        <v>-4.757139189</v>
      </c>
      <c r="G213" s="17">
        <f>IFERROR(__xludf.DUMMYFUNCTION("""COMPUTED_VALUE"""),-0.27004916106862376)</f>
        <v>-0.2700491611</v>
      </c>
      <c r="H213" s="4"/>
      <c r="I213" s="5" t="s">
        <v>3216</v>
      </c>
      <c r="J213" s="5" t="s">
        <v>2972</v>
      </c>
      <c r="K213" s="5">
        <v>322.0</v>
      </c>
      <c r="L213" s="5">
        <v>-7.512256</v>
      </c>
      <c r="M213" s="5">
        <v>2.755116</v>
      </c>
      <c r="N213" s="5">
        <v>-4.757139</v>
      </c>
      <c r="O213" s="5">
        <v>-0.270049</v>
      </c>
    </row>
    <row r="214">
      <c r="A214" s="18" t="str">
        <f>IFERROR(__xludf.DUMMYFUNCTION("""COMPUTED_VALUE"""),"Nicolas Wolf")</f>
        <v>Nicolas Wolf</v>
      </c>
      <c r="B214" s="19" t="str">
        <f>IFERROR(__xludf.DUMMYFUNCTION("""COMPUTED_VALUE"""),"BYP")</f>
        <v>BYP</v>
      </c>
      <c r="C214" s="20">
        <f>IFERROR(__xludf.DUMMYFUNCTION("""COMPUTED_VALUE"""),253.1)</f>
        <v>253.1</v>
      </c>
      <c r="D214" s="21">
        <f>IFERROR(__xludf.DUMMYFUNCTION("""COMPUTED_VALUE"""),-0.996494816731442)</f>
        <v>-0.9964948167</v>
      </c>
      <c r="E214" s="21">
        <f>IFERROR(__xludf.DUMMYFUNCTION("""COMPUTED_VALUE"""),-4.018883050141152)</f>
        <v>-4.01888305</v>
      </c>
      <c r="F214" s="21">
        <f>IFERROR(__xludf.DUMMYFUNCTION("""COMPUTED_VALUE"""),-5.015377866872594)</f>
        <v>-5.015377867</v>
      </c>
      <c r="G214" s="23">
        <f>IFERROR(__xludf.DUMMYFUNCTION("""COMPUTED_VALUE"""),-0.23113577249734202)</f>
        <v>-0.2311357725</v>
      </c>
      <c r="H214" s="4"/>
      <c r="I214" s="5" t="s">
        <v>892</v>
      </c>
      <c r="J214" s="5" t="s">
        <v>2983</v>
      </c>
      <c r="K214" s="5">
        <v>253.0</v>
      </c>
      <c r="L214" s="5">
        <v>-1.905612</v>
      </c>
      <c r="M214" s="5">
        <v>-3.109765</v>
      </c>
      <c r="N214" s="5">
        <v>-5.015378</v>
      </c>
      <c r="O214" s="5">
        <v>-0.231136</v>
      </c>
    </row>
    <row r="215">
      <c r="A215" s="12" t="str">
        <f>IFERROR(__xludf.DUMMYFUNCTION("""COMPUTED_VALUE"""),"Lars Kamp")</f>
        <v>Lars Kamp</v>
      </c>
      <c r="B215" s="13" t="str">
        <f>IFERROR(__xludf.DUMMYFUNCTION("""COMPUTED_VALUE"""),"HAM")</f>
        <v>HAM</v>
      </c>
      <c r="C215" s="14">
        <f>IFERROR(__xludf.DUMMYFUNCTION("""COMPUTED_VALUE"""),320.3)</f>
        <v>320.3</v>
      </c>
      <c r="D215" s="15">
        <f>IFERROR(__xludf.DUMMYFUNCTION("""COMPUTED_VALUE"""),-2.9509798879108082)</f>
        <v>-2.950979888</v>
      </c>
      <c r="E215" s="15">
        <f>IFERROR(__xludf.DUMMYFUNCTION("""COMPUTED_VALUE"""),-2.1212293216815095)</f>
        <v>-2.121229322</v>
      </c>
      <c r="F215" s="15">
        <f>IFERROR(__xludf.DUMMYFUNCTION("""COMPUTED_VALUE"""),-5.072209209592318)</f>
        <v>-5.07220921</v>
      </c>
      <c r="G215" s="17">
        <f>IFERROR(__xludf.DUMMYFUNCTION("""COMPUTED_VALUE"""),-0.31334685357715136)</f>
        <v>-0.3133468536</v>
      </c>
      <c r="H215" s="4"/>
      <c r="I215" s="5" t="s">
        <v>3221</v>
      </c>
      <c r="J215" s="5" t="s">
        <v>3008</v>
      </c>
      <c r="K215" s="5">
        <v>320.0</v>
      </c>
      <c r="L215" s="5">
        <v>-2.962764</v>
      </c>
      <c r="M215" s="5">
        <v>-2.109446</v>
      </c>
      <c r="N215" s="5">
        <v>-5.072209</v>
      </c>
      <c r="O215" s="5">
        <v>-0.313347</v>
      </c>
    </row>
    <row r="216">
      <c r="A216" s="18" t="str">
        <f>IFERROR(__xludf.DUMMYFUNCTION("""COMPUTED_VALUE"""),"Nicolas Moebus")</f>
        <v>Nicolas Moebus</v>
      </c>
      <c r="B216" s="19" t="str">
        <f>IFERROR(__xludf.DUMMYFUNCTION("""COMPUTED_VALUE"""),"ORAN")</f>
        <v>ORAN</v>
      </c>
      <c r="C216" s="20">
        <f>IFERROR(__xludf.DUMMYFUNCTION("""COMPUTED_VALUE"""),310.2)</f>
        <v>310.2</v>
      </c>
      <c r="D216" s="21">
        <f>IFERROR(__xludf.DUMMYFUNCTION("""COMPUTED_VALUE"""),-1.420561058599929)</f>
        <v>-1.420561059</v>
      </c>
      <c r="E216" s="21">
        <f>IFERROR(__xludf.DUMMYFUNCTION("""COMPUTED_VALUE"""),-3.754908947228094)</f>
        <v>-3.754908947</v>
      </c>
      <c r="F216" s="21">
        <f>IFERROR(__xludf.DUMMYFUNCTION("""COMPUTED_VALUE"""),-5.175470005828023)</f>
        <v>-5.175470006</v>
      </c>
      <c r="G216" s="23">
        <f>IFERROR(__xludf.DUMMYFUNCTION("""COMPUTED_VALUE"""),-0.29965296392179636)</f>
        <v>-0.2996529639</v>
      </c>
      <c r="H216" s="4"/>
      <c r="I216" s="5" t="s">
        <v>3224</v>
      </c>
      <c r="J216" s="5" t="s">
        <v>3088</v>
      </c>
      <c r="K216" s="5">
        <v>310.0</v>
      </c>
      <c r="L216" s="5">
        <v>-2.965212</v>
      </c>
      <c r="M216" s="5">
        <v>-2.210258</v>
      </c>
      <c r="N216" s="5">
        <v>-5.17547</v>
      </c>
      <c r="O216" s="5">
        <v>-0.299653</v>
      </c>
    </row>
    <row r="217">
      <c r="A217" s="12" t="str">
        <f>IFERROR(__xludf.DUMMYFUNCTION("""COMPUTED_VALUE"""),"Bo Meister")</f>
        <v>Bo Meister</v>
      </c>
      <c r="B217" s="13" t="str">
        <f>IFERROR(__xludf.DUMMYFUNCTION("""COMPUTED_VALUE"""),"URS")</f>
        <v>URS</v>
      </c>
      <c r="C217" s="14">
        <f>IFERROR(__xludf.DUMMYFUNCTION("""COMPUTED_VALUE"""),229.1)</f>
        <v>229.1</v>
      </c>
      <c r="D217" s="15">
        <f>IFERROR(__xludf.DUMMYFUNCTION("""COMPUTED_VALUE"""),-2.33430901480933)</f>
        <v>-2.334309015</v>
      </c>
      <c r="E217" s="15">
        <f>IFERROR(__xludf.DUMMYFUNCTION("""COMPUTED_VALUE"""),-2.9122643918272786)</f>
        <v>-2.912264392</v>
      </c>
      <c r="F217" s="15">
        <f>IFERROR(__xludf.DUMMYFUNCTION("""COMPUTED_VALUE"""),-5.2465734066366085)</f>
        <v>-5.246573407</v>
      </c>
      <c r="G217" s="17">
        <f>IFERROR(__xludf.DUMMYFUNCTION("""COMPUTED_VALUE"""),-0.22488742399151446)</f>
        <v>-0.224887424</v>
      </c>
      <c r="H217" s="4"/>
      <c r="I217" s="5" t="s">
        <v>3227</v>
      </c>
      <c r="J217" s="5" t="s">
        <v>3036</v>
      </c>
      <c r="K217" s="5">
        <v>229.0</v>
      </c>
      <c r="L217" s="5">
        <v>-2.800559</v>
      </c>
      <c r="M217" s="5">
        <v>-2.446015</v>
      </c>
      <c r="N217" s="5">
        <v>-5.246573</v>
      </c>
      <c r="O217" s="5">
        <v>-0.224887</v>
      </c>
    </row>
    <row r="218">
      <c r="A218" s="18" t="str">
        <f>IFERROR(__xludf.DUMMYFUNCTION("""COMPUTED_VALUE"""),"Dominik Wolf")</f>
        <v>Dominik Wolf</v>
      </c>
      <c r="B218" s="19" t="str">
        <f>IFERROR(__xludf.DUMMYFUNCTION("""COMPUTED_VALUE"""),"FIN")</f>
        <v>FIN</v>
      </c>
      <c r="C218" s="20">
        <f>IFERROR(__xludf.DUMMYFUNCTION("""COMPUTED_VALUE"""),347.0)</f>
        <v>347</v>
      </c>
      <c r="D218" s="21">
        <f>IFERROR(__xludf.DUMMYFUNCTION("""COMPUTED_VALUE"""),-1.8867072532804041)</f>
        <v>-1.886707253</v>
      </c>
      <c r="E218" s="21">
        <f>IFERROR(__xludf.DUMMYFUNCTION("""COMPUTED_VALUE"""),-3.427321843892665)</f>
        <v>-3.427321844</v>
      </c>
      <c r="F218" s="21">
        <f>IFERROR(__xludf.DUMMYFUNCTION("""COMPUTED_VALUE"""),-5.314029097173069)</f>
        <v>-5.314029097</v>
      </c>
      <c r="G218" s="23">
        <f>IFERROR(__xludf.DUMMYFUNCTION("""COMPUTED_VALUE"""),-0.3491568478497378)</f>
        <v>-0.3491568478</v>
      </c>
      <c r="H218" s="4"/>
      <c r="I218" s="5" t="s">
        <v>3232</v>
      </c>
      <c r="J218" s="5" t="s">
        <v>3059</v>
      </c>
      <c r="K218" s="5">
        <v>347.0</v>
      </c>
      <c r="L218" s="5">
        <v>-4.419195</v>
      </c>
      <c r="M218" s="5">
        <v>-0.894834</v>
      </c>
      <c r="N218" s="5">
        <v>-5.314029</v>
      </c>
      <c r="O218" s="5">
        <v>-0.349157</v>
      </c>
    </row>
    <row r="219">
      <c r="A219" s="12" t="str">
        <f>IFERROR(__xludf.DUMMYFUNCTION("""COMPUTED_VALUE"""),"Ante Gospic")</f>
        <v>Ante Gospic</v>
      </c>
      <c r="B219" s="13" t="str">
        <f>IFERROR(__xludf.DUMMYFUNCTION("""COMPUTED_VALUE"""),"RHEI")</f>
        <v>RHEI</v>
      </c>
      <c r="C219" s="14">
        <f>IFERROR(__xludf.DUMMYFUNCTION("""COMPUTED_VALUE"""),204.1)</f>
        <v>204.1</v>
      </c>
      <c r="D219" s="15">
        <f>IFERROR(__xludf.DUMMYFUNCTION("""COMPUTED_VALUE"""),-3.4507808288545228)</f>
        <v>-3.450780829</v>
      </c>
      <c r="E219" s="15">
        <f>IFERROR(__xludf.DUMMYFUNCTION("""COMPUTED_VALUE"""),-1.879459500885618)</f>
        <v>-1.879459501</v>
      </c>
      <c r="F219" s="15">
        <f>IFERROR(__xludf.DUMMYFUNCTION("""COMPUTED_VALUE"""),-5.330240329740141)</f>
        <v>-5.33024033</v>
      </c>
      <c r="G219" s="17">
        <f>IFERROR(__xludf.DUMMYFUNCTION("""COMPUTED_VALUE"""),-0.20649411963734984)</f>
        <v>-0.2064941196</v>
      </c>
      <c r="H219" s="4"/>
      <c r="I219" s="5" t="s">
        <v>1225</v>
      </c>
      <c r="J219" s="5" t="s">
        <v>2972</v>
      </c>
      <c r="K219" s="5">
        <v>204.0</v>
      </c>
      <c r="L219" s="5">
        <v>-4.40683</v>
      </c>
      <c r="M219" s="5">
        <v>-0.923411</v>
      </c>
      <c r="N219" s="5">
        <v>-5.33024</v>
      </c>
      <c r="O219" s="5">
        <v>-0.206494</v>
      </c>
    </row>
    <row r="220">
      <c r="A220" s="18" t="str">
        <f>IFERROR(__xludf.DUMMYFUNCTION("""COMPUTED_VALUE"""),"Yasin Kolo")</f>
        <v>Yasin Kolo</v>
      </c>
      <c r="B220" s="19" t="str">
        <f>IFERROR(__xludf.DUMMYFUNCTION("""COMPUTED_VALUE"""),"URS")</f>
        <v>URS</v>
      </c>
      <c r="C220" s="20">
        <f>IFERROR(__xludf.DUMMYFUNCTION("""COMPUTED_VALUE"""),125.5)</f>
        <v>125.5</v>
      </c>
      <c r="D220" s="21">
        <f>IFERROR(__xludf.DUMMYFUNCTION("""COMPUTED_VALUE"""),-2.846034482534106)</f>
        <v>-2.846034483</v>
      </c>
      <c r="E220" s="21">
        <f>IFERROR(__xludf.DUMMYFUNCTION("""COMPUTED_VALUE"""),-2.6324360276925325)</f>
        <v>-2.632436028</v>
      </c>
      <c r="F220" s="21">
        <f>IFERROR(__xludf.DUMMYFUNCTION("""COMPUTED_VALUE"""),-5.4784705102266384)</f>
        <v>-5.47847051</v>
      </c>
      <c r="G220" s="23">
        <f>IFERROR(__xludf.DUMMYFUNCTION("""COMPUTED_VALUE"""),-0.13199178597535066)</f>
        <v>-0.131991786</v>
      </c>
      <c r="H220" s="4"/>
      <c r="I220" s="5" t="s">
        <v>3239</v>
      </c>
      <c r="J220" s="5" t="s">
        <v>3036</v>
      </c>
      <c r="K220" s="5">
        <v>126.0</v>
      </c>
      <c r="L220" s="5">
        <v>-3.101444</v>
      </c>
      <c r="M220" s="5">
        <v>-2.377027</v>
      </c>
      <c r="N220" s="5">
        <v>-5.478471</v>
      </c>
      <c r="O220" s="5">
        <v>-0.131992</v>
      </c>
    </row>
    <row r="221">
      <c r="A221" s="12" t="str">
        <f>IFERROR(__xludf.DUMMYFUNCTION("""COMPUTED_VALUE"""),"Moritz Noeres")</f>
        <v>Moritz Noeres</v>
      </c>
      <c r="B221" s="13" t="str">
        <f>IFERROR(__xludf.DUMMYFUNCTION("""COMPUTED_VALUE"""),"URS")</f>
        <v>URS</v>
      </c>
      <c r="C221" s="14">
        <f>IFERROR(__xludf.DUMMYFUNCTION("""COMPUTED_VALUE"""),181.6)</f>
        <v>181.6</v>
      </c>
      <c r="D221" s="15">
        <f>IFERROR(__xludf.DUMMYFUNCTION("""COMPUTED_VALUE"""),-3.435768713784001)</f>
        <v>-3.435768714</v>
      </c>
      <c r="E221" s="15">
        <f>IFERROR(__xludf.DUMMYFUNCTION("""COMPUTED_VALUE"""),-2.0761562371265967)</f>
        <v>-2.076156237</v>
      </c>
      <c r="F221" s="15">
        <f>IFERROR(__xludf.DUMMYFUNCTION("""COMPUTED_VALUE"""),-5.511924950910598)</f>
        <v>-5.511924951</v>
      </c>
      <c r="G221" s="17">
        <f>IFERROR(__xludf.DUMMYFUNCTION("""COMPUTED_VALUE"""),-0.19283058748636828)</f>
        <v>-0.1928305875</v>
      </c>
      <c r="H221" s="4"/>
      <c r="I221" s="5" t="s">
        <v>3242</v>
      </c>
      <c r="J221" s="5" t="s">
        <v>3036</v>
      </c>
      <c r="K221" s="5">
        <v>182.0</v>
      </c>
      <c r="L221" s="5">
        <v>-3.805349</v>
      </c>
      <c r="M221" s="5">
        <v>-1.706576</v>
      </c>
      <c r="N221" s="5">
        <v>-5.511925</v>
      </c>
      <c r="O221" s="5">
        <v>-0.192831</v>
      </c>
    </row>
    <row r="222">
      <c r="A222" s="18" t="str">
        <f>IFERROR(__xludf.DUMMYFUNCTION("""COMPUTED_VALUE"""),"Rupert Hennen")</f>
        <v>Rupert Hennen</v>
      </c>
      <c r="B222" s="19" t="str">
        <f>IFERROR(__xludf.DUMMYFUNCTION("""COMPUTED_VALUE"""),"TRI")</f>
        <v>TRI</v>
      </c>
      <c r="C222" s="20">
        <f>IFERROR(__xludf.DUMMYFUNCTION("""COMPUTED_VALUE"""),185.1)</f>
        <v>185.1</v>
      </c>
      <c r="D222" s="21">
        <f>IFERROR(__xludf.DUMMYFUNCTION("""COMPUTED_VALUE"""),-4.40363159260612)</f>
        <v>-4.403631593</v>
      </c>
      <c r="E222" s="21">
        <f>IFERROR(__xludf.DUMMYFUNCTION("""COMPUTED_VALUE"""),-1.2474694087380493)</f>
        <v>-1.247469409</v>
      </c>
      <c r="F222" s="21">
        <f>IFERROR(__xludf.DUMMYFUNCTION("""COMPUTED_VALUE"""),-5.651101001344169)</f>
        <v>-5.651101001</v>
      </c>
      <c r="G222" s="23">
        <f>IFERROR(__xludf.DUMMYFUNCTION("""COMPUTED_VALUE"""),-0.20541553492036663)</f>
        <v>-0.2054155349</v>
      </c>
      <c r="H222" s="4"/>
      <c r="I222" s="5" t="s">
        <v>3244</v>
      </c>
      <c r="J222" s="5" t="s">
        <v>2991</v>
      </c>
      <c r="K222" s="5">
        <v>185.0</v>
      </c>
      <c r="L222" s="5">
        <v>-3.785662</v>
      </c>
      <c r="M222" s="5">
        <v>-1.865439</v>
      </c>
      <c r="N222" s="5">
        <v>-5.651101</v>
      </c>
      <c r="O222" s="5">
        <v>-0.205416</v>
      </c>
    </row>
    <row r="223">
      <c r="A223" s="12" t="str">
        <f>IFERROR(__xludf.DUMMYFUNCTION("""COMPUTED_VALUE"""),"Henri Drell")</f>
        <v>Henri Drell</v>
      </c>
      <c r="B223" s="13" t="str">
        <f>IFERROR(__xludf.DUMMYFUNCTION("""COMPUTED_VALUE"""),"BYP")</f>
        <v>BYP</v>
      </c>
      <c r="C223" s="14">
        <f>IFERROR(__xludf.DUMMYFUNCTION("""COMPUTED_VALUE"""),390.6)</f>
        <v>390.6</v>
      </c>
      <c r="D223" s="15">
        <f>IFERROR(__xludf.DUMMYFUNCTION("""COMPUTED_VALUE"""),-1.9164562362464381)</f>
        <v>-1.916456236</v>
      </c>
      <c r="E223" s="15">
        <f>IFERROR(__xludf.DUMMYFUNCTION("""COMPUTED_VALUE"""),-3.9217639888308455)</f>
        <v>-3.921763989</v>
      </c>
      <c r="F223" s="15">
        <f>IFERROR(__xludf.DUMMYFUNCTION("""COMPUTED_VALUE"""),-5.838220225077284)</f>
        <v>-5.838220225</v>
      </c>
      <c r="G223" s="17">
        <f>IFERROR(__xludf.DUMMYFUNCTION("""COMPUTED_VALUE"""),-0.45404135004080054)</f>
        <v>-0.45404135</v>
      </c>
      <c r="H223" s="4"/>
      <c r="I223" s="5" t="s">
        <v>3247</v>
      </c>
      <c r="J223" s="5" t="s">
        <v>2983</v>
      </c>
      <c r="K223" s="5">
        <v>391.0</v>
      </c>
      <c r="L223" s="5">
        <v>-2.994035</v>
      </c>
      <c r="M223" s="5">
        <v>-2.844185</v>
      </c>
      <c r="N223" s="5">
        <v>-5.83822</v>
      </c>
      <c r="O223" s="5">
        <v>-0.454041</v>
      </c>
    </row>
    <row r="224">
      <c r="A224" s="18" t="str">
        <f>IFERROR(__xludf.DUMMYFUNCTION("""COMPUTED_VALUE"""),"Ivan Buntic")</f>
        <v>Ivan Buntic</v>
      </c>
      <c r="B224" s="19" t="str">
        <f>IFERROR(__xludf.DUMMYFUNCTION("""COMPUTED_VALUE"""),"FIN")</f>
        <v>FIN</v>
      </c>
      <c r="C224" s="20">
        <f>IFERROR(__xludf.DUMMYFUNCTION("""COMPUTED_VALUE"""),265.5)</f>
        <v>265.5</v>
      </c>
      <c r="D224" s="21">
        <f>IFERROR(__xludf.DUMMYFUNCTION("""COMPUTED_VALUE"""),-3.391874528243778)</f>
        <v>-3.391874528</v>
      </c>
      <c r="E224" s="21">
        <f>IFERROR(__xludf.DUMMYFUNCTION("""COMPUTED_VALUE"""),-2.478533775229102)</f>
        <v>-2.478533775</v>
      </c>
      <c r="F224" s="21">
        <f>IFERROR(__xludf.DUMMYFUNCTION("""COMPUTED_VALUE"""),-5.87040830347288)</f>
        <v>-5.870408303</v>
      </c>
      <c r="G224" s="23">
        <f>IFERROR(__xludf.DUMMYFUNCTION("""COMPUTED_VALUE"""),-0.31200106771241354)</f>
        <v>-0.3120010677</v>
      </c>
      <c r="H224" s="4"/>
      <c r="I224" s="5" t="s">
        <v>3249</v>
      </c>
      <c r="J224" s="5" t="s">
        <v>3059</v>
      </c>
      <c r="K224" s="5">
        <v>266.0</v>
      </c>
      <c r="L224" s="5">
        <v>-5.633126</v>
      </c>
      <c r="M224" s="5">
        <v>-0.237282</v>
      </c>
      <c r="N224" s="5">
        <v>-5.870408</v>
      </c>
      <c r="O224" s="5">
        <v>-0.312001</v>
      </c>
    </row>
    <row r="225">
      <c r="A225" s="12" t="str">
        <f>IFERROR(__xludf.DUMMYFUNCTION("""COMPUTED_VALUE"""),"Justin Hedley")</f>
        <v>Justin Hedley</v>
      </c>
      <c r="B225" s="13" t="str">
        <f>IFERROR(__xludf.DUMMYFUNCTION("""COMPUTED_VALUE"""),"VFL")</f>
        <v>VFL</v>
      </c>
      <c r="C225" s="14">
        <f>IFERROR(__xludf.DUMMYFUNCTION("""COMPUTED_VALUE"""),237.5)</f>
        <v>237.5</v>
      </c>
      <c r="D225" s="15">
        <f>IFERROR(__xludf.DUMMYFUNCTION("""COMPUTED_VALUE"""),-5.422991217419412)</f>
        <v>-5.422991217</v>
      </c>
      <c r="E225" s="15">
        <f>IFERROR(__xludf.DUMMYFUNCTION("""COMPUTED_VALUE"""),-0.47537989984104545)</f>
        <v>-0.4753798998</v>
      </c>
      <c r="F225" s="15">
        <f>IFERROR(__xludf.DUMMYFUNCTION("""COMPUTED_VALUE"""),-5.898371117260457)</f>
        <v>-5.898371117</v>
      </c>
      <c r="G225" s="17">
        <f>IFERROR(__xludf.DUMMYFUNCTION("""COMPUTED_VALUE"""),-0.28111807824537727)</f>
        <v>-0.2811180782</v>
      </c>
      <c r="H225" s="4"/>
      <c r="I225" s="5" t="s">
        <v>3253</v>
      </c>
      <c r="J225" s="5" t="s">
        <v>2999</v>
      </c>
      <c r="K225" s="5">
        <v>238.0</v>
      </c>
      <c r="L225" s="5">
        <v>-5.146863</v>
      </c>
      <c r="M225" s="5">
        <v>-0.751509</v>
      </c>
      <c r="N225" s="5">
        <v>-5.898371</v>
      </c>
      <c r="O225" s="5">
        <v>-0.281118</v>
      </c>
    </row>
    <row r="226">
      <c r="A226" s="18" t="str">
        <f>IFERROR(__xludf.DUMMYFUNCTION("""COMPUTED_VALUE"""),"Kevin Strangmeyer")</f>
        <v>Kevin Strangmeyer</v>
      </c>
      <c r="B226" s="19" t="str">
        <f>IFERROR(__xludf.DUMMYFUNCTION("""COMPUTED_VALUE"""),"URS")</f>
        <v>URS</v>
      </c>
      <c r="C226" s="20">
        <f>IFERROR(__xludf.DUMMYFUNCTION("""COMPUTED_VALUE"""),178.2)</f>
        <v>178.2</v>
      </c>
      <c r="D226" s="21">
        <f>IFERROR(__xludf.DUMMYFUNCTION("""COMPUTED_VALUE"""),-3.341541441523515)</f>
        <v>-3.341541442</v>
      </c>
      <c r="E226" s="21">
        <f>IFERROR(__xludf.DUMMYFUNCTION("""COMPUTED_VALUE"""),-2.6044558270004767)</f>
        <v>-2.604455827</v>
      </c>
      <c r="F226" s="21">
        <f>IFERROR(__xludf.DUMMYFUNCTION("""COMPUTED_VALUE"""),-5.945997268523992)</f>
        <v>-5.945997269</v>
      </c>
      <c r="G226" s="23">
        <f>IFERROR(__xludf.DUMMYFUNCTION("""COMPUTED_VALUE"""),-0.21260786858118105)</f>
        <v>-0.2126078686</v>
      </c>
      <c r="H226" s="4"/>
      <c r="I226" s="5" t="s">
        <v>3255</v>
      </c>
      <c r="J226" s="5" t="s">
        <v>3036</v>
      </c>
      <c r="K226" s="5">
        <v>178.0</v>
      </c>
      <c r="L226" s="5">
        <v>-3.704203</v>
      </c>
      <c r="M226" s="5">
        <v>-2.241795</v>
      </c>
      <c r="N226" s="5">
        <v>-5.945997</v>
      </c>
      <c r="O226" s="5">
        <v>-0.212608</v>
      </c>
    </row>
    <row r="227">
      <c r="A227" s="12" t="str">
        <f>IFERROR(__xludf.DUMMYFUNCTION("""COMPUTED_VALUE"""),"Kay Bruhnke")</f>
        <v>Kay Bruhnke</v>
      </c>
      <c r="B227" s="13" t="str">
        <f>IFERROR(__xludf.DUMMYFUNCTION("""COMPUTED_VALUE"""),"BYP")</f>
        <v>BYP</v>
      </c>
      <c r="C227" s="14">
        <f>IFERROR(__xludf.DUMMYFUNCTION("""COMPUTED_VALUE"""),275.9)</f>
        <v>275.9</v>
      </c>
      <c r="D227" s="15">
        <f>IFERROR(__xludf.DUMMYFUNCTION("""COMPUTED_VALUE"""),-3.676888285784008)</f>
        <v>-3.676888286</v>
      </c>
      <c r="E227" s="15">
        <f>IFERROR(__xludf.DUMMYFUNCTION("""COMPUTED_VALUE"""),-2.8819410971551154)</f>
        <v>-2.881941097</v>
      </c>
      <c r="F227" s="15">
        <f>IFERROR(__xludf.DUMMYFUNCTION("""COMPUTED_VALUE"""),-6.558829382939123)</f>
        <v>-6.558829383</v>
      </c>
      <c r="G227" s="17">
        <f>IFERROR(__xludf.DUMMYFUNCTION("""COMPUTED_VALUE"""),-0.3809239832746583)</f>
        <v>-0.3809239833</v>
      </c>
      <c r="H227" s="4"/>
      <c r="I227" s="5" t="s">
        <v>3257</v>
      </c>
      <c r="J227" s="5" t="s">
        <v>2983</v>
      </c>
      <c r="K227" s="24">
        <v>276.0</v>
      </c>
      <c r="L227" s="5">
        <v>-4.667902</v>
      </c>
      <c r="M227" s="5">
        <v>-1.890927</v>
      </c>
      <c r="N227" s="5">
        <v>-6.558829</v>
      </c>
      <c r="O227" s="5">
        <v>-0.380924</v>
      </c>
    </row>
    <row r="228">
      <c r="A228" s="18" t="str">
        <f>IFERROR(__xludf.DUMMYFUNCTION("""COMPUTED_VALUE"""),"Josef Eichler")</f>
        <v>Josef Eichler</v>
      </c>
      <c r="B228" s="19" t="str">
        <f>IFERROR(__xludf.DUMMYFUNCTION("""COMPUTED_VALUE"""),"HEBE")</f>
        <v>HEBE</v>
      </c>
      <c r="C228" s="20">
        <f>IFERROR(__xludf.DUMMYFUNCTION("""COMPUTED_VALUE"""),672.7)</f>
        <v>672.7</v>
      </c>
      <c r="D228" s="21">
        <f>IFERROR(__xludf.DUMMYFUNCTION("""COMPUTED_VALUE"""),-4.686419323431504)</f>
        <v>-4.686419323</v>
      </c>
      <c r="E228" s="21">
        <f>IFERROR(__xludf.DUMMYFUNCTION("""COMPUTED_VALUE"""),-1.9026507837901603)</f>
        <v>-1.902650784</v>
      </c>
      <c r="F228" s="21">
        <f>IFERROR(__xludf.DUMMYFUNCTION("""COMPUTED_VALUE"""),-6.589070107221664)</f>
        <v>-6.589070107</v>
      </c>
      <c r="G228" s="23">
        <f>IFERROR(__xludf.DUMMYFUNCTION("""COMPUTED_VALUE"""),-0.9307574411387832)</f>
        <v>-0.9307574411</v>
      </c>
      <c r="H228" s="4"/>
      <c r="I228" s="5" t="s">
        <v>3259</v>
      </c>
      <c r="J228" s="5" t="s">
        <v>3004</v>
      </c>
      <c r="K228" s="5">
        <v>673.0</v>
      </c>
      <c r="L228" s="5">
        <v>-5.151444</v>
      </c>
      <c r="M228" s="5">
        <v>-1.437626</v>
      </c>
      <c r="N228" s="5">
        <v>-6.58907</v>
      </c>
      <c r="O228" s="5">
        <v>-0.930757</v>
      </c>
    </row>
    <row r="229">
      <c r="A229" s="12" t="str">
        <f>IFERROR(__xludf.DUMMYFUNCTION("""COMPUTED_VALUE"""),"Sebastian Schmitt")</f>
        <v>Sebastian Schmitt</v>
      </c>
      <c r="B229" s="13" t="str">
        <f>IFERROR(__xludf.DUMMYFUNCTION("""COMPUTED_VALUE"""),"URS")</f>
        <v>URS</v>
      </c>
      <c r="C229" s="14">
        <f>IFERROR(__xludf.DUMMYFUNCTION("""COMPUTED_VALUE"""),818.6)</f>
        <v>818.6</v>
      </c>
      <c r="D229" s="15">
        <f>IFERROR(__xludf.DUMMYFUNCTION("""COMPUTED_VALUE"""),-3.6099427489274087)</f>
        <v>-3.609942749</v>
      </c>
      <c r="E229" s="15">
        <f>IFERROR(__xludf.DUMMYFUNCTION("""COMPUTED_VALUE"""),-3.077129824257971)</f>
        <v>-3.077129824</v>
      </c>
      <c r="F229" s="15">
        <f>IFERROR(__xludf.DUMMYFUNCTION("""COMPUTED_VALUE"""),-6.68707257318538)</f>
        <v>-6.687072573</v>
      </c>
      <c r="G229" s="17">
        <f>IFERROR(__xludf.DUMMYFUNCTION("""COMPUTED_VALUE"""),-1.1600808881236648)</f>
        <v>-1.160080888</v>
      </c>
      <c r="H229" s="4"/>
      <c r="I229" s="5" t="s">
        <v>3262</v>
      </c>
      <c r="J229" s="5" t="s">
        <v>3036</v>
      </c>
      <c r="K229" s="24">
        <v>819.0</v>
      </c>
      <c r="L229" s="5">
        <v>-4.220483</v>
      </c>
      <c r="M229" s="5">
        <v>-2.466589</v>
      </c>
      <c r="N229" s="5">
        <v>-6.687073</v>
      </c>
      <c r="O229" s="5">
        <v>-1.160081</v>
      </c>
    </row>
    <row r="230">
      <c r="A230" s="18" t="str">
        <f>IFERROR(__xludf.DUMMYFUNCTION("""COMPUTED_VALUE"""),"Matthew Meredith")</f>
        <v>Matthew Meredith</v>
      </c>
      <c r="B230" s="19" t="str">
        <f>IFERROR(__xludf.DUMMYFUNCTION("""COMPUTED_VALUE"""),"NUE")</f>
        <v>NUE</v>
      </c>
      <c r="C230" s="20">
        <f>IFERROR(__xludf.DUMMYFUNCTION("""COMPUTED_VALUE"""),304.0)</f>
        <v>304</v>
      </c>
      <c r="D230" s="21">
        <f>IFERROR(__xludf.DUMMYFUNCTION("""COMPUTED_VALUE"""),-4.580191256048599)</f>
        <v>-4.580191256</v>
      </c>
      <c r="E230" s="21">
        <f>IFERROR(__xludf.DUMMYFUNCTION("""COMPUTED_VALUE"""),-2.109881803671821)</f>
        <v>-2.109881804</v>
      </c>
      <c r="F230" s="21">
        <f>IFERROR(__xludf.DUMMYFUNCTION("""COMPUTED_VALUE"""),-6.6900730597204205)</f>
        <v>-6.69007306</v>
      </c>
      <c r="G230" s="23">
        <f>IFERROR(__xludf.DUMMYFUNCTION("""COMPUTED_VALUE"""),-0.43481289520496497)</f>
        <v>-0.4348128952</v>
      </c>
      <c r="H230" s="4"/>
      <c r="I230" s="5" t="s">
        <v>3265</v>
      </c>
      <c r="J230" s="5" t="s">
        <v>3023</v>
      </c>
      <c r="K230" s="24">
        <v>304.0</v>
      </c>
      <c r="L230" s="5">
        <v>-6.005339</v>
      </c>
      <c r="M230" s="5">
        <v>-0.684734</v>
      </c>
      <c r="N230" s="5">
        <v>-6.690073</v>
      </c>
      <c r="O230" s="5">
        <v>-0.434813</v>
      </c>
    </row>
    <row r="231">
      <c r="A231" s="12" t="str">
        <f>IFERROR(__xludf.DUMMYFUNCTION("""COMPUTED_VALUE"""),"Jonathan Malu")</f>
        <v>Jonathan Malu</v>
      </c>
      <c r="B231" s="13" t="str">
        <f>IFERROR(__xludf.DUMMYFUNCTION("""COMPUTED_VALUE"""),"URS")</f>
        <v>URS</v>
      </c>
      <c r="C231" s="14">
        <f>IFERROR(__xludf.DUMMYFUNCTION("""COMPUTED_VALUE"""),469.3)</f>
        <v>469.3</v>
      </c>
      <c r="D231" s="15">
        <f>IFERROR(__xludf.DUMMYFUNCTION("""COMPUTED_VALUE"""),-4.146668183774096)</f>
        <v>-4.146668184</v>
      </c>
      <c r="E231" s="15">
        <f>IFERROR(__xludf.DUMMYFUNCTION("""COMPUTED_VALUE"""),-3.0372635681864715)</f>
        <v>-3.037263568</v>
      </c>
      <c r="F231" s="15">
        <f>IFERROR(__xludf.DUMMYFUNCTION("""COMPUTED_VALUE"""),-7.183931751960568)</f>
        <v>-7.183931752</v>
      </c>
      <c r="G231" s="17">
        <f>IFERROR(__xludf.DUMMYFUNCTION("""COMPUTED_VALUE"""),-0.735571142906455)</f>
        <v>-0.7355711429</v>
      </c>
      <c r="H231" s="4"/>
      <c r="I231" s="5" t="s">
        <v>3267</v>
      </c>
      <c r="J231" s="5" t="s">
        <v>3036</v>
      </c>
      <c r="K231" s="5">
        <v>469.0</v>
      </c>
      <c r="L231" s="5">
        <v>-4.757209</v>
      </c>
      <c r="M231" s="5">
        <v>-2.426723</v>
      </c>
      <c r="N231" s="5">
        <v>-7.183932</v>
      </c>
      <c r="O231" s="5">
        <v>-0.735571</v>
      </c>
    </row>
    <row r="232">
      <c r="A232" s="18" t="str">
        <f>IFERROR(__xludf.DUMMYFUNCTION("""COMPUTED_VALUE"""),"Jasper Guenther")</f>
        <v>Jasper Guenther</v>
      </c>
      <c r="B232" s="19" t="str">
        <f>IFERROR(__xludf.DUMMYFUNCTION("""COMPUTED_VALUE"""),"HAG")</f>
        <v>HAG</v>
      </c>
      <c r="C232" s="20">
        <f>IFERROR(__xludf.DUMMYFUNCTION("""COMPUTED_VALUE"""),267.3)</f>
        <v>267.3</v>
      </c>
      <c r="D232" s="21">
        <f>IFERROR(__xludf.DUMMYFUNCTION("""COMPUTED_VALUE"""),-5.043671957460761)</f>
        <v>-5.043671957</v>
      </c>
      <c r="E232" s="21">
        <f>IFERROR(__xludf.DUMMYFUNCTION("""COMPUTED_VALUE"""),-4.1204378476592645)</f>
        <v>-4.120437848</v>
      </c>
      <c r="F232" s="21">
        <f>IFERROR(__xludf.DUMMYFUNCTION("""COMPUTED_VALUE"""),-9.164109805120026)</f>
        <v>-9.164109805</v>
      </c>
      <c r="G232" s="23">
        <f>IFERROR(__xludf.DUMMYFUNCTION("""COMPUTED_VALUE"""),-0.5794241304679563)</f>
        <v>-0.5794241305</v>
      </c>
      <c r="H232" s="4"/>
      <c r="I232" s="5" t="s">
        <v>3269</v>
      </c>
      <c r="J232" s="5" t="s">
        <v>3006</v>
      </c>
      <c r="K232" s="5">
        <v>267.0</v>
      </c>
      <c r="L232" s="5">
        <v>-5.341389</v>
      </c>
      <c r="M232" s="5">
        <v>-3.822721</v>
      </c>
      <c r="N232" s="5">
        <v>-9.16411</v>
      </c>
      <c r="O232" s="5">
        <v>-0.579424</v>
      </c>
    </row>
    <row r="233">
      <c r="A233" s="12" t="str">
        <f>IFERROR(__xludf.DUMMYFUNCTION("""COMPUTED_VALUE"""),"Marius Stoll")</f>
        <v>Marius Stoll</v>
      </c>
      <c r="B233" s="13" t="str">
        <f>IFERROR(__xludf.DUMMYFUNCTION("""COMPUTED_VALUE"""),"ORAN")</f>
        <v>ORAN</v>
      </c>
      <c r="C233" s="14">
        <f>IFERROR(__xludf.DUMMYFUNCTION("""COMPUTED_VALUE"""),326.7)</f>
        <v>326.7</v>
      </c>
      <c r="D233" s="15">
        <f>IFERROR(__xludf.DUMMYFUNCTION("""COMPUTED_VALUE"""),-8.368481295967106)</f>
        <v>-8.368481296</v>
      </c>
      <c r="E233" s="15">
        <f>IFERROR(__xludf.DUMMYFUNCTION("""COMPUTED_VALUE"""),-4.1251402522575145)</f>
        <v>-4.125140252</v>
      </c>
      <c r="F233" s="15">
        <f>IFERROR(__xludf.DUMMYFUNCTION("""COMPUTED_VALUE"""),-12.49362154822462)</f>
        <v>-12.49362155</v>
      </c>
      <c r="G233" s="17">
        <f>IFERROR(__xludf.DUMMYFUNCTION("""COMPUTED_VALUE"""),-1.0429015217294269)</f>
        <v>-1.042901522</v>
      </c>
      <c r="H233" s="4"/>
      <c r="I233" s="5" t="s">
        <v>3270</v>
      </c>
      <c r="J233" s="5" t="s">
        <v>3088</v>
      </c>
      <c r="K233" s="24">
        <v>327.0</v>
      </c>
      <c r="L233" s="5">
        <v>-9.913133</v>
      </c>
      <c r="M233" s="5">
        <v>-2.580489</v>
      </c>
      <c r="N233" s="5">
        <v>-12.493622</v>
      </c>
      <c r="O233" s="5">
        <v>-1.042902</v>
      </c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/>
      <c r="J234" s="5"/>
      <c r="K234" s="5"/>
      <c r="L234" s="5"/>
      <c r="M234" s="5"/>
      <c r="N234" s="5"/>
      <c r="O234" s="5"/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/>
      <c r="J235" s="5"/>
      <c r="K235" s="5"/>
      <c r="L235" s="5"/>
      <c r="M235" s="5"/>
      <c r="N235" s="5"/>
      <c r="O235" s="5"/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/>
      <c r="J236" s="5"/>
      <c r="K236" s="5"/>
      <c r="L236" s="5"/>
      <c r="M236" s="5"/>
      <c r="N236" s="5"/>
      <c r="O236" s="5"/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/>
      <c r="J237" s="5"/>
      <c r="K237" s="5"/>
      <c r="L237" s="5"/>
      <c r="M237" s="5"/>
      <c r="N237" s="5"/>
      <c r="O237" s="5"/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/>
      <c r="J238" s="5"/>
      <c r="K238" s="5"/>
      <c r="L238" s="5"/>
      <c r="M238" s="5"/>
      <c r="N238" s="5"/>
      <c r="O238" s="5"/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/>
      <c r="J239" s="5"/>
      <c r="K239" s="24"/>
      <c r="L239" s="5"/>
      <c r="M239" s="5"/>
      <c r="N239" s="5"/>
      <c r="O239" s="5"/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/>
      <c r="J240" s="5"/>
      <c r="K240" s="5"/>
      <c r="L240" s="5"/>
      <c r="M240" s="5"/>
      <c r="N240" s="5"/>
      <c r="O240" s="5"/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/>
      <c r="J241" s="5"/>
      <c r="K241" s="24"/>
      <c r="L241" s="5"/>
      <c r="M241" s="5"/>
      <c r="N241" s="5"/>
      <c r="O241" s="5"/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/>
      <c r="J242" s="5"/>
      <c r="K242" s="5"/>
      <c r="L242" s="5"/>
      <c r="M242" s="5"/>
      <c r="N242" s="5"/>
      <c r="O242" s="5"/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/>
      <c r="J243" s="5"/>
      <c r="K243" s="5"/>
      <c r="L243" s="5"/>
      <c r="M243" s="5"/>
      <c r="N243" s="5"/>
      <c r="O243" s="5"/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/>
      <c r="J244" s="5"/>
      <c r="K244" s="5"/>
      <c r="L244" s="5"/>
      <c r="M244" s="5"/>
      <c r="N244" s="5"/>
      <c r="O244" s="5"/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/>
      <c r="J245" s="5"/>
      <c r="K245" s="5"/>
      <c r="L245" s="5"/>
      <c r="M245" s="5"/>
      <c r="N245" s="5"/>
      <c r="O245" s="5"/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/>
      <c r="J246" s="5"/>
      <c r="K246" s="5"/>
      <c r="L246" s="5"/>
      <c r="M246" s="5"/>
      <c r="N246" s="5"/>
      <c r="O246" s="5"/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/>
      <c r="J247" s="5"/>
      <c r="K247" s="5"/>
      <c r="L247" s="5"/>
      <c r="M247" s="5"/>
      <c r="N247" s="5"/>
      <c r="O247" s="5"/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/>
      <c r="J248" s="5"/>
      <c r="K248" s="5"/>
      <c r="L248" s="5"/>
      <c r="M248" s="5"/>
      <c r="N248" s="5"/>
      <c r="O248" s="5"/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/>
      <c r="J249" s="5"/>
      <c r="K249" s="5"/>
      <c r="L249" s="5"/>
      <c r="M249" s="5"/>
      <c r="N249" s="5"/>
      <c r="O249" s="5"/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/>
      <c r="J250" s="5"/>
      <c r="K250" s="5"/>
      <c r="L250" s="5"/>
      <c r="M250" s="5"/>
      <c r="N250" s="5"/>
      <c r="O250" s="5"/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/>
      <c r="J251" s="5"/>
      <c r="K251" s="24"/>
      <c r="L251" s="5"/>
      <c r="M251" s="5"/>
      <c r="N251" s="5"/>
      <c r="O251" s="5"/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/>
      <c r="J252" s="5"/>
      <c r="K252" s="5"/>
      <c r="L252" s="5"/>
      <c r="M252" s="5"/>
      <c r="N252" s="5"/>
      <c r="O252" s="5"/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/>
      <c r="J253" s="5"/>
      <c r="K253" s="5"/>
      <c r="L253" s="5"/>
      <c r="M253" s="5"/>
      <c r="N253" s="5"/>
      <c r="O253" s="5"/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/>
      <c r="J254" s="5"/>
      <c r="K254" s="24"/>
      <c r="L254" s="5"/>
      <c r="M254" s="5"/>
      <c r="N254" s="5"/>
      <c r="O254" s="5"/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/>
      <c r="J255" s="5"/>
      <c r="K255" s="5"/>
      <c r="L255" s="5"/>
      <c r="M255" s="5"/>
      <c r="N255" s="5"/>
      <c r="O255" s="5"/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/>
      <c r="J256" s="5"/>
      <c r="K256" s="5"/>
      <c r="L256" s="5"/>
      <c r="M256" s="5"/>
      <c r="N256" s="5"/>
      <c r="O256" s="5"/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/>
      <c r="J257" s="5"/>
      <c r="K257" s="5"/>
      <c r="L257" s="5"/>
      <c r="M257" s="5"/>
      <c r="N257" s="5"/>
      <c r="O257" s="5"/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/>
      <c r="J258" s="5"/>
      <c r="K258" s="5"/>
      <c r="L258" s="5"/>
      <c r="M258" s="5"/>
      <c r="N258" s="5"/>
      <c r="O258" s="5"/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/>
      <c r="J259" s="5"/>
      <c r="K259" s="5"/>
      <c r="L259" s="5"/>
      <c r="M259" s="5"/>
      <c r="N259" s="5"/>
      <c r="O259" s="5"/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/>
      <c r="J260" s="5"/>
      <c r="K260" s="5"/>
      <c r="L260" s="5"/>
      <c r="M260" s="5"/>
      <c r="N260" s="5"/>
      <c r="O260" s="5"/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/>
      <c r="J261" s="5"/>
      <c r="K261" s="24"/>
      <c r="L261" s="5"/>
      <c r="M261" s="5"/>
      <c r="N261" s="5"/>
      <c r="O261" s="5"/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/>
      <c r="J262" s="5"/>
      <c r="K262" s="5"/>
      <c r="L262" s="5"/>
      <c r="M262" s="5"/>
      <c r="N262" s="5"/>
      <c r="O262" s="5"/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/>
      <c r="J263" s="5"/>
      <c r="K263" s="5"/>
      <c r="L263" s="5"/>
      <c r="M263" s="5"/>
      <c r="N263" s="5"/>
      <c r="O263" s="5"/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/>
      <c r="J264" s="5"/>
      <c r="K264" s="5"/>
      <c r="L264" s="5"/>
      <c r="M264" s="5"/>
      <c r="N264" s="5"/>
      <c r="O264" s="5"/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/>
      <c r="J265" s="5"/>
      <c r="K265" s="5"/>
      <c r="L265" s="5"/>
      <c r="M265" s="5"/>
      <c r="N265" s="5"/>
      <c r="O265" s="5"/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/>
      <c r="J266" s="5"/>
      <c r="K266" s="5"/>
      <c r="L266" s="5"/>
      <c r="M266" s="5"/>
      <c r="N266" s="5"/>
      <c r="O266" s="5"/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/>
      <c r="J267" s="5"/>
      <c r="K267" s="5"/>
      <c r="L267" s="5"/>
      <c r="M267" s="5"/>
      <c r="N267" s="5"/>
      <c r="O267" s="5"/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/>
      <c r="J268" s="5"/>
      <c r="K268" s="5"/>
      <c r="L268" s="5"/>
      <c r="M268" s="5"/>
      <c r="N268" s="5"/>
      <c r="O268" s="5"/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/>
      <c r="J269" s="5"/>
      <c r="K269" s="24"/>
      <c r="L269" s="5"/>
      <c r="M269" s="5"/>
      <c r="N269" s="5"/>
      <c r="O269" s="5"/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/>
      <c r="J270" s="5"/>
      <c r="K270" s="5"/>
      <c r="L270" s="5"/>
      <c r="M270" s="5"/>
      <c r="N270" s="5"/>
      <c r="O270" s="5"/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/>
      <c r="J271" s="5"/>
      <c r="K271" s="5"/>
      <c r="L271" s="5"/>
      <c r="M271" s="5"/>
      <c r="N271" s="5"/>
      <c r="O271" s="5"/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/>
      <c r="J272" s="5"/>
      <c r="K272" s="5"/>
      <c r="L272" s="5"/>
      <c r="M272" s="5"/>
      <c r="N272" s="5"/>
      <c r="O272" s="5"/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/>
      <c r="J273" s="5"/>
      <c r="K273" s="5"/>
      <c r="L273" s="5"/>
      <c r="M273" s="5"/>
      <c r="N273" s="5"/>
      <c r="O273" s="5"/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/>
      <c r="J274" s="5"/>
      <c r="K274" s="5"/>
      <c r="L274" s="5"/>
      <c r="M274" s="5"/>
      <c r="N274" s="5"/>
      <c r="O274" s="5"/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/>
      <c r="J275" s="5"/>
      <c r="K275" s="5"/>
      <c r="L275" s="5"/>
      <c r="M275" s="5"/>
      <c r="N275" s="5"/>
      <c r="O275" s="5"/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/>
      <c r="J276" s="5"/>
      <c r="K276" s="5"/>
      <c r="L276" s="5"/>
      <c r="M276" s="5"/>
      <c r="N276" s="5"/>
      <c r="O276" s="5"/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/>
      <c r="J277" s="5"/>
      <c r="K277" s="5"/>
      <c r="L277" s="5"/>
      <c r="M277" s="5"/>
      <c r="N277" s="5"/>
      <c r="O277" s="5"/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/>
      <c r="J278" s="5"/>
      <c r="K278" s="5"/>
      <c r="L278" s="5"/>
      <c r="M278" s="5"/>
      <c r="N278" s="5"/>
      <c r="O278" s="5"/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/>
      <c r="J279" s="5"/>
      <c r="K279" s="5"/>
      <c r="L279" s="5"/>
      <c r="M279" s="5"/>
      <c r="N279" s="5"/>
      <c r="O279" s="5"/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/>
      <c r="J280" s="5"/>
      <c r="K280" s="5"/>
      <c r="L280" s="5"/>
      <c r="M280" s="5"/>
      <c r="N280" s="5"/>
      <c r="O280" s="5"/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/>
      <c r="J281" s="5"/>
      <c r="K281" s="5"/>
      <c r="L281" s="5"/>
      <c r="M281" s="5"/>
      <c r="N281" s="5"/>
      <c r="O281" s="5"/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/>
      <c r="J282" s="5"/>
      <c r="K282" s="5"/>
      <c r="L282" s="5"/>
      <c r="M282" s="5"/>
      <c r="N282" s="5"/>
      <c r="O282" s="5"/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/>
      <c r="J283" s="5"/>
      <c r="K283" s="5"/>
      <c r="L283" s="5"/>
      <c r="M283" s="5"/>
      <c r="N283" s="5"/>
      <c r="O283" s="5"/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/>
      <c r="J284" s="5"/>
      <c r="K284" s="24"/>
      <c r="L284" s="5"/>
      <c r="M284" s="5"/>
      <c r="N284" s="5"/>
      <c r="O284" s="5"/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/>
      <c r="J285" s="5"/>
      <c r="K285" s="5"/>
      <c r="L285" s="5"/>
      <c r="M285" s="5"/>
      <c r="N285" s="5"/>
      <c r="O285" s="5"/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/>
      <c r="J286" s="5"/>
      <c r="K286" s="5"/>
      <c r="L286" s="5"/>
      <c r="M286" s="5"/>
      <c r="N286" s="5"/>
      <c r="O286" s="5"/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/>
      <c r="J287" s="5"/>
      <c r="K287" s="5"/>
      <c r="L287" s="5"/>
      <c r="M287" s="5"/>
      <c r="N287" s="5"/>
      <c r="O287" s="5"/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/>
      <c r="J288" s="5"/>
      <c r="K288" s="5"/>
      <c r="L288" s="5"/>
      <c r="M288" s="5"/>
      <c r="N288" s="5"/>
      <c r="O288" s="5"/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/>
      <c r="J289" s="5"/>
      <c r="K289" s="5"/>
      <c r="L289" s="5"/>
      <c r="M289" s="5"/>
      <c r="N289" s="5"/>
      <c r="O289" s="5"/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/>
      <c r="J290" s="5"/>
      <c r="K290" s="5"/>
      <c r="L290" s="5"/>
      <c r="M290" s="5"/>
      <c r="N290" s="5"/>
      <c r="O290" s="5"/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/>
      <c r="J291" s="5"/>
      <c r="K291" s="5"/>
      <c r="L291" s="5"/>
      <c r="M291" s="5"/>
      <c r="N291" s="5"/>
      <c r="O291" s="5"/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/>
      <c r="J292" s="5"/>
      <c r="K292" s="5"/>
      <c r="L292" s="5"/>
      <c r="M292" s="5"/>
      <c r="N292" s="5"/>
      <c r="O292" s="5"/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  <c r="I293" s="5"/>
      <c r="J293" s="5"/>
      <c r="K293" s="5"/>
      <c r="L293" s="5"/>
      <c r="M293" s="5"/>
      <c r="N293" s="5"/>
      <c r="O293" s="5"/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  <c r="I294" s="5"/>
      <c r="J294" s="5"/>
      <c r="K294" s="5"/>
      <c r="L294" s="5"/>
      <c r="M294" s="5"/>
      <c r="N294" s="5"/>
      <c r="O294" s="5"/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  <c r="I295" s="5"/>
      <c r="J295" s="5"/>
      <c r="K295" s="5"/>
      <c r="L295" s="5"/>
      <c r="M295" s="5"/>
      <c r="N295" s="5"/>
      <c r="O295" s="5"/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  <c r="I296" s="5"/>
      <c r="J296" s="5"/>
      <c r="K296" s="5"/>
      <c r="L296" s="5"/>
      <c r="M296" s="5"/>
      <c r="N296" s="5"/>
      <c r="O296" s="5"/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  <c r="I297" s="5"/>
      <c r="J297" s="5"/>
      <c r="K297" s="5"/>
      <c r="L297" s="5"/>
      <c r="M297" s="5"/>
      <c r="N297" s="5"/>
      <c r="O297" s="5"/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  <c r="I298" s="5"/>
      <c r="J298" s="5"/>
      <c r="K298" s="5"/>
      <c r="L298" s="5"/>
      <c r="M298" s="5"/>
      <c r="N298" s="5"/>
      <c r="O298" s="5"/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  <c r="I299" s="5"/>
      <c r="J299" s="5"/>
      <c r="K299" s="5"/>
      <c r="L299" s="5"/>
      <c r="M299" s="5"/>
      <c r="N299" s="5"/>
      <c r="O299" s="5"/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  <c r="I300" s="5"/>
      <c r="J300" s="5"/>
      <c r="K300" s="5"/>
      <c r="L300" s="5"/>
      <c r="M300" s="5"/>
      <c r="N300" s="5"/>
      <c r="O300" s="5"/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  <c r="I301" s="5"/>
      <c r="J301" s="5"/>
      <c r="K301" s="5"/>
      <c r="L301" s="5"/>
      <c r="M301" s="5"/>
      <c r="N301" s="5"/>
      <c r="O301" s="5"/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  <c r="I302" s="5"/>
      <c r="J302" s="5"/>
      <c r="K302" s="5"/>
      <c r="L302" s="5"/>
      <c r="M302" s="5"/>
      <c r="N302" s="5"/>
      <c r="O302" s="5"/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  <c r="I303" s="5"/>
      <c r="J303" s="5"/>
      <c r="K303" s="5"/>
      <c r="L303" s="5"/>
      <c r="M303" s="5"/>
      <c r="N303" s="5"/>
      <c r="O303" s="5"/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  <c r="I304" s="5"/>
      <c r="J304" s="5"/>
      <c r="K304" s="5"/>
      <c r="L304" s="5"/>
      <c r="M304" s="5"/>
      <c r="N304" s="5"/>
      <c r="O304" s="5"/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  <c r="I305" s="5"/>
      <c r="J305" s="5"/>
      <c r="K305" s="5"/>
      <c r="L305" s="5"/>
      <c r="M305" s="5"/>
      <c r="N305" s="5"/>
      <c r="O305" s="5"/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  <c r="I306" s="5"/>
      <c r="J306" s="5"/>
      <c r="K306" s="5"/>
      <c r="L306" s="5"/>
      <c r="M306" s="5"/>
      <c r="N306" s="5"/>
      <c r="O306" s="5"/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  <c r="I307" s="5"/>
      <c r="J307" s="5"/>
      <c r="K307" s="5"/>
      <c r="L307" s="5"/>
      <c r="M307" s="5"/>
      <c r="N307" s="5"/>
      <c r="O307" s="5"/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  <c r="I308" s="5"/>
      <c r="J308" s="5"/>
      <c r="K308" s="5"/>
      <c r="L308" s="5"/>
      <c r="M308" s="5"/>
      <c r="N308" s="5"/>
      <c r="O308" s="5"/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  <c r="I309" s="5"/>
      <c r="J309" s="5"/>
      <c r="K309" s="5"/>
      <c r="L309" s="5"/>
      <c r="M309" s="5"/>
      <c r="N309" s="5"/>
      <c r="O309" s="5"/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  <c r="I310" s="5"/>
      <c r="J310" s="5"/>
      <c r="K310" s="5"/>
      <c r="L310" s="5"/>
      <c r="M310" s="5"/>
      <c r="N310" s="5"/>
      <c r="O310" s="5"/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  <c r="I311" s="5"/>
      <c r="J311" s="5"/>
      <c r="K311" s="5"/>
      <c r="L311" s="5"/>
      <c r="M311" s="5"/>
      <c r="N311" s="5"/>
      <c r="O311" s="5"/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  <c r="I312" s="5"/>
      <c r="J312" s="5"/>
      <c r="K312" s="5"/>
      <c r="L312" s="5"/>
      <c r="M312" s="5"/>
      <c r="N312" s="5"/>
      <c r="O312" s="5"/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  <c r="I313" s="5"/>
      <c r="J313" s="5"/>
      <c r="K313" s="5"/>
      <c r="L313" s="5"/>
      <c r="M313" s="5"/>
      <c r="N313" s="5"/>
      <c r="O313" s="5"/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  <c r="I314" s="5"/>
      <c r="J314" s="5"/>
      <c r="K314" s="5"/>
      <c r="L314" s="5"/>
      <c r="M314" s="5"/>
      <c r="N314" s="5"/>
      <c r="O314" s="5"/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  <c r="I315" s="5"/>
      <c r="J315" s="5"/>
      <c r="K315" s="5"/>
      <c r="L315" s="5"/>
      <c r="M315" s="5"/>
      <c r="N315" s="5"/>
      <c r="O315" s="5"/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  <c r="I316" s="5"/>
      <c r="J316" s="5"/>
      <c r="K316" s="5"/>
      <c r="L316" s="5"/>
      <c r="M316" s="5"/>
      <c r="N316" s="5"/>
      <c r="O316" s="5"/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  <c r="I317" s="5"/>
      <c r="J317" s="5"/>
      <c r="K317" s="5"/>
      <c r="L317" s="5"/>
      <c r="M317" s="5"/>
      <c r="N317" s="5"/>
      <c r="O317" s="5"/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  <c r="I318" s="5"/>
      <c r="J318" s="5"/>
      <c r="K318" s="5"/>
      <c r="L318" s="5"/>
      <c r="M318" s="5"/>
      <c r="N318" s="5"/>
      <c r="O318" s="5"/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  <c r="I319" s="5"/>
      <c r="J319" s="5"/>
      <c r="K319" s="5"/>
      <c r="L319" s="5"/>
      <c r="M319" s="5"/>
      <c r="N319" s="5"/>
      <c r="O319" s="5"/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  <c r="I320" s="5"/>
      <c r="J320" s="5"/>
      <c r="K320" s="5"/>
      <c r="L320" s="5"/>
      <c r="M320" s="5"/>
      <c r="N320" s="5"/>
      <c r="O320" s="5"/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  <c r="I321" s="5"/>
      <c r="J321" s="5"/>
      <c r="K321" s="5"/>
      <c r="L321" s="5"/>
      <c r="M321" s="5"/>
      <c r="N321" s="5"/>
      <c r="O321" s="5"/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  <c r="I322" s="5"/>
      <c r="J322" s="5"/>
      <c r="K322" s="5"/>
      <c r="L322" s="5"/>
      <c r="M322" s="5"/>
      <c r="N322" s="5"/>
      <c r="O322" s="5"/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  <c r="I323" s="5"/>
      <c r="J323" s="5"/>
      <c r="K323" s="5"/>
      <c r="L323" s="5"/>
      <c r="M323" s="5"/>
      <c r="N323" s="5"/>
      <c r="O323" s="5"/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  <c r="I324" s="5"/>
      <c r="J324" s="5"/>
      <c r="K324" s="5"/>
      <c r="L324" s="5"/>
      <c r="M324" s="5"/>
      <c r="N324" s="5"/>
      <c r="O324" s="5"/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  <c r="I325" s="5"/>
      <c r="J325" s="5"/>
      <c r="K325" s="5"/>
      <c r="L325" s="5"/>
      <c r="M325" s="5"/>
      <c r="N325" s="5"/>
      <c r="O325" s="5"/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  <c r="I326" s="5"/>
      <c r="J326" s="5"/>
      <c r="K326" s="5"/>
      <c r="L326" s="5"/>
      <c r="M326" s="5"/>
      <c r="N326" s="5"/>
      <c r="O326" s="5"/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  <c r="I327" s="5"/>
      <c r="J327" s="5"/>
      <c r="K327" s="5"/>
      <c r="L327" s="5"/>
      <c r="M327" s="5"/>
      <c r="N327" s="5"/>
      <c r="O327" s="5"/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  <c r="I328" s="5"/>
      <c r="J328" s="5"/>
      <c r="K328" s="5"/>
      <c r="L328" s="5"/>
      <c r="M328" s="5"/>
      <c r="N328" s="5"/>
      <c r="O328" s="5"/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  <c r="I329" s="5"/>
      <c r="J329" s="5"/>
      <c r="K329" s="5"/>
      <c r="L329" s="5"/>
      <c r="M329" s="5"/>
      <c r="N329" s="5"/>
      <c r="O329" s="5"/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  <c r="I330" s="5"/>
      <c r="J330" s="5"/>
      <c r="K330" s="5"/>
      <c r="L330" s="5"/>
      <c r="M330" s="5"/>
      <c r="N330" s="5"/>
      <c r="O330" s="5"/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  <c r="I331" s="5"/>
      <c r="J331" s="5"/>
      <c r="K331" s="5"/>
      <c r="L331" s="5"/>
      <c r="M331" s="5"/>
      <c r="N331" s="5"/>
      <c r="O331" s="5"/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  <c r="I332" s="5"/>
      <c r="J332" s="5"/>
      <c r="K332" s="5"/>
      <c r="L332" s="5"/>
      <c r="M332" s="5"/>
      <c r="N332" s="5"/>
      <c r="O332" s="5"/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  <c r="I333" s="5"/>
      <c r="J333" s="5"/>
      <c r="K333" s="5"/>
      <c r="L333" s="5"/>
      <c r="M333" s="5"/>
      <c r="N333" s="5"/>
      <c r="O333" s="5"/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  <c r="I334" s="5"/>
      <c r="J334" s="5"/>
      <c r="K334" s="5"/>
      <c r="L334" s="5"/>
      <c r="M334" s="5"/>
      <c r="N334" s="5"/>
      <c r="O334" s="5"/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  <c r="I335" s="5"/>
      <c r="J335" s="5"/>
      <c r="K335" s="5"/>
      <c r="L335" s="5"/>
      <c r="M335" s="5"/>
      <c r="N335" s="5"/>
      <c r="O335" s="5"/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  <c r="I336" s="5"/>
      <c r="J336" s="5"/>
      <c r="K336" s="5"/>
      <c r="L336" s="5"/>
      <c r="M336" s="5"/>
      <c r="N336" s="5"/>
      <c r="O336" s="5"/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  <c r="I337" s="5"/>
      <c r="J337" s="5"/>
      <c r="K337" s="5"/>
      <c r="L337" s="5"/>
      <c r="M337" s="5"/>
      <c r="N337" s="5"/>
      <c r="O337" s="5"/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  <c r="I338" s="5"/>
      <c r="J338" s="5"/>
      <c r="K338" s="5"/>
      <c r="L338" s="5"/>
      <c r="M338" s="5"/>
      <c r="N338" s="5"/>
      <c r="O338" s="5"/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  <c r="I339" s="5"/>
      <c r="J339" s="5"/>
      <c r="K339" s="5"/>
      <c r="L339" s="5"/>
      <c r="M339" s="5"/>
      <c r="N339" s="5"/>
      <c r="O339" s="5"/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  <c r="I340" s="5"/>
      <c r="J340" s="5"/>
      <c r="K340" s="5"/>
      <c r="L340" s="5"/>
      <c r="M340" s="5"/>
      <c r="N340" s="5"/>
      <c r="O340" s="5"/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  <c r="I341" s="5"/>
      <c r="J341" s="5"/>
      <c r="K341" s="5"/>
      <c r="L341" s="5"/>
      <c r="M341" s="5"/>
      <c r="N341" s="5"/>
      <c r="O341" s="5"/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  <c r="I342" s="5"/>
      <c r="J342" s="5"/>
      <c r="K342" s="5"/>
      <c r="L342" s="5"/>
      <c r="M342" s="5"/>
      <c r="N342" s="5"/>
      <c r="O342" s="5"/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  <c r="I343" s="5"/>
      <c r="J343" s="5"/>
      <c r="K343" s="5"/>
      <c r="L343" s="5"/>
      <c r="M343" s="5"/>
      <c r="N343" s="5"/>
      <c r="O343" s="5"/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  <c r="I344" s="5"/>
      <c r="J344" s="5"/>
      <c r="K344" s="5"/>
      <c r="L344" s="5"/>
      <c r="M344" s="5"/>
      <c r="N344" s="5"/>
      <c r="O344" s="5"/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  <c r="I345" s="5"/>
      <c r="J345" s="5"/>
      <c r="K345" s="5"/>
      <c r="L345" s="5"/>
      <c r="M345" s="5"/>
      <c r="N345" s="5"/>
      <c r="O345" s="5"/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  <c r="I346" s="5"/>
      <c r="J346" s="5"/>
      <c r="K346" s="5"/>
      <c r="L346" s="5"/>
      <c r="M346" s="5"/>
      <c r="N346" s="5"/>
      <c r="O346" s="5"/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  <c r="I347" s="5"/>
      <c r="J347" s="5"/>
      <c r="K347" s="5"/>
      <c r="L347" s="5"/>
      <c r="M347" s="5"/>
      <c r="N347" s="5"/>
      <c r="O347" s="5"/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  <c r="I348" s="5"/>
      <c r="J348" s="5"/>
      <c r="K348" s="5"/>
      <c r="L348" s="5"/>
      <c r="M348" s="5"/>
      <c r="N348" s="5"/>
      <c r="O348" s="5"/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  <c r="I349" s="5"/>
      <c r="J349" s="5"/>
      <c r="K349" s="5"/>
      <c r="L349" s="5"/>
      <c r="M349" s="5"/>
      <c r="N349" s="5"/>
      <c r="O349" s="5"/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  <c r="I350" s="5"/>
      <c r="J350" s="5"/>
      <c r="K350" s="5"/>
      <c r="L350" s="5"/>
      <c r="M350" s="5"/>
      <c r="N350" s="5"/>
      <c r="O350" s="5"/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  <c r="I351" s="5"/>
      <c r="J351" s="5"/>
      <c r="K351" s="5"/>
      <c r="L351" s="5"/>
      <c r="M351" s="5"/>
      <c r="N351" s="5"/>
      <c r="O351" s="5"/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  <c r="I352" s="5"/>
      <c r="J352" s="5"/>
      <c r="K352" s="5"/>
      <c r="L352" s="5"/>
      <c r="M352" s="5"/>
      <c r="N352" s="5"/>
      <c r="O352" s="5"/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  <c r="I353" s="5"/>
      <c r="J353" s="5"/>
      <c r="K353" s="5"/>
      <c r="L353" s="5"/>
      <c r="M353" s="5"/>
      <c r="N353" s="5"/>
      <c r="O353" s="5"/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  <c r="I354" s="5"/>
      <c r="J354" s="5"/>
      <c r="K354" s="5"/>
      <c r="L354" s="5"/>
      <c r="M354" s="5"/>
      <c r="N354" s="5"/>
      <c r="O354" s="5"/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  <c r="I355" s="5"/>
      <c r="J355" s="5"/>
      <c r="K355" s="5"/>
      <c r="L355" s="5"/>
      <c r="M355" s="5"/>
      <c r="N355" s="5"/>
      <c r="O355" s="5"/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  <c r="I356" s="5"/>
      <c r="J356" s="5"/>
      <c r="K356" s="5"/>
      <c r="L356" s="5"/>
      <c r="M356" s="5"/>
      <c r="N356" s="5"/>
      <c r="O356" s="5"/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  <c r="I357" s="5"/>
      <c r="J357" s="5"/>
      <c r="K357" s="5"/>
      <c r="L357" s="5"/>
      <c r="M357" s="5"/>
      <c r="N357" s="5"/>
      <c r="O357" s="5"/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  <c r="I358" s="5"/>
      <c r="J358" s="5"/>
      <c r="K358" s="5"/>
      <c r="L358" s="5"/>
      <c r="M358" s="5"/>
      <c r="N358" s="5"/>
      <c r="O358" s="5"/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  <c r="I359" s="5"/>
      <c r="J359" s="5"/>
      <c r="K359" s="5"/>
      <c r="L359" s="5"/>
      <c r="M359" s="5"/>
      <c r="N359" s="5"/>
      <c r="O359" s="5"/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  <c r="I360" s="5"/>
      <c r="J360" s="5"/>
      <c r="K360" s="5"/>
      <c r="L360" s="5"/>
      <c r="M360" s="5"/>
      <c r="N360" s="5"/>
      <c r="O360" s="5"/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  <c r="I361" s="5"/>
      <c r="J361" s="5"/>
      <c r="K361" s="5"/>
      <c r="L361" s="5"/>
      <c r="M361" s="5"/>
      <c r="N361" s="5"/>
      <c r="O361" s="5"/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  <c r="I362" s="5"/>
      <c r="J362" s="5"/>
      <c r="K362" s="5"/>
      <c r="L362" s="5"/>
      <c r="M362" s="5"/>
      <c r="N362" s="5"/>
      <c r="O362" s="5"/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  <c r="I363" s="5"/>
      <c r="J363" s="5"/>
      <c r="K363" s="5"/>
      <c r="L363" s="5"/>
      <c r="M363" s="5"/>
      <c r="N363" s="5"/>
      <c r="O363" s="5"/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  <c r="I364" s="5"/>
      <c r="J364" s="5"/>
      <c r="K364" s="5"/>
      <c r="L364" s="5"/>
      <c r="M364" s="5"/>
      <c r="N364" s="5"/>
      <c r="O364" s="5"/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  <c r="I365" s="5"/>
      <c r="J365" s="5"/>
      <c r="K365" s="5"/>
      <c r="L365" s="5"/>
      <c r="M365" s="5"/>
      <c r="N365" s="5"/>
      <c r="O365" s="5"/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  <c r="I366" s="5"/>
      <c r="J366" s="5"/>
      <c r="K366" s="5"/>
      <c r="L366" s="5"/>
      <c r="M366" s="5"/>
      <c r="N366" s="5"/>
      <c r="O366" s="5"/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  <c r="I367" s="5"/>
      <c r="J367" s="5"/>
      <c r="K367" s="5"/>
      <c r="L367" s="5"/>
      <c r="M367" s="5"/>
      <c r="N367" s="5"/>
      <c r="O367" s="5"/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  <c r="I368" s="5"/>
      <c r="J368" s="5"/>
      <c r="K368" s="5"/>
      <c r="L368" s="5"/>
      <c r="M368" s="5"/>
      <c r="N368" s="5"/>
      <c r="O368" s="5"/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  <c r="I369" s="5"/>
      <c r="J369" s="5"/>
      <c r="K369" s="5"/>
      <c r="L369" s="5"/>
      <c r="M369" s="5"/>
      <c r="N369" s="5"/>
      <c r="O369" s="5"/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  <c r="I370" s="5"/>
      <c r="J370" s="5"/>
      <c r="K370" s="5"/>
      <c r="L370" s="5"/>
      <c r="M370" s="5"/>
      <c r="N370" s="5"/>
      <c r="O370" s="5"/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  <c r="I371" s="5"/>
      <c r="J371" s="5"/>
      <c r="K371" s="5"/>
      <c r="L371" s="5"/>
      <c r="M371" s="5"/>
      <c r="N371" s="5"/>
      <c r="O371" s="5"/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  <c r="I372" s="5"/>
      <c r="J372" s="5"/>
      <c r="K372" s="5"/>
      <c r="L372" s="5"/>
      <c r="M372" s="5"/>
      <c r="N372" s="5"/>
      <c r="O372" s="5"/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3200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IFERROR(__xludf.DUMMYFUNCTION("IMPORTRANGE(""https://docs.google.com/spreadsheets/d/16KXisboWQRoUVro0cI2bwo3KyV0SOoFpMd4dB2OEulM/edit#gid=1120027332"",""Leaders!A3:G502"")"),"Kameron Taylor")</f>
        <v>Kameron Taylor</v>
      </c>
      <c r="B3" s="13" t="str">
        <f>IFERROR(__xludf.DUMMYFUNCTION("""COMPUTED_VALUE"""),"DRAG")</f>
        <v>DRAG</v>
      </c>
      <c r="C3" s="14">
        <f>IFERROR(__xludf.DUMMYFUNCTION("""COMPUTED_VALUE"""),786.6)</f>
        <v>786.6</v>
      </c>
      <c r="D3" s="15">
        <f>IFERROR(__xludf.DUMMYFUNCTION("""COMPUTED_VALUE"""),9.267051260405077)</f>
        <v>9.26705126</v>
      </c>
      <c r="E3" s="15">
        <f>IFERROR(__xludf.DUMMYFUNCTION("""COMPUTED_VALUE"""),4.06723629631766)</f>
        <v>4.067236296</v>
      </c>
      <c r="F3" s="15">
        <f>IFERROR(__xludf.DUMMYFUNCTION("""COMPUTED_VALUE"""),13.334287556722737)</f>
        <v>13.33428756</v>
      </c>
      <c r="G3" s="17">
        <f>IFERROR(__xludf.DUMMYFUNCTION("""COMPUTED_VALUE"""),3.6576876878625266)</f>
        <v>3.657687688</v>
      </c>
      <c r="H3" s="4"/>
      <c r="I3" s="5" t="s">
        <v>760</v>
      </c>
      <c r="J3" s="5" t="s">
        <v>3203</v>
      </c>
      <c r="K3" s="24">
        <v>787.0</v>
      </c>
      <c r="L3" s="5">
        <v>9.304387</v>
      </c>
      <c r="M3" s="5">
        <v>4.0299</v>
      </c>
      <c r="N3" s="5">
        <v>13.334288</v>
      </c>
      <c r="O3" s="5">
        <v>3.657688</v>
      </c>
    </row>
    <row r="4">
      <c r="A4" s="18" t="str">
        <f>IFERROR(__xludf.DUMMYFUNCTION("""COMPUTED_VALUE"""),"Chris Hortman")</f>
        <v>Chris Hortman</v>
      </c>
      <c r="B4" s="19" t="str">
        <f>IFERROR(__xludf.DUMMYFUNCTION("""COMPUTED_VALUE"""),"SCHW")</f>
        <v>SCHW</v>
      </c>
      <c r="C4" s="20">
        <f>IFERROR(__xludf.DUMMYFUNCTION("""COMPUTED_VALUE"""),318.9)</f>
        <v>318.9</v>
      </c>
      <c r="D4" s="21">
        <f>IFERROR(__xludf.DUMMYFUNCTION("""COMPUTED_VALUE"""),7.649097559508821)</f>
        <v>7.64909756</v>
      </c>
      <c r="E4" s="21">
        <f>IFERROR(__xludf.DUMMYFUNCTION("""COMPUTED_VALUE"""),2.5672975145605186)</f>
        <v>2.567297515</v>
      </c>
      <c r="F4" s="21">
        <f>IFERROR(__xludf.DUMMYFUNCTION("""COMPUTED_VALUE"""),10.21639507406934)</f>
        <v>10.21639507</v>
      </c>
      <c r="G4" s="23">
        <f>IFERROR(__xludf.DUMMYFUNCTION("""COMPUTED_VALUE"""),1.181641313312331)</f>
        <v>1.181641313</v>
      </c>
      <c r="H4" s="4"/>
      <c r="I4" s="5" t="s">
        <v>3204</v>
      </c>
      <c r="J4" s="5" t="s">
        <v>3205</v>
      </c>
      <c r="K4" s="24">
        <v>319.0</v>
      </c>
      <c r="L4" s="5">
        <v>7.686434</v>
      </c>
      <c r="M4" s="5">
        <v>2.529961</v>
      </c>
      <c r="N4" s="5">
        <v>10.216395</v>
      </c>
      <c r="O4" s="5">
        <v>1.181641</v>
      </c>
    </row>
    <row r="5">
      <c r="A5" s="12" t="str">
        <f>IFERROR(__xludf.DUMMYFUNCTION("""COMPUTED_VALUE"""),"Kaimyn Pruitt")</f>
        <v>Kaimyn Pruitt</v>
      </c>
      <c r="B5" s="13" t="str">
        <f>IFERROR(__xludf.DUMMYFUNCTION("""COMPUTED_VALUE"""),"ITZ")</f>
        <v>ITZ</v>
      </c>
      <c r="C5" s="14">
        <f>IFERROR(__xludf.DUMMYFUNCTION("""COMPUTED_VALUE"""),675.2)</f>
        <v>675.2</v>
      </c>
      <c r="D5" s="15">
        <f>IFERROR(__xludf.DUMMYFUNCTION("""COMPUTED_VALUE"""),5.798462308355194)</f>
        <v>5.798462308</v>
      </c>
      <c r="E5" s="15">
        <f>IFERROR(__xludf.DUMMYFUNCTION("""COMPUTED_VALUE"""),3.802041042568569)</f>
        <v>3.802041043</v>
      </c>
      <c r="F5" s="15">
        <f>IFERROR(__xludf.DUMMYFUNCTION("""COMPUTED_VALUE"""),9.600503350923763)</f>
        <v>9.600503351</v>
      </c>
      <c r="G5" s="17">
        <f>IFERROR(__xludf.DUMMYFUNCTION("""COMPUTED_VALUE"""),2.3355772130074186)</f>
        <v>2.335577213</v>
      </c>
      <c r="H5" s="4"/>
      <c r="I5" s="5" t="s">
        <v>3206</v>
      </c>
      <c r="J5" s="5" t="s">
        <v>3207</v>
      </c>
      <c r="K5" s="24">
        <v>675.0</v>
      </c>
      <c r="L5" s="5">
        <v>5.835798</v>
      </c>
      <c r="M5" s="5">
        <v>3.764705</v>
      </c>
      <c r="N5" s="5">
        <v>9.600503</v>
      </c>
      <c r="O5" s="5">
        <v>2.335577</v>
      </c>
    </row>
    <row r="6">
      <c r="A6" s="18" t="str">
        <f>IFERROR(__xludf.DUMMYFUNCTION("""COMPUTED_VALUE"""),"Donte Nicholas")</f>
        <v>Donte Nicholas</v>
      </c>
      <c r="B6" s="19" t="str">
        <f>IFERROR(__xludf.DUMMYFUNCTION("""COMPUTED_VALUE"""),"ISER")</f>
        <v>ISER</v>
      </c>
      <c r="C6" s="20">
        <f>IFERROR(__xludf.DUMMYFUNCTION("""COMPUTED_VALUE"""),980.1)</f>
        <v>980.1</v>
      </c>
      <c r="D6" s="21">
        <f>IFERROR(__xludf.DUMMYFUNCTION("""COMPUTED_VALUE"""),4.50303617469186)</f>
        <v>4.503036175</v>
      </c>
      <c r="E6" s="21">
        <f>IFERROR(__xludf.DUMMYFUNCTION("""COMPUTED_VALUE"""),4.320847776080899)</f>
        <v>4.320847776</v>
      </c>
      <c r="F6" s="21">
        <f>IFERROR(__xludf.DUMMYFUNCTION("""COMPUTED_VALUE"""),8.823883950772759)</f>
        <v>8.823883951</v>
      </c>
      <c r="G6" s="23">
        <f>IFERROR(__xludf.DUMMYFUNCTION("""COMPUTED_VALUE"""),3.192113819178051)</f>
        <v>3.192113819</v>
      </c>
      <c r="H6" s="4"/>
      <c r="I6" s="5" t="s">
        <v>3209</v>
      </c>
      <c r="J6" s="5" t="s">
        <v>3210</v>
      </c>
      <c r="K6" s="24">
        <v>980.0</v>
      </c>
      <c r="L6" s="5">
        <v>4.540372</v>
      </c>
      <c r="M6" s="5">
        <v>4.283512</v>
      </c>
      <c r="N6" s="5">
        <v>8.823884</v>
      </c>
      <c r="O6" s="5">
        <v>3.192114</v>
      </c>
    </row>
    <row r="7">
      <c r="A7" s="12" t="str">
        <f>IFERROR(__xludf.DUMMYFUNCTION("""COMPUTED_VALUE"""),"Marko Krstanovic")</f>
        <v>Marko Krstanovic</v>
      </c>
      <c r="B7" s="13" t="str">
        <f>IFERROR(__xludf.DUMMYFUNCTION("""COMPUTED_VALUE"""),"ELCH")</f>
        <v>ELCH</v>
      </c>
      <c r="C7" s="14">
        <f>IFERROR(__xludf.DUMMYFUNCTION("""COMPUTED_VALUE"""),609.0)</f>
        <v>609</v>
      </c>
      <c r="D7" s="15">
        <f>IFERROR(__xludf.DUMMYFUNCTION("""COMPUTED_VALUE"""),1.4055735406535408)</f>
        <v>1.405573541</v>
      </c>
      <c r="E7" s="15">
        <f>IFERROR(__xludf.DUMMYFUNCTION("""COMPUTED_VALUE"""),6.509969385797165)</f>
        <v>6.509969386</v>
      </c>
      <c r="F7" s="15">
        <f>IFERROR(__xludf.DUMMYFUNCTION("""COMPUTED_VALUE"""),7.915542926450706)</f>
        <v>7.915542926</v>
      </c>
      <c r="G7" s="17">
        <f>IFERROR(__xludf.DUMMYFUNCTION("""COMPUTED_VALUE"""),1.8341195041715186)</f>
        <v>1.834119504</v>
      </c>
      <c r="H7" s="4"/>
      <c r="I7" s="5" t="s">
        <v>3211</v>
      </c>
      <c r="J7" s="5" t="s">
        <v>3212</v>
      </c>
      <c r="K7" s="24">
        <v>609.0</v>
      </c>
      <c r="L7" s="5">
        <v>1.44291</v>
      </c>
      <c r="M7" s="5">
        <v>6.472633</v>
      </c>
      <c r="N7" s="5">
        <v>7.915543</v>
      </c>
      <c r="O7" s="5">
        <v>1.83412</v>
      </c>
    </row>
    <row r="8">
      <c r="A8" s="18" t="str">
        <f>IFERROR(__xludf.DUMMYFUNCTION("""COMPUTED_VALUE"""),"Pierre Bland")</f>
        <v>Pierre Bland</v>
      </c>
      <c r="B8" s="19" t="str">
        <f>IFERROR(__xludf.DUMMYFUNCTION("""COMPUTED_VALUE"""),"ART")</f>
        <v>ART</v>
      </c>
      <c r="C8" s="20">
        <f>IFERROR(__xludf.DUMMYFUNCTION("""COMPUTED_VALUE"""),960.3)</f>
        <v>960.3</v>
      </c>
      <c r="D8" s="21">
        <f>IFERROR(__xludf.DUMMYFUNCTION("""COMPUTED_VALUE"""),6.290930840980548)</f>
        <v>6.290930841</v>
      </c>
      <c r="E8" s="21">
        <f>IFERROR(__xludf.DUMMYFUNCTION("""COMPUTED_VALUE"""),1.6004599556075396)</f>
        <v>1.600459956</v>
      </c>
      <c r="F8" s="21">
        <f>IFERROR(__xludf.DUMMYFUNCTION("""COMPUTED_VALUE"""),7.891390796588087)</f>
        <v>7.891390797</v>
      </c>
      <c r="G8" s="23">
        <f>IFERROR(__xludf.DUMMYFUNCTION("""COMPUTED_VALUE"""),2.807206977458887)</f>
        <v>2.807206977</v>
      </c>
      <c r="H8" s="4"/>
      <c r="I8" s="5" t="s">
        <v>3214</v>
      </c>
      <c r="J8" s="5" t="s">
        <v>3215</v>
      </c>
      <c r="K8" s="24">
        <v>928.0</v>
      </c>
      <c r="L8" s="5">
        <v>6.881294</v>
      </c>
      <c r="M8" s="5">
        <v>0.935864</v>
      </c>
      <c r="N8" s="5">
        <v>7.817158</v>
      </c>
      <c r="O8" s="5">
        <v>2.767511</v>
      </c>
    </row>
    <row r="9">
      <c r="A9" s="12" t="str">
        <f>IFERROR(__xludf.DUMMYFUNCTION("""COMPUTED_VALUE"""),"Demetrius Ward")</f>
        <v>Demetrius Ward</v>
      </c>
      <c r="B9" s="13" t="str">
        <f>IFERROR(__xludf.DUMMYFUNCTION("""COMPUTED_VALUE"""),"WOLF")</f>
        <v>WOLF</v>
      </c>
      <c r="C9" s="14">
        <f>IFERROR(__xludf.DUMMYFUNCTION("""COMPUTED_VALUE"""),928.4)</f>
        <v>928.4</v>
      </c>
      <c r="D9" s="15">
        <f>IFERROR(__xludf.DUMMYFUNCTION("""COMPUTED_VALUE"""),6.843958144372499)</f>
        <v>6.843958144</v>
      </c>
      <c r="E9" s="15">
        <f>IFERROR(__xludf.DUMMYFUNCTION("""COMPUTED_VALUE"""),0.9732001969855748)</f>
        <v>0.973200197</v>
      </c>
      <c r="F9" s="15">
        <f>IFERROR(__xludf.DUMMYFUNCTION("""COMPUTED_VALUE"""),7.817158341358073)</f>
        <v>7.817158341</v>
      </c>
      <c r="G9" s="17">
        <f>IFERROR(__xludf.DUMMYFUNCTION("""COMPUTED_VALUE"""),2.767510902162757)</f>
        <v>2.767510902</v>
      </c>
      <c r="H9" s="4"/>
      <c r="I9" s="5" t="s">
        <v>1140</v>
      </c>
      <c r="J9" s="5" t="s">
        <v>3217</v>
      </c>
      <c r="K9" s="24">
        <v>457.0</v>
      </c>
      <c r="L9" s="5">
        <v>5.895741</v>
      </c>
      <c r="M9" s="5">
        <v>1.733466</v>
      </c>
      <c r="N9" s="5">
        <v>7.629206</v>
      </c>
      <c r="O9" s="5">
        <v>1.325572</v>
      </c>
    </row>
    <row r="10">
      <c r="A10" s="18" t="str">
        <f>IFERROR(__xludf.DUMMYFUNCTION("""COMPUTED_VALUE"""),"Jeril Taylor")</f>
        <v>Jeril Taylor</v>
      </c>
      <c r="B10" s="19" t="str">
        <f>IFERROR(__xludf.DUMMYFUNCTION("""COMPUTED_VALUE"""),"GIES")</f>
        <v>GIES</v>
      </c>
      <c r="C10" s="20">
        <f>IFERROR(__xludf.DUMMYFUNCTION("""COMPUTED_VALUE"""),457.4)</f>
        <v>457.4</v>
      </c>
      <c r="D10" s="21">
        <f>IFERROR(__xludf.DUMMYFUNCTION("""COMPUTED_VALUE"""),5.858404574738859)</f>
        <v>5.858404575</v>
      </c>
      <c r="E10" s="21">
        <f>IFERROR(__xludf.DUMMYFUNCTION("""COMPUTED_VALUE"""),1.7708015712326768)</f>
        <v>1.770801571</v>
      </c>
      <c r="F10" s="21">
        <f>IFERROR(__xludf.DUMMYFUNCTION("""COMPUTED_VALUE"""),7.629206145971536)</f>
        <v>7.629206146</v>
      </c>
      <c r="G10" s="23">
        <f>IFERROR(__xludf.DUMMYFUNCTION("""COMPUTED_VALUE"""),1.3255721026555336)</f>
        <v>1.325572103</v>
      </c>
      <c r="H10" s="4"/>
      <c r="I10" s="5" t="s">
        <v>3218</v>
      </c>
      <c r="J10" s="5" t="s">
        <v>3212</v>
      </c>
      <c r="K10" s="24">
        <v>834.0</v>
      </c>
      <c r="L10" s="5">
        <v>4.064481</v>
      </c>
      <c r="M10" s="5">
        <v>3.393426</v>
      </c>
      <c r="N10" s="5">
        <v>7.457906</v>
      </c>
      <c r="O10" s="5">
        <v>2.395249</v>
      </c>
    </row>
    <row r="11">
      <c r="A11" s="12" t="str">
        <f>IFERROR(__xludf.DUMMYFUNCTION("""COMPUTED_VALUE"""),"Hayden Lescault")</f>
        <v>Hayden Lescault</v>
      </c>
      <c r="B11" s="13" t="str">
        <f>IFERROR(__xludf.DUMMYFUNCTION("""COMPUTED_VALUE"""),"ELCH")</f>
        <v>ELCH</v>
      </c>
      <c r="C11" s="14">
        <f>IFERROR(__xludf.DUMMYFUNCTION("""COMPUTED_VALUE"""),833.8)</f>
        <v>833.8</v>
      </c>
      <c r="D11" s="15">
        <f>IFERROR(__xludf.DUMMYFUNCTION("""COMPUTED_VALUE"""),4.027144556909041)</f>
        <v>4.027144557</v>
      </c>
      <c r="E11" s="15">
        <f>IFERROR(__xludf.DUMMYFUNCTION("""COMPUTED_VALUE"""),3.4307617269906956)</f>
        <v>3.430761727</v>
      </c>
      <c r="F11" s="15">
        <f>IFERROR(__xludf.DUMMYFUNCTION("""COMPUTED_VALUE"""),7.457906283899737)</f>
        <v>7.457906284</v>
      </c>
      <c r="G11" s="17">
        <f>IFERROR(__xludf.DUMMYFUNCTION("""COMPUTED_VALUE"""),2.395249370648287)</f>
        <v>2.395249371</v>
      </c>
      <c r="H11" s="4"/>
      <c r="I11" s="5" t="s">
        <v>3219</v>
      </c>
      <c r="J11" s="5" t="s">
        <v>3220</v>
      </c>
      <c r="K11" s="24">
        <v>910.0</v>
      </c>
      <c r="L11" s="5">
        <v>5.471494</v>
      </c>
      <c r="M11" s="5">
        <v>1.969011</v>
      </c>
      <c r="N11" s="5">
        <v>7.440505</v>
      </c>
      <c r="O11" s="5">
        <v>2.637379</v>
      </c>
    </row>
    <row r="12">
      <c r="A12" s="18" t="str">
        <f>IFERROR(__xludf.DUMMYFUNCTION("""COMPUTED_VALUE"""),"Brandon Lockhart")</f>
        <v>Brandon Lockhart</v>
      </c>
      <c r="B12" s="19" t="str">
        <f>IFERROR(__xludf.DUMMYFUNCTION("""COMPUTED_VALUE"""),"ROST")</f>
        <v>ROST</v>
      </c>
      <c r="C12" s="20">
        <f>IFERROR(__xludf.DUMMYFUNCTION("""COMPUTED_VALUE"""),910.0)</f>
        <v>910</v>
      </c>
      <c r="D12" s="21">
        <f>IFERROR(__xludf.DUMMYFUNCTION("""COMPUTED_VALUE"""),5.434157707321834)</f>
        <v>5.434157707</v>
      </c>
      <c r="E12" s="21">
        <f>IFERROR(__xludf.DUMMYFUNCTION("""COMPUTED_VALUE"""),2.0063470341748966)</f>
        <v>2.006347034</v>
      </c>
      <c r="F12" s="21">
        <f>IFERROR(__xludf.DUMMYFUNCTION("""COMPUTED_VALUE"""),7.4405047414967305)</f>
        <v>7.440504741</v>
      </c>
      <c r="G12" s="23">
        <f>IFERROR(__xludf.DUMMYFUNCTION("""COMPUTED_VALUE"""),2.637378822726782)</f>
        <v>2.637378823</v>
      </c>
      <c r="H12" s="4"/>
      <c r="I12" s="5" t="s">
        <v>3222</v>
      </c>
      <c r="J12" s="5" t="s">
        <v>3220</v>
      </c>
      <c r="K12" s="24">
        <v>925.0</v>
      </c>
      <c r="L12" s="5">
        <v>3.51806</v>
      </c>
      <c r="M12" s="5">
        <v>3.3403</v>
      </c>
      <c r="N12" s="5">
        <v>6.85836</v>
      </c>
      <c r="O12" s="5">
        <v>2.514995</v>
      </c>
    </row>
    <row r="13">
      <c r="A13" s="12" t="str">
        <f>IFERROR(__xludf.DUMMYFUNCTION("""COMPUTED_VALUE"""),"Jordan Talbert")</f>
        <v>Jordan Talbert</v>
      </c>
      <c r="B13" s="13" t="str">
        <f>IFERROR(__xludf.DUMMYFUNCTION("""COMPUTED_VALUE"""),"ROST")</f>
        <v>ROST</v>
      </c>
      <c r="C13" s="14">
        <f>IFERROR(__xludf.DUMMYFUNCTION("""COMPUTED_VALUE"""),924.8)</f>
        <v>924.8</v>
      </c>
      <c r="D13" s="15">
        <f>IFERROR(__xludf.DUMMYFUNCTION("""COMPUTED_VALUE"""),3.4807244555002774)</f>
        <v>3.480724456</v>
      </c>
      <c r="E13" s="15">
        <f>IFERROR(__xludf.DUMMYFUNCTION("""COMPUTED_VALUE"""),3.3776356304547916)</f>
        <v>3.37763563</v>
      </c>
      <c r="F13" s="15">
        <f>IFERROR(__xludf.DUMMYFUNCTION("""COMPUTED_VALUE"""),6.858360085955069)</f>
        <v>6.858360086</v>
      </c>
      <c r="G13" s="17">
        <f>IFERROR(__xludf.DUMMYFUNCTION("""COMPUTED_VALUE"""),2.5149946106429386)</f>
        <v>2.514994611</v>
      </c>
      <c r="H13" s="4"/>
      <c r="I13" s="5" t="s">
        <v>775</v>
      </c>
      <c r="J13" s="5" t="s">
        <v>3223</v>
      </c>
      <c r="K13" s="24">
        <v>867.0</v>
      </c>
      <c r="L13" s="5">
        <v>5.796982</v>
      </c>
      <c r="M13" s="5">
        <v>0.726599</v>
      </c>
      <c r="N13" s="5">
        <v>6.523581</v>
      </c>
      <c r="O13" s="5">
        <v>2.245933</v>
      </c>
    </row>
    <row r="14">
      <c r="A14" s="18" t="str">
        <f>IFERROR(__xludf.DUMMYFUNCTION("""COMPUTED_VALUE"""),"Miles Jackson-Cartwright")</f>
        <v>Miles Jackson-Cartwright</v>
      </c>
      <c r="B14" s="19" t="str">
        <f>IFERROR(__xludf.DUMMYFUNCTION("""COMPUTED_VALUE"""),"AKAD")</f>
        <v>AKAD</v>
      </c>
      <c r="C14" s="20">
        <f>IFERROR(__xludf.DUMMYFUNCTION("""COMPUTED_VALUE"""),867.0)</f>
        <v>867</v>
      </c>
      <c r="D14" s="21">
        <f>IFERROR(__xludf.DUMMYFUNCTION("""COMPUTED_VALUE"""),5.759645986433529)</f>
        <v>5.759645986</v>
      </c>
      <c r="E14" s="21">
        <f>IFERROR(__xludf.DUMMYFUNCTION("""COMPUTED_VALUE"""),0.7639352664577066)</f>
        <v>0.7639352665</v>
      </c>
      <c r="F14" s="21">
        <f>IFERROR(__xludf.DUMMYFUNCTION("""COMPUTED_VALUE"""),6.523581252891236)</f>
        <v>6.523581253</v>
      </c>
      <c r="G14" s="23">
        <f>IFERROR(__xludf.DUMMYFUNCTION("""COMPUTED_VALUE"""),2.2459332425255596)</f>
        <v>2.245933243</v>
      </c>
      <c r="H14" s="4"/>
      <c r="I14" s="5" t="s">
        <v>3225</v>
      </c>
      <c r="J14" s="5" t="s">
        <v>3226</v>
      </c>
      <c r="K14" s="24">
        <v>610.0</v>
      </c>
      <c r="L14" s="5">
        <v>2.714476</v>
      </c>
      <c r="M14" s="5">
        <v>3.702478</v>
      </c>
      <c r="N14" s="5">
        <v>6.416954</v>
      </c>
      <c r="O14" s="5">
        <v>1.5672</v>
      </c>
    </row>
    <row r="15">
      <c r="A15" s="12" t="str">
        <f>IFERROR(__xludf.DUMMYFUNCTION("""COMPUTED_VALUE"""),"Dexter Werner")</f>
        <v>Dexter Werner</v>
      </c>
      <c r="B15" s="13" t="str">
        <f>IFERROR(__xludf.DUMMYFUNCTION("""COMPUTED_VALUE"""),"SSV")</f>
        <v>SSV</v>
      </c>
      <c r="C15" s="14">
        <f>IFERROR(__xludf.DUMMYFUNCTION("""COMPUTED_VALUE"""),610.2)</f>
        <v>610.2</v>
      </c>
      <c r="D15" s="15">
        <f>IFERROR(__xludf.DUMMYFUNCTION("""COMPUTED_VALUE"""),2.6771402795031842)</f>
        <v>2.67714028</v>
      </c>
      <c r="E15" s="15">
        <f>IFERROR(__xludf.DUMMYFUNCTION("""COMPUTED_VALUE"""),3.7398138055869734)</f>
        <v>3.739813806</v>
      </c>
      <c r="F15" s="15">
        <f>IFERROR(__xludf.DUMMYFUNCTION("""COMPUTED_VALUE"""),6.416954085090158)</f>
        <v>6.416954085</v>
      </c>
      <c r="G15" s="17">
        <f>IFERROR(__xludf.DUMMYFUNCTION("""COMPUTED_VALUE"""),1.5672000472116725)</f>
        <v>1.567200047</v>
      </c>
      <c r="H15" s="4"/>
      <c r="I15" s="5" t="s">
        <v>3228</v>
      </c>
      <c r="J15" s="5" t="s">
        <v>3229</v>
      </c>
      <c r="K15" s="24">
        <v>405.0</v>
      </c>
      <c r="L15" s="5">
        <v>5.820243</v>
      </c>
      <c r="M15" s="5">
        <v>0.396638</v>
      </c>
      <c r="N15" s="5">
        <v>6.216881</v>
      </c>
      <c r="O15" s="5">
        <v>1.050765</v>
      </c>
    </row>
    <row r="16">
      <c r="A16" s="18" t="str">
        <f>IFERROR(__xludf.DUMMYFUNCTION("""COMPUTED_VALUE"""),"Nick Tufegdzich")</f>
        <v>Nick Tufegdzich</v>
      </c>
      <c r="B16" s="19" t="str">
        <f>IFERROR(__xludf.DUMMYFUNCTION("""COMPUTED_VALUE"""),"ETB")</f>
        <v>ETB</v>
      </c>
      <c r="C16" s="20">
        <f>IFERROR(__xludf.DUMMYFUNCTION("""COMPUTED_VALUE"""),404.7)</f>
        <v>404.7</v>
      </c>
      <c r="D16" s="21">
        <f>IFERROR(__xludf.DUMMYFUNCTION("""COMPUTED_VALUE"""),5.782907240970868)</f>
        <v>5.782907241</v>
      </c>
      <c r="E16" s="21">
        <f>IFERROR(__xludf.DUMMYFUNCTION("""COMPUTED_VALUE"""),0.4339740523464428)</f>
        <v>0.4339740523</v>
      </c>
      <c r="F16" s="21">
        <f>IFERROR(__xludf.DUMMYFUNCTION("""COMPUTED_VALUE"""),6.216881293317311)</f>
        <v>6.216881293</v>
      </c>
      <c r="G16" s="23">
        <f>IFERROR(__xludf.DUMMYFUNCTION("""COMPUTED_VALUE"""),1.0507653397972283)</f>
        <v>1.05076534</v>
      </c>
      <c r="H16" s="4"/>
      <c r="I16" s="5" t="s">
        <v>3230</v>
      </c>
      <c r="J16" s="5" t="s">
        <v>3229</v>
      </c>
      <c r="K16" s="24">
        <v>915.0</v>
      </c>
      <c r="L16" s="5">
        <v>5.388908</v>
      </c>
      <c r="M16" s="5">
        <v>0.784124</v>
      </c>
      <c r="N16" s="5">
        <v>6.173032</v>
      </c>
      <c r="O16" s="5">
        <v>2.363291</v>
      </c>
    </row>
    <row r="17">
      <c r="A17" s="12" t="str">
        <f>IFERROR(__xludf.DUMMYFUNCTION("""COMPUTED_VALUE"""),"Montrael Scott")</f>
        <v>Montrael Scott</v>
      </c>
      <c r="B17" s="13" t="str">
        <f>IFERROR(__xludf.DUMMYFUNCTION("""COMPUTED_VALUE"""),"ETB")</f>
        <v>ETB</v>
      </c>
      <c r="C17" s="14">
        <f>IFERROR(__xludf.DUMMYFUNCTION("""COMPUTED_VALUE"""),915.1)</f>
        <v>915.1</v>
      </c>
      <c r="D17" s="15">
        <f>IFERROR(__xludf.DUMMYFUNCTION("""COMPUTED_VALUE"""),5.351571573548065)</f>
        <v>5.351571574</v>
      </c>
      <c r="E17" s="15">
        <f>IFERROR(__xludf.DUMMYFUNCTION("""COMPUTED_VALUE"""),0.821460278831931)</f>
        <v>0.8214602788</v>
      </c>
      <c r="F17" s="15">
        <f>IFERROR(__xludf.DUMMYFUNCTION("""COMPUTED_VALUE"""),6.173031852379996)</f>
        <v>6.173031852</v>
      </c>
      <c r="G17" s="17">
        <f>IFERROR(__xludf.DUMMYFUNCTION("""COMPUTED_VALUE"""),2.363291366314401)</f>
        <v>2.363291366</v>
      </c>
      <c r="H17" s="4"/>
      <c r="I17" s="5" t="s">
        <v>3231</v>
      </c>
      <c r="J17" s="5" t="s">
        <v>3233</v>
      </c>
      <c r="K17" s="24">
        <v>960.0</v>
      </c>
      <c r="L17" s="5">
        <v>5.432202</v>
      </c>
      <c r="M17" s="5">
        <v>0.563188</v>
      </c>
      <c r="N17" s="5">
        <v>5.995391</v>
      </c>
      <c r="O17" s="5">
        <v>2.269116</v>
      </c>
    </row>
    <row r="18">
      <c r="A18" s="18" t="str">
        <f>IFERROR(__xludf.DUMMYFUNCTION("""COMPUTED_VALUE"""),"Andre Calvin")</f>
        <v>Andre Calvin</v>
      </c>
      <c r="B18" s="19" t="str">
        <f>IFERROR(__xludf.DUMMYFUNCTION("""COMPUTED_VALUE"""),"ART")</f>
        <v>ART</v>
      </c>
      <c r="C18" s="20">
        <f>IFERROR(__xludf.DUMMYFUNCTION("""COMPUTED_VALUE"""),758.5)</f>
        <v>758.5</v>
      </c>
      <c r="D18" s="21">
        <f>IFERROR(__xludf.DUMMYFUNCTION("""COMPUTED_VALUE"""),5.675861694462616)</f>
        <v>5.675861694</v>
      </c>
      <c r="E18" s="21">
        <f>IFERROR(__xludf.DUMMYFUNCTION("""COMPUTED_VALUE"""),0.05353310305221992)</f>
        <v>0.05353310305</v>
      </c>
      <c r="F18" s="21">
        <f>IFERROR(__xludf.DUMMYFUNCTION("""COMPUTED_VALUE"""),5.729394797514836)</f>
        <v>5.729394798</v>
      </c>
      <c r="G18" s="23">
        <f>IFERROR(__xludf.DUMMYFUNCTION("""COMPUTED_VALUE"""),1.732651507601675)</f>
        <v>1.732651508</v>
      </c>
      <c r="H18" s="4"/>
      <c r="I18" s="5" t="s">
        <v>3234</v>
      </c>
      <c r="J18" s="5" t="s">
        <v>3212</v>
      </c>
      <c r="K18" s="24">
        <v>772.0</v>
      </c>
      <c r="L18" s="5">
        <v>3.281958</v>
      </c>
      <c r="M18" s="5">
        <v>2.330674</v>
      </c>
      <c r="N18" s="5">
        <v>5.612631</v>
      </c>
      <c r="O18" s="5">
        <v>1.7848</v>
      </c>
    </row>
    <row r="19">
      <c r="A19" s="12" t="str">
        <f>IFERROR(__xludf.DUMMYFUNCTION("""COMPUTED_VALUE"""),"Jere Vucica")</f>
        <v>Jere Vucica</v>
      </c>
      <c r="B19" s="13" t="str">
        <f>IFERROR(__xludf.DUMMYFUNCTION("""COMPUTED_VALUE"""),"ELCH")</f>
        <v>ELCH</v>
      </c>
      <c r="C19" s="14">
        <f>IFERROR(__xludf.DUMMYFUNCTION("""COMPUTED_VALUE"""),771.9)</f>
        <v>771.9</v>
      </c>
      <c r="D19" s="15">
        <f>IFERROR(__xludf.DUMMYFUNCTION("""COMPUTED_VALUE"""),3.2446216085895516)</f>
        <v>3.244621609</v>
      </c>
      <c r="E19" s="15">
        <f>IFERROR(__xludf.DUMMYFUNCTION("""COMPUTED_VALUE"""),2.368009522066113)</f>
        <v>2.368009522</v>
      </c>
      <c r="F19" s="15">
        <f>IFERROR(__xludf.DUMMYFUNCTION("""COMPUTED_VALUE"""),5.612631130655664)</f>
        <v>5.612631131</v>
      </c>
      <c r="G19" s="17">
        <f>IFERROR(__xludf.DUMMYFUNCTION("""COMPUTED_VALUE"""),1.7848004430733528)</f>
        <v>1.784800443</v>
      </c>
      <c r="H19" s="4"/>
      <c r="I19" s="5" t="s">
        <v>3235</v>
      </c>
      <c r="J19" s="5" t="s">
        <v>3212</v>
      </c>
      <c r="K19" s="24">
        <v>621.0</v>
      </c>
      <c r="L19" s="5">
        <v>3.630073</v>
      </c>
      <c r="M19" s="5">
        <v>1.849615</v>
      </c>
      <c r="N19" s="5">
        <v>5.479688</v>
      </c>
      <c r="O19" s="5">
        <v>1.410357</v>
      </c>
    </row>
    <row r="20">
      <c r="A20" s="18" t="str">
        <f>IFERROR(__xludf.DUMMYFUNCTION("""COMPUTED_VALUE"""),"Kristian Kuhn")</f>
        <v>Kristian Kuhn</v>
      </c>
      <c r="B20" s="19" t="str">
        <f>IFERROR(__xludf.DUMMYFUNCTION("""COMPUTED_VALUE"""),"ELCH")</f>
        <v>ELCH</v>
      </c>
      <c r="C20" s="20">
        <f>IFERROR(__xludf.DUMMYFUNCTION("""COMPUTED_VALUE"""),620.8)</f>
        <v>620.8</v>
      </c>
      <c r="D20" s="21">
        <f>IFERROR(__xludf.DUMMYFUNCTION("""COMPUTED_VALUE"""),3.5927370349994807)</f>
        <v>3.592737035</v>
      </c>
      <c r="E20" s="21">
        <f>IFERROR(__xludf.DUMMYFUNCTION("""COMPUTED_VALUE"""),1.886950740056514)</f>
        <v>1.88695074</v>
      </c>
      <c r="F20" s="21">
        <f>IFERROR(__xludf.DUMMYFUNCTION("""COMPUTED_VALUE"""),5.479687775055995)</f>
        <v>5.479687775</v>
      </c>
      <c r="G20" s="23">
        <f>IFERROR(__xludf.DUMMYFUNCTION("""COMPUTED_VALUE"""),1.4103568599355132)</f>
        <v>1.41035686</v>
      </c>
      <c r="H20" s="4"/>
      <c r="I20" s="5" t="s">
        <v>3236</v>
      </c>
      <c r="J20" s="5" t="s">
        <v>3237</v>
      </c>
      <c r="K20" s="5">
        <v>694.0</v>
      </c>
      <c r="L20" s="5">
        <v>4.652773</v>
      </c>
      <c r="M20" s="5">
        <v>0.735438</v>
      </c>
      <c r="N20" s="5">
        <v>5.388211</v>
      </c>
      <c r="O20" s="5">
        <v>1.729146</v>
      </c>
    </row>
    <row r="21">
      <c r="A21" s="12" t="str">
        <f>IFERROR(__xludf.DUMMYFUNCTION("""COMPUTED_VALUE"""),"Terence Smith")</f>
        <v>Terence Smith</v>
      </c>
      <c r="B21" s="13" t="str">
        <f>IFERROR(__xludf.DUMMYFUNCTION("""COMPUTED_VALUE"""),"CUX")</f>
        <v>CUX</v>
      </c>
      <c r="C21" s="14">
        <f>IFERROR(__xludf.DUMMYFUNCTION("""COMPUTED_VALUE"""),693.7)</f>
        <v>693.7</v>
      </c>
      <c r="D21" s="15">
        <f>IFERROR(__xludf.DUMMYFUNCTION("""COMPUTED_VALUE"""),4.615437112497516)</f>
        <v>4.615437112</v>
      </c>
      <c r="E21" s="15">
        <f>IFERROR(__xludf.DUMMYFUNCTION("""COMPUTED_VALUE"""),0.7727739060224046)</f>
        <v>0.772773906</v>
      </c>
      <c r="F21" s="15">
        <f>IFERROR(__xludf.DUMMYFUNCTION("""COMPUTED_VALUE"""),5.388211018519921)</f>
        <v>5.388211019</v>
      </c>
      <c r="G21" s="17">
        <f>IFERROR(__xludf.DUMMYFUNCTION("""COMPUTED_VALUE"""),1.7291462997645994)</f>
        <v>1.7291463</v>
      </c>
      <c r="H21" s="4"/>
      <c r="I21" s="5" t="s">
        <v>3238</v>
      </c>
      <c r="J21" s="5" t="s">
        <v>2838</v>
      </c>
      <c r="K21" s="24">
        <v>353.0</v>
      </c>
      <c r="L21" s="5">
        <v>3.646424</v>
      </c>
      <c r="M21" s="5">
        <v>1.637954</v>
      </c>
      <c r="N21" s="5">
        <v>5.284378</v>
      </c>
      <c r="O21" s="5">
        <v>0.770777</v>
      </c>
    </row>
    <row r="22">
      <c r="A22" s="18" t="str">
        <f>IFERROR(__xludf.DUMMYFUNCTION("""COMPUTED_VALUE"""),"Jarvis Davis")</f>
        <v>Jarvis Davis</v>
      </c>
      <c r="B22" s="19" t="str">
        <f>IFERROR(__xludf.DUMMYFUNCTION("""COMPUTED_VALUE"""),"AST")</f>
        <v>AST</v>
      </c>
      <c r="C22" s="20">
        <f>IFERROR(__xludf.DUMMYFUNCTION("""COMPUTED_VALUE"""),353.2)</f>
        <v>353.2</v>
      </c>
      <c r="D22" s="21">
        <f>IFERROR(__xludf.DUMMYFUNCTION("""COMPUTED_VALUE"""),3.609087946178705)</f>
        <v>3.609087946</v>
      </c>
      <c r="E22" s="21">
        <f>IFERROR(__xludf.DUMMYFUNCTION("""COMPUTED_VALUE"""),1.6752899582704526)</f>
        <v>1.675289958</v>
      </c>
      <c r="F22" s="21">
        <f>IFERROR(__xludf.DUMMYFUNCTION("""COMPUTED_VALUE"""),5.2843779044491574)</f>
        <v>5.284377904</v>
      </c>
      <c r="G22" s="23">
        <f>IFERROR(__xludf.DUMMYFUNCTION("""COMPUTED_VALUE"""),0.7707768984271994)</f>
        <v>0.7707768984</v>
      </c>
      <c r="H22" s="4"/>
      <c r="I22" s="5" t="s">
        <v>963</v>
      </c>
      <c r="J22" s="5" t="s">
        <v>3217</v>
      </c>
      <c r="K22" s="5">
        <v>808.0</v>
      </c>
      <c r="L22" s="5">
        <v>2.128232</v>
      </c>
      <c r="M22" s="5">
        <v>3.143818</v>
      </c>
      <c r="N22" s="5">
        <v>5.272049</v>
      </c>
      <c r="O22" s="5">
        <v>1.769293</v>
      </c>
    </row>
    <row r="23">
      <c r="A23" s="12" t="str">
        <f>IFERROR(__xludf.DUMMYFUNCTION("""COMPUTED_VALUE"""),"Nick Hornsby")</f>
        <v>Nick Hornsby</v>
      </c>
      <c r="B23" s="13" t="str">
        <f>IFERROR(__xludf.DUMMYFUNCTION("""COMPUTED_VALUE"""),"GIES")</f>
        <v>GIES</v>
      </c>
      <c r="C23" s="14">
        <f>IFERROR(__xludf.DUMMYFUNCTION("""COMPUTED_VALUE"""),808.4)</f>
        <v>808.4</v>
      </c>
      <c r="D23" s="15">
        <f>IFERROR(__xludf.DUMMYFUNCTION("""COMPUTED_VALUE"""),2.0908956146955493)</f>
        <v>2.090895615</v>
      </c>
      <c r="E23" s="15">
        <f>IFERROR(__xludf.DUMMYFUNCTION("""COMPUTED_VALUE"""),3.1811535472261783)</f>
        <v>3.181153547</v>
      </c>
      <c r="F23" s="15">
        <f>IFERROR(__xludf.DUMMYFUNCTION("""COMPUTED_VALUE"""),5.272049161921728)</f>
        <v>5.272049162</v>
      </c>
      <c r="G23" s="17">
        <f>IFERROR(__xludf.DUMMYFUNCTION("""COMPUTED_VALUE"""),1.7692932555129435)</f>
        <v>1.769293256</v>
      </c>
      <c r="H23" s="4"/>
      <c r="I23" s="5" t="s">
        <v>1065</v>
      </c>
      <c r="J23" s="5" t="s">
        <v>3240</v>
      </c>
      <c r="K23" s="24">
        <v>810.0</v>
      </c>
      <c r="L23" s="5">
        <v>4.064939</v>
      </c>
      <c r="M23" s="5">
        <v>0.887572</v>
      </c>
      <c r="N23" s="5">
        <v>4.952511</v>
      </c>
      <c r="O23" s="5">
        <v>1.716451</v>
      </c>
    </row>
    <row r="24">
      <c r="A24" s="18" t="str">
        <f>IFERROR(__xludf.DUMMYFUNCTION("""COMPUTED_VALUE"""),"Karim Jallow")</f>
        <v>Karim Jallow</v>
      </c>
      <c r="B24" s="19" t="str">
        <f>IFERROR(__xludf.DUMMYFUNCTION("""COMPUTED_VALUE"""),"MUNII")</f>
        <v>MUNII</v>
      </c>
      <c r="C24" s="20">
        <f>IFERROR(__xludf.DUMMYFUNCTION("""COMPUTED_VALUE"""),809.6)</f>
        <v>809.6</v>
      </c>
      <c r="D24" s="21">
        <f>IFERROR(__xludf.DUMMYFUNCTION("""COMPUTED_VALUE"""),4.027602672432533)</f>
        <v>4.027602672</v>
      </c>
      <c r="E24" s="21">
        <f>IFERROR(__xludf.DUMMYFUNCTION("""COMPUTED_VALUE"""),0.9249083217160496)</f>
        <v>0.9249083217</v>
      </c>
      <c r="F24" s="21">
        <f>IFERROR(__xludf.DUMMYFUNCTION("""COMPUTED_VALUE"""),4.952510994148582)</f>
        <v>4.952510994</v>
      </c>
      <c r="G24" s="23">
        <f>IFERROR(__xludf.DUMMYFUNCTION("""COMPUTED_VALUE"""),1.7164510124137597)</f>
        <v>1.716451012</v>
      </c>
      <c r="H24" s="4"/>
      <c r="I24" s="5" t="s">
        <v>3241</v>
      </c>
      <c r="J24" s="5" t="s">
        <v>2201</v>
      </c>
      <c r="K24" s="24">
        <v>985.0</v>
      </c>
      <c r="L24" s="5">
        <v>2.989934</v>
      </c>
      <c r="M24" s="5">
        <v>1.943075</v>
      </c>
      <c r="N24" s="5">
        <v>4.933009</v>
      </c>
      <c r="O24" s="5">
        <v>2.086479</v>
      </c>
    </row>
    <row r="25">
      <c r="A25" s="12" t="str">
        <f>IFERROR(__xludf.DUMMYFUNCTION("""COMPUTED_VALUE"""),"Courtney Belger")</f>
        <v>Courtney Belger</v>
      </c>
      <c r="B25" s="13" t="str">
        <f>IFERROR(__xludf.DUMMYFUNCTION("""COMPUTED_VALUE"""),"SHA")</f>
        <v>SHA</v>
      </c>
      <c r="C25" s="14">
        <f>IFERROR(__xludf.DUMMYFUNCTION("""COMPUTED_VALUE"""),985.4)</f>
        <v>985.4</v>
      </c>
      <c r="D25" s="15">
        <f>IFERROR(__xludf.DUMMYFUNCTION("""COMPUTED_VALUE"""),2.952598011104507)</f>
        <v>2.952598011</v>
      </c>
      <c r="E25" s="15">
        <f>IFERROR(__xludf.DUMMYFUNCTION("""COMPUTED_VALUE"""),1.9804113019198648)</f>
        <v>1.980411302</v>
      </c>
      <c r="F25" s="15">
        <f>IFERROR(__xludf.DUMMYFUNCTION("""COMPUTED_VALUE"""),4.933009313024372)</f>
        <v>4.933009313</v>
      </c>
      <c r="G25" s="17">
        <f>IFERROR(__xludf.DUMMYFUNCTION("""COMPUTED_VALUE"""),2.0864785680507443)</f>
        <v>2.086478568</v>
      </c>
      <c r="H25" s="4"/>
      <c r="I25" s="5" t="s">
        <v>3243</v>
      </c>
      <c r="J25" s="5" t="s">
        <v>3203</v>
      </c>
      <c r="K25" s="24">
        <v>227.0</v>
      </c>
      <c r="L25" s="5">
        <v>-0.375312</v>
      </c>
      <c r="M25" s="5">
        <v>5.284305</v>
      </c>
      <c r="N25" s="5">
        <v>4.908992</v>
      </c>
      <c r="O25" s="5">
        <v>0.475587</v>
      </c>
    </row>
    <row r="26">
      <c r="A26" s="18" t="str">
        <f>IFERROR(__xludf.DUMMYFUNCTION("""COMPUTED_VALUE"""),"Kevin Thomas")</f>
        <v>Kevin Thomas</v>
      </c>
      <c r="B26" s="19" t="str">
        <f>IFERROR(__xludf.DUMMYFUNCTION("""COMPUTED_VALUE"""),"DRAG")</f>
        <v>DRAG</v>
      </c>
      <c r="C26" s="20">
        <f>IFERROR(__xludf.DUMMYFUNCTION("""COMPUTED_VALUE"""),227.0)</f>
        <v>227</v>
      </c>
      <c r="D26" s="21">
        <f>IFERROR(__xludf.DUMMYFUNCTION("""COMPUTED_VALUE"""),-0.4035632673668328)</f>
        <v>-0.4035632674</v>
      </c>
      <c r="E26" s="21">
        <f>IFERROR(__xludf.DUMMYFUNCTION("""COMPUTED_VALUE"""),5.312555568974877)</f>
        <v>5.312555569</v>
      </c>
      <c r="F26" s="21">
        <f>IFERROR(__xludf.DUMMYFUNCTION("""COMPUTED_VALUE"""),4.908992301608044)</f>
        <v>4.908992302</v>
      </c>
      <c r="G26" s="23">
        <f>IFERROR(__xludf.DUMMYFUNCTION("""COMPUTED_VALUE"""),0.47558663465731194)</f>
        <v>0.4755866347</v>
      </c>
      <c r="H26" s="4"/>
      <c r="I26" s="5" t="s">
        <v>1191</v>
      </c>
      <c r="J26" s="5" t="s">
        <v>3215</v>
      </c>
      <c r="K26" s="24">
        <v>552.0</v>
      </c>
      <c r="L26" s="5">
        <v>1.862639</v>
      </c>
      <c r="M26" s="5">
        <v>2.942286</v>
      </c>
      <c r="N26" s="5">
        <v>4.804925</v>
      </c>
      <c r="O26" s="5">
        <v>1.140593</v>
      </c>
    </row>
    <row r="27">
      <c r="A27" s="12" t="str">
        <f>IFERROR(__xludf.DUMMYFUNCTION("""COMPUTED_VALUE"""),"Tom-Niclas Alte")</f>
        <v>Tom-Niclas Alte</v>
      </c>
      <c r="B27" s="13" t="str">
        <f>IFERROR(__xludf.DUMMYFUNCTION("""COMPUTED_VALUE"""),"WOLF")</f>
        <v>WOLF</v>
      </c>
      <c r="C27" s="14">
        <f>IFERROR(__xludf.DUMMYFUNCTION("""COMPUTED_VALUE"""),552.0)</f>
        <v>552</v>
      </c>
      <c r="D27" s="15">
        <f>IFERROR(__xludf.DUMMYFUNCTION("""COMPUTED_VALUE"""),1.825303240289846)</f>
        <v>1.82530324</v>
      </c>
      <c r="E27" s="15">
        <f>IFERROR(__xludf.DUMMYFUNCTION("""COMPUTED_VALUE"""),2.979621681956613)</f>
        <v>2.979621682</v>
      </c>
      <c r="F27" s="15">
        <f>IFERROR(__xludf.DUMMYFUNCTION("""COMPUTED_VALUE"""),4.8049249222464585)</f>
        <v>4.804924922</v>
      </c>
      <c r="G27" s="17">
        <f>IFERROR(__xludf.DUMMYFUNCTION("""COMPUTED_VALUE"""),1.1405933326536284)</f>
        <v>1.140593333</v>
      </c>
      <c r="H27" s="4"/>
      <c r="I27" s="5" t="s">
        <v>3245</v>
      </c>
      <c r="J27" s="5" t="s">
        <v>3212</v>
      </c>
      <c r="K27" s="24">
        <v>821.0</v>
      </c>
      <c r="L27" s="5">
        <v>1.315072</v>
      </c>
      <c r="M27" s="5">
        <v>3.471349</v>
      </c>
      <c r="N27" s="5">
        <v>4.786421</v>
      </c>
      <c r="O27" s="5">
        <v>1.69292</v>
      </c>
    </row>
    <row r="28">
      <c r="A28" s="18" t="str">
        <f>IFERROR(__xludf.DUMMYFUNCTION("""COMPUTED_VALUE"""),"Brian Butler")</f>
        <v>Brian Butler</v>
      </c>
      <c r="B28" s="19" t="str">
        <f>IFERROR(__xludf.DUMMYFUNCTION("""COMPUTED_VALUE"""),"ELCH")</f>
        <v>ELCH</v>
      </c>
      <c r="C28" s="20">
        <f>IFERROR(__xludf.DUMMYFUNCTION("""COMPUTED_VALUE"""),821.3)</f>
        <v>821.3</v>
      </c>
      <c r="D28" s="21">
        <f>IFERROR(__xludf.DUMMYFUNCTION("""COMPUTED_VALUE"""),1.277735756812051)</f>
        <v>1.277735757</v>
      </c>
      <c r="E28" s="21">
        <f>IFERROR(__xludf.DUMMYFUNCTION("""COMPUTED_VALUE"""),3.508684953555905)</f>
        <v>3.508684954</v>
      </c>
      <c r="F28" s="21">
        <f>IFERROR(__xludf.DUMMYFUNCTION("""COMPUTED_VALUE"""),4.786420710367956)</f>
        <v>4.78642071</v>
      </c>
      <c r="G28" s="23">
        <f>IFERROR(__xludf.DUMMYFUNCTION("""COMPUTED_VALUE"""),1.6929200155740378)</f>
        <v>1.692920016</v>
      </c>
      <c r="H28" s="4"/>
      <c r="I28" s="5" t="s">
        <v>3246</v>
      </c>
      <c r="J28" s="5" t="s">
        <v>3226</v>
      </c>
      <c r="K28" s="24">
        <v>604.0</v>
      </c>
      <c r="L28" s="5">
        <v>2.566124</v>
      </c>
      <c r="M28" s="5">
        <v>2.108607</v>
      </c>
      <c r="N28" s="5">
        <v>4.67473</v>
      </c>
      <c r="O28" s="5">
        <v>1.230178</v>
      </c>
    </row>
    <row r="29">
      <c r="A29" s="12" t="str">
        <f>IFERROR(__xludf.DUMMYFUNCTION("""COMPUTED_VALUE"""),"Robert Kulawick")</f>
        <v>Robert Kulawick</v>
      </c>
      <c r="B29" s="13" t="str">
        <f>IFERROR(__xludf.DUMMYFUNCTION("""COMPUTED_VALUE"""),"SSV")</f>
        <v>SSV</v>
      </c>
      <c r="C29" s="14">
        <f>IFERROR(__xludf.DUMMYFUNCTION("""COMPUTED_VALUE"""),604.0)</f>
        <v>604</v>
      </c>
      <c r="D29" s="15">
        <f>IFERROR(__xludf.DUMMYFUNCTION("""COMPUTED_VALUE"""),2.5287874868647684)</f>
        <v>2.528787487</v>
      </c>
      <c r="E29" s="15">
        <f>IFERROR(__xludf.DUMMYFUNCTION("""COMPUTED_VALUE"""),2.145942984648439)</f>
        <v>2.145942985</v>
      </c>
      <c r="F29" s="15">
        <f>IFERROR(__xludf.DUMMYFUNCTION("""COMPUTED_VALUE"""),4.674730471513207)</f>
        <v>4.674730472</v>
      </c>
      <c r="G29" s="17">
        <f>IFERROR(__xludf.DUMMYFUNCTION("""COMPUTED_VALUE"""),1.2301779736026486)</f>
        <v>1.230177974</v>
      </c>
      <c r="H29" s="4"/>
      <c r="I29" s="5" t="s">
        <v>3248</v>
      </c>
      <c r="J29" s="5" t="s">
        <v>3220</v>
      </c>
      <c r="K29" s="24">
        <v>665.0</v>
      </c>
      <c r="L29" s="5">
        <v>3.025228</v>
      </c>
      <c r="M29" s="5">
        <v>1.648312</v>
      </c>
      <c r="N29" s="5">
        <v>4.67354</v>
      </c>
      <c r="O29" s="5">
        <v>1.363248</v>
      </c>
    </row>
    <row r="30">
      <c r="A30" s="18" t="str">
        <f>IFERROR(__xludf.DUMMYFUNCTION("""COMPUTED_VALUE"""),"Bill Borekambi")</f>
        <v>Bill Borekambi</v>
      </c>
      <c r="B30" s="19" t="str">
        <f>IFERROR(__xludf.DUMMYFUNCTION("""COMPUTED_VALUE"""),"ROST")</f>
        <v>ROST</v>
      </c>
      <c r="C30" s="20">
        <f>IFERROR(__xludf.DUMMYFUNCTION("""COMPUTED_VALUE"""),665.4)</f>
        <v>665.4</v>
      </c>
      <c r="D30" s="21">
        <f>IFERROR(__xludf.DUMMYFUNCTION("""COMPUTED_VALUE"""),2.9878923983870536)</f>
        <v>2.987892398</v>
      </c>
      <c r="E30" s="21">
        <f>IFERROR(__xludf.DUMMYFUNCTION("""COMPUTED_VALUE"""),1.6856477913900747)</f>
        <v>1.685647791</v>
      </c>
      <c r="F30" s="21">
        <f>IFERROR(__xludf.DUMMYFUNCTION("""COMPUTED_VALUE"""),4.673540189777128)</f>
        <v>4.67354019</v>
      </c>
      <c r="G30" s="23">
        <f>IFERROR(__xludf.DUMMYFUNCTION("""COMPUTED_VALUE"""),1.36324836152044)</f>
        <v>1.363248362</v>
      </c>
      <c r="H30" s="4"/>
      <c r="I30" s="5" t="s">
        <v>3250</v>
      </c>
      <c r="J30" s="5" t="s">
        <v>3251</v>
      </c>
      <c r="K30" s="5">
        <v>902.0</v>
      </c>
      <c r="L30" s="5">
        <v>3.685912</v>
      </c>
      <c r="M30" s="5">
        <v>0.967933</v>
      </c>
      <c r="N30" s="5">
        <v>4.653846</v>
      </c>
      <c r="O30" s="5">
        <v>1.822317</v>
      </c>
    </row>
    <row r="31">
      <c r="A31" s="12" t="str">
        <f>IFERROR(__xludf.DUMMYFUNCTION("""COMPUTED_VALUE"""),"Jordan Burris")</f>
        <v>Jordan Burris</v>
      </c>
      <c r="B31" s="13" t="str">
        <f>IFERROR(__xludf.DUMMYFUNCTION("""COMPUTED_VALUE"""),"COBU")</f>
        <v>COBU</v>
      </c>
      <c r="C31" s="14">
        <f>IFERROR(__xludf.DUMMYFUNCTION("""COMPUTED_VALUE"""),901.5)</f>
        <v>901.5</v>
      </c>
      <c r="D31" s="15">
        <f>IFERROR(__xludf.DUMMYFUNCTION("""COMPUTED_VALUE"""),3.6485763449522963)</f>
        <v>3.648576345</v>
      </c>
      <c r="E31" s="15">
        <f>IFERROR(__xludf.DUMMYFUNCTION("""COMPUTED_VALUE"""),1.0052692278752726)</f>
        <v>1.005269228</v>
      </c>
      <c r="F31" s="15">
        <f>IFERROR(__xludf.DUMMYFUNCTION("""COMPUTED_VALUE"""),4.653845572827569)</f>
        <v>4.653845573</v>
      </c>
      <c r="G31" s="17">
        <f>IFERROR(__xludf.DUMMYFUNCTION("""COMPUTED_VALUE"""),1.8223174914286895)</f>
        <v>1.822317491</v>
      </c>
      <c r="H31" s="4"/>
      <c r="I31" s="5" t="s">
        <v>3252</v>
      </c>
      <c r="J31" s="5" t="s">
        <v>2201</v>
      </c>
      <c r="K31" s="24">
        <v>816.0</v>
      </c>
      <c r="L31" s="5">
        <v>3.311386</v>
      </c>
      <c r="M31" s="5">
        <v>1.05207</v>
      </c>
      <c r="N31" s="5">
        <v>4.363456</v>
      </c>
      <c r="O31" s="5">
        <v>1.584881</v>
      </c>
    </row>
    <row r="32">
      <c r="A32" s="18" t="str">
        <f>IFERROR(__xludf.DUMMYFUNCTION("""COMPUTED_VALUE"""),"Shawn Gulley")</f>
        <v>Shawn Gulley</v>
      </c>
      <c r="B32" s="19" t="str">
        <f>IFERROR(__xludf.DUMMYFUNCTION("""COMPUTED_VALUE"""),"SHA")</f>
        <v>SHA</v>
      </c>
      <c r="C32" s="20">
        <f>IFERROR(__xludf.DUMMYFUNCTION("""COMPUTED_VALUE"""),815.5)</f>
        <v>815.5</v>
      </c>
      <c r="D32" s="21">
        <f>IFERROR(__xludf.DUMMYFUNCTION("""COMPUTED_VALUE"""),3.2740497005679696)</f>
        <v>3.274049701</v>
      </c>
      <c r="E32" s="21">
        <f>IFERROR(__xludf.DUMMYFUNCTION("""COMPUTED_VALUE"""),1.0894058644220506)</f>
        <v>1.089405864</v>
      </c>
      <c r="F32" s="21">
        <f>IFERROR(__xludf.DUMMYFUNCTION("""COMPUTED_VALUE"""),4.36345556499002)</f>
        <v>4.363455565</v>
      </c>
      <c r="G32" s="23">
        <f>IFERROR(__xludf.DUMMYFUNCTION("""COMPUTED_VALUE"""),1.5848806671144702)</f>
        <v>1.584880667</v>
      </c>
      <c r="H32" s="4"/>
      <c r="I32" s="5" t="s">
        <v>3254</v>
      </c>
      <c r="J32" s="5" t="s">
        <v>3212</v>
      </c>
      <c r="K32" s="24">
        <v>580.0</v>
      </c>
      <c r="L32" s="5">
        <v>3.750552</v>
      </c>
      <c r="M32" s="5">
        <v>0.237034</v>
      </c>
      <c r="N32" s="5">
        <v>3.987586</v>
      </c>
      <c r="O32" s="5">
        <v>1.054445</v>
      </c>
    </row>
    <row r="33">
      <c r="A33" s="12" t="str">
        <f>IFERROR(__xludf.DUMMYFUNCTION("""COMPUTED_VALUE"""),"Filmore Beck")</f>
        <v>Filmore Beck</v>
      </c>
      <c r="B33" s="13" t="str">
        <f>IFERROR(__xludf.DUMMYFUNCTION("""COMPUTED_VALUE"""),"ELCH")</f>
        <v>ELCH</v>
      </c>
      <c r="C33" s="14">
        <f>IFERROR(__xludf.DUMMYFUNCTION("""COMPUTED_VALUE"""),579.8)</f>
        <v>579.8</v>
      </c>
      <c r="D33" s="15">
        <f>IFERROR(__xludf.DUMMYFUNCTION("""COMPUTED_VALUE"""),3.7132163183697546)</f>
        <v>3.713216318</v>
      </c>
      <c r="E33" s="15">
        <f>IFERROR(__xludf.DUMMYFUNCTION("""COMPUTED_VALUE"""),0.2743699090356957)</f>
        <v>0.274369909</v>
      </c>
      <c r="F33" s="15">
        <f>IFERROR(__xludf.DUMMYFUNCTION("""COMPUTED_VALUE"""),3.9875862274054503)</f>
        <v>3.987586227</v>
      </c>
      <c r="G33" s="17">
        <f>IFERROR(__xludf.DUMMYFUNCTION("""COMPUTED_VALUE"""),1.0544447511940531)</f>
        <v>1.054444751</v>
      </c>
      <c r="H33" s="4"/>
      <c r="I33" s="5" t="s">
        <v>900</v>
      </c>
      <c r="J33" s="5" t="s">
        <v>3256</v>
      </c>
      <c r="K33" s="24">
        <v>516.0</v>
      </c>
      <c r="L33" s="5">
        <v>3.742439</v>
      </c>
      <c r="M33" s="5">
        <v>0.238245</v>
      </c>
      <c r="N33" s="5">
        <v>3.980684</v>
      </c>
      <c r="O33" s="5">
        <v>0.936448</v>
      </c>
    </row>
    <row r="34">
      <c r="A34" s="18" t="str">
        <f>IFERROR(__xludf.DUMMYFUNCTION("""COMPUTED_VALUE"""),"Robert Drijencic")</f>
        <v>Robert Drijencic</v>
      </c>
      <c r="B34" s="19" t="str">
        <f>IFERROR(__xludf.DUMMYFUNCTION("""COMPUTED_VALUE"""),"OTB")</f>
        <v>OTB</v>
      </c>
      <c r="C34" s="20">
        <f>IFERROR(__xludf.DUMMYFUNCTION("""COMPUTED_VALUE"""),515.9)</f>
        <v>515.9</v>
      </c>
      <c r="D34" s="21">
        <f>IFERROR(__xludf.DUMMYFUNCTION("""COMPUTED_VALUE"""),3.70510329243049)</f>
        <v>3.705103292</v>
      </c>
      <c r="E34" s="21">
        <f>IFERROR(__xludf.DUMMYFUNCTION("""COMPUTED_VALUE"""),0.27558073720083787)</f>
        <v>0.2755807372</v>
      </c>
      <c r="F34" s="21">
        <f>IFERROR(__xludf.DUMMYFUNCTION("""COMPUTED_VALUE"""),3.9806840296313277)</f>
        <v>3.98068403</v>
      </c>
      <c r="G34" s="23">
        <f>IFERROR(__xludf.DUMMYFUNCTION("""COMPUTED_VALUE"""),0.936447844542271)</f>
        <v>0.9364478445</v>
      </c>
      <c r="H34" s="4"/>
      <c r="I34" s="5" t="s">
        <v>3258</v>
      </c>
      <c r="J34" s="5" t="s">
        <v>3233</v>
      </c>
      <c r="K34" s="24">
        <v>759.0</v>
      </c>
      <c r="L34" s="5">
        <v>4.817133</v>
      </c>
      <c r="M34" s="5">
        <v>-0.983738</v>
      </c>
      <c r="N34" s="5">
        <v>3.833395</v>
      </c>
      <c r="O34" s="5">
        <v>1.307637</v>
      </c>
    </row>
    <row r="35">
      <c r="A35" s="12" t="str">
        <f>IFERROR(__xludf.DUMMYFUNCTION("""COMPUTED_VALUE"""),"Davon Roberts")</f>
        <v>Davon Roberts</v>
      </c>
      <c r="B35" s="13" t="str">
        <f>IFERROR(__xludf.DUMMYFUNCTION("""COMPUTED_VALUE"""),"AST")</f>
        <v>AST</v>
      </c>
      <c r="C35" s="14">
        <f>IFERROR(__xludf.DUMMYFUNCTION("""COMPUTED_VALUE"""),624.7)</f>
        <v>624.7</v>
      </c>
      <c r="D35" s="15">
        <f>IFERROR(__xludf.DUMMYFUNCTION("""COMPUTED_VALUE"""),0.9243757111929662)</f>
        <v>0.9243757112</v>
      </c>
      <c r="E35" s="15">
        <f>IFERROR(__xludf.DUMMYFUNCTION("""COMPUTED_VALUE"""),2.885117347337782)</f>
        <v>2.885117347</v>
      </c>
      <c r="F35" s="15">
        <f>IFERROR(__xludf.DUMMYFUNCTION("""COMPUTED_VALUE"""),3.809493058530748)</f>
        <v>3.809493059</v>
      </c>
      <c r="G35" s="17">
        <f>IFERROR(__xludf.DUMMYFUNCTION("""COMPUTED_VALUE"""),1.0872396182320865)</f>
        <v>1.087239618</v>
      </c>
      <c r="H35" s="4"/>
      <c r="I35" s="5" t="s">
        <v>3261</v>
      </c>
      <c r="J35" s="5" t="s">
        <v>2838</v>
      </c>
      <c r="K35" s="24">
        <v>625.0</v>
      </c>
      <c r="L35" s="5">
        <v>0.961712</v>
      </c>
      <c r="M35" s="5">
        <v>2.847781</v>
      </c>
      <c r="N35" s="5">
        <v>3.809493</v>
      </c>
      <c r="O35" s="5">
        <v>1.08724</v>
      </c>
    </row>
    <row r="36">
      <c r="A36" s="18" t="str">
        <f>IFERROR(__xludf.DUMMYFUNCTION("""COMPUTED_VALUE"""),"Isaac Bonga")</f>
        <v>Isaac Bonga</v>
      </c>
      <c r="B36" s="19" t="str">
        <f>IFERROR(__xludf.DUMMYFUNCTION("""COMPUTED_VALUE"""),"JR")</f>
        <v>JR</v>
      </c>
      <c r="C36" s="20">
        <f>IFERROR(__xludf.DUMMYFUNCTION("""COMPUTED_VALUE"""),185.2)</f>
        <v>185.2</v>
      </c>
      <c r="D36" s="21">
        <f>IFERROR(__xludf.DUMMYFUNCTION("""COMPUTED_VALUE"""),1.200816363306896)</f>
        <v>1.200816363</v>
      </c>
      <c r="E36" s="21">
        <f>IFERROR(__xludf.DUMMYFUNCTION("""COMPUTED_VALUE"""),2.444631843404953)</f>
        <v>2.444631843</v>
      </c>
      <c r="F36" s="21">
        <f>IFERROR(__xludf.DUMMYFUNCTION("""COMPUTED_VALUE"""),3.645448206711849)</f>
        <v>3.645448207</v>
      </c>
      <c r="G36" s="23">
        <f>IFERROR(__xludf.DUMMYFUNCTION("""COMPUTED_VALUE"""),0.3142424760850659)</f>
        <v>0.3142424761</v>
      </c>
      <c r="H36" s="4"/>
      <c r="I36" s="5" t="s">
        <v>1059</v>
      </c>
      <c r="J36" s="5" t="s">
        <v>3263</v>
      </c>
      <c r="K36" s="24">
        <v>185.0</v>
      </c>
      <c r="L36" s="5">
        <v>1.223865</v>
      </c>
      <c r="M36" s="5">
        <v>2.421583</v>
      </c>
      <c r="N36" s="5">
        <v>3.645448</v>
      </c>
      <c r="O36" s="5">
        <v>0.314242</v>
      </c>
    </row>
    <row r="37">
      <c r="A37" s="12" t="str">
        <f>IFERROR(__xludf.DUMMYFUNCTION("""COMPUTED_VALUE"""),"Byron Sanford")</f>
        <v>Byron Sanford</v>
      </c>
      <c r="B37" s="13" t="str">
        <f>IFERROR(__xludf.DUMMYFUNCTION("""COMPUTED_VALUE"""),"COBU")</f>
        <v>COBU</v>
      </c>
      <c r="C37" s="14">
        <f>IFERROR(__xludf.DUMMYFUNCTION("""COMPUTED_VALUE"""),667.1)</f>
        <v>667.1</v>
      </c>
      <c r="D37" s="15">
        <f>IFERROR(__xludf.DUMMYFUNCTION("""COMPUTED_VALUE"""),3.547300134287422)</f>
        <v>3.547300134</v>
      </c>
      <c r="E37" s="15">
        <f>IFERROR(__xludf.DUMMYFUNCTION("""COMPUTED_VALUE"""),-0.06113477331103523)</f>
        <v>-0.06113477331</v>
      </c>
      <c r="F37" s="15">
        <f>IFERROR(__xludf.DUMMYFUNCTION("""COMPUTED_VALUE"""),3.4861653609763867)</f>
        <v>3.486165361</v>
      </c>
      <c r="G37" s="17">
        <f>IFERROR(__xludf.DUMMYFUNCTION("""COMPUTED_VALUE"""),1.1118480272477478)</f>
        <v>1.111848027</v>
      </c>
      <c r="H37" s="4"/>
      <c r="I37" s="5" t="s">
        <v>3264</v>
      </c>
      <c r="J37" s="5" t="s">
        <v>3251</v>
      </c>
      <c r="K37" s="24">
        <v>667.0</v>
      </c>
      <c r="L37" s="5">
        <v>3.584636</v>
      </c>
      <c r="M37" s="5">
        <v>-0.098471</v>
      </c>
      <c r="N37" s="5">
        <v>3.486165</v>
      </c>
      <c r="O37" s="5">
        <v>1.111848</v>
      </c>
    </row>
    <row r="38">
      <c r="A38" s="18" t="str">
        <f>IFERROR(__xludf.DUMMYFUNCTION("""COMPUTED_VALUE"""),"Leon Bahner")</f>
        <v>Leon Bahner</v>
      </c>
      <c r="B38" s="19" t="str">
        <f>IFERROR(__xludf.DUMMYFUNCTION("""COMPUTED_VALUE"""),"ART")</f>
        <v>ART</v>
      </c>
      <c r="C38" s="20">
        <f>IFERROR(__xludf.DUMMYFUNCTION("""COMPUTED_VALUE"""),616.3)</f>
        <v>616.3</v>
      </c>
      <c r="D38" s="21">
        <f>IFERROR(__xludf.DUMMYFUNCTION("""COMPUTED_VALUE"""),1.3534003695959256)</f>
        <v>1.35340037</v>
      </c>
      <c r="E38" s="21">
        <f>IFERROR(__xludf.DUMMYFUNCTION("""COMPUTED_VALUE"""),2.07162252560256)</f>
        <v>2.071622526</v>
      </c>
      <c r="F38" s="21">
        <f>IFERROR(__xludf.DUMMYFUNCTION("""COMPUTED_VALUE"""),3.425022895198486)</f>
        <v>3.425022895</v>
      </c>
      <c r="G38" s="23">
        <f>IFERROR(__xludf.DUMMYFUNCTION("""COMPUTED_VALUE"""),0.9881068005027211)</f>
        <v>0.9881068005</v>
      </c>
      <c r="H38" s="4"/>
      <c r="I38" s="5" t="s">
        <v>3266</v>
      </c>
      <c r="J38" s="5" t="s">
        <v>2838</v>
      </c>
      <c r="K38" s="5">
        <v>384.0</v>
      </c>
      <c r="L38" s="5">
        <v>3.735435</v>
      </c>
      <c r="M38" s="5">
        <v>-0.358083</v>
      </c>
      <c r="N38" s="5">
        <v>3.377352</v>
      </c>
      <c r="O38" s="5">
        <v>0.618769</v>
      </c>
    </row>
    <row r="39">
      <c r="A39" s="12" t="str">
        <f>IFERROR(__xludf.DUMMYFUNCTION("""COMPUTED_VALUE"""),"Ryon Howard")</f>
        <v>Ryon Howard</v>
      </c>
      <c r="B39" s="13" t="str">
        <f>IFERROR(__xludf.DUMMYFUNCTION("""COMPUTED_VALUE"""),"AST")</f>
        <v>AST</v>
      </c>
      <c r="C39" s="14">
        <f>IFERROR(__xludf.DUMMYFUNCTION("""COMPUTED_VALUE"""),384.1)</f>
        <v>384.1</v>
      </c>
      <c r="D39" s="15">
        <f>IFERROR(__xludf.DUMMYFUNCTION("""COMPUTED_VALUE"""),3.6980990435771233)</f>
        <v>3.698099044</v>
      </c>
      <c r="E39" s="15">
        <f>IFERROR(__xludf.DUMMYFUNCTION("""COMPUTED_VALUE"""),-0.32074711724292904)</f>
        <v>-0.3207471172</v>
      </c>
      <c r="F39" s="15">
        <f>IFERROR(__xludf.DUMMYFUNCTION("""COMPUTED_VALUE"""),3.3773519263341942)</f>
        <v>3.377351926</v>
      </c>
      <c r="G39" s="17">
        <f>IFERROR(__xludf.DUMMYFUNCTION("""COMPUTED_VALUE"""),0.6187686382435408)</f>
        <v>0.6187686382</v>
      </c>
      <c r="H39" s="4"/>
      <c r="I39" s="5" t="s">
        <v>3268</v>
      </c>
      <c r="J39" s="5" t="s">
        <v>3223</v>
      </c>
      <c r="K39" s="24">
        <v>551.0</v>
      </c>
      <c r="L39" s="5">
        <v>2.461333</v>
      </c>
      <c r="M39" s="5">
        <v>0.890418</v>
      </c>
      <c r="N39" s="5">
        <v>3.351751</v>
      </c>
      <c r="O39" s="5">
        <v>0.896847</v>
      </c>
    </row>
    <row r="40">
      <c r="A40" s="18" t="str">
        <f>IFERROR(__xludf.DUMMYFUNCTION("""COMPUTED_VALUE"""),"Garrett Jackson")</f>
        <v>Garrett Jackson</v>
      </c>
      <c r="B40" s="19" t="str">
        <f>IFERROR(__xludf.DUMMYFUNCTION("""COMPUTED_VALUE"""),"AKAD")</f>
        <v>AKAD</v>
      </c>
      <c r="C40" s="20">
        <f>IFERROR(__xludf.DUMMYFUNCTION("""COMPUTED_VALUE"""),551.4)</f>
        <v>551.4</v>
      </c>
      <c r="D40" s="21">
        <f>IFERROR(__xludf.DUMMYFUNCTION("""COMPUTED_VALUE"""),2.4239973247053355)</f>
        <v>2.423997325</v>
      </c>
      <c r="E40" s="21">
        <f>IFERROR(__xludf.DUMMYFUNCTION("""COMPUTED_VALUE"""),0.9277537150636745)</f>
        <v>0.9277537151</v>
      </c>
      <c r="F40" s="21">
        <f>IFERROR(__xludf.DUMMYFUNCTION("""COMPUTED_VALUE"""),3.35175103976901)</f>
        <v>3.35175104</v>
      </c>
      <c r="G40" s="23">
        <f>IFERROR(__xludf.DUMMYFUNCTION("""COMPUTED_VALUE"""),0.8968468852281974)</f>
        <v>0.8968468852</v>
      </c>
      <c r="H40" s="4"/>
      <c r="I40" s="5" t="s">
        <v>1046</v>
      </c>
      <c r="J40" s="5" t="s">
        <v>3217</v>
      </c>
      <c r="K40" s="24">
        <v>633.0</v>
      </c>
      <c r="L40" s="5">
        <v>-0.064647</v>
      </c>
      <c r="M40" s="5">
        <v>3.374524</v>
      </c>
      <c r="N40" s="5">
        <v>3.309876</v>
      </c>
      <c r="O40" s="5">
        <v>1.011111</v>
      </c>
    </row>
    <row r="41">
      <c r="A41" s="12" t="str">
        <f>IFERROR(__xludf.DUMMYFUNCTION("""COMPUTED_VALUE"""),"Alen Pjanic")</f>
        <v>Alen Pjanic</v>
      </c>
      <c r="B41" s="13" t="str">
        <f>IFERROR(__xludf.DUMMYFUNCTION("""COMPUTED_VALUE"""),"GIES")</f>
        <v>GIES</v>
      </c>
      <c r="C41" s="14">
        <f>IFERROR(__xludf.DUMMYFUNCTION("""COMPUTED_VALUE"""),632.7)</f>
        <v>632.7</v>
      </c>
      <c r="D41" s="15">
        <f>IFERROR(__xludf.DUMMYFUNCTION("""COMPUTED_VALUE"""),-0.10198334130430664)</f>
        <v>-0.1019833413</v>
      </c>
      <c r="E41" s="15">
        <f>IFERROR(__xludf.DUMMYFUNCTION("""COMPUTED_VALUE"""),3.4118597123492127)</f>
        <v>3.411859712</v>
      </c>
      <c r="F41" s="15">
        <f>IFERROR(__xludf.DUMMYFUNCTION("""COMPUTED_VALUE"""),3.309876371044906)</f>
        <v>3.309876371</v>
      </c>
      <c r="G41" s="17">
        <f>IFERROR(__xludf.DUMMYFUNCTION("""COMPUTED_VALUE"""),1.0111112789709729)</f>
        <v>1.011111279</v>
      </c>
      <c r="H41" s="4"/>
      <c r="I41" s="5" t="s">
        <v>1153</v>
      </c>
      <c r="J41" s="5" t="s">
        <v>3215</v>
      </c>
      <c r="K41" s="24">
        <v>209.0</v>
      </c>
      <c r="L41" s="5">
        <v>3.973163</v>
      </c>
      <c r="M41" s="5">
        <v>-0.769295</v>
      </c>
      <c r="N41" s="5">
        <v>3.203868</v>
      </c>
      <c r="O41" s="5">
        <v>0.329617</v>
      </c>
    </row>
    <row r="42">
      <c r="A42" s="18" t="str">
        <f>IFERROR(__xludf.DUMMYFUNCTION("""COMPUTED_VALUE"""),"Luis Figge")</f>
        <v>Luis Figge</v>
      </c>
      <c r="B42" s="19" t="str">
        <f>IFERROR(__xludf.DUMMYFUNCTION("""COMPUTED_VALUE"""),"WOLF")</f>
        <v>WOLF</v>
      </c>
      <c r="C42" s="20">
        <f>IFERROR(__xludf.DUMMYFUNCTION("""COMPUTED_VALUE"""),208.6)</f>
        <v>208.6</v>
      </c>
      <c r="D42" s="21">
        <f>IFERROR(__xludf.DUMMYFUNCTION("""COMPUTED_VALUE"""),3.9472016456549204)</f>
        <v>3.947201646</v>
      </c>
      <c r="E42" s="21">
        <f>IFERROR(__xludf.DUMMYFUNCTION("""COMPUTED_VALUE"""),-0.7433339431535786)</f>
        <v>-0.7433339432</v>
      </c>
      <c r="F42" s="21">
        <f>IFERROR(__xludf.DUMMYFUNCTION("""COMPUTED_VALUE"""),3.203867702501342)</f>
        <v>3.203867703</v>
      </c>
      <c r="G42" s="23">
        <f>IFERROR(__xludf.DUMMYFUNCTION("""COMPUTED_VALUE"""),0.3296165154284864)</f>
        <v>0.3296165154</v>
      </c>
      <c r="H42" s="4"/>
      <c r="I42" s="5" t="s">
        <v>3271</v>
      </c>
      <c r="J42" s="5" t="s">
        <v>3203</v>
      </c>
      <c r="K42" s="24">
        <v>169.0</v>
      </c>
      <c r="L42" s="5">
        <v>-0.022316</v>
      </c>
      <c r="M42" s="5">
        <v>3.219429</v>
      </c>
      <c r="N42" s="5">
        <v>3.197113</v>
      </c>
      <c r="O42" s="5">
        <v>0.266026</v>
      </c>
    </row>
    <row r="43">
      <c r="A43" s="12" t="str">
        <f>IFERROR(__xludf.DUMMYFUNCTION("""COMPUTED_VALUE"""),"Brandon Watkins")</f>
        <v>Brandon Watkins</v>
      </c>
      <c r="B43" s="13" t="str">
        <f>IFERROR(__xludf.DUMMYFUNCTION("""COMPUTED_VALUE"""),"DRAG")</f>
        <v>DRAG</v>
      </c>
      <c r="C43" s="14">
        <f>IFERROR(__xludf.DUMMYFUNCTION("""COMPUTED_VALUE"""),168.8)</f>
        <v>168.8</v>
      </c>
      <c r="D43" s="15">
        <f>IFERROR(__xludf.DUMMYFUNCTION("""COMPUTED_VALUE"""),-0.04332407061948852)</f>
        <v>-0.04332407062</v>
      </c>
      <c r="E43" s="15">
        <f>IFERROR(__xludf.DUMMYFUNCTION("""COMPUTED_VALUE"""),3.240436916943783)</f>
        <v>3.240436917</v>
      </c>
      <c r="F43" s="15">
        <f>IFERROR(__xludf.DUMMYFUNCTION("""COMPUTED_VALUE"""),3.1971128463242944)</f>
        <v>3.197112846</v>
      </c>
      <c r="G43" s="17">
        <f>IFERROR(__xludf.DUMMYFUNCTION("""COMPUTED_VALUE"""),0.2660257427406311)</f>
        <v>0.2660257427</v>
      </c>
      <c r="H43" s="4"/>
      <c r="I43" s="5" t="s">
        <v>3272</v>
      </c>
      <c r="J43" s="5" t="s">
        <v>3205</v>
      </c>
      <c r="K43" s="24">
        <v>651.0</v>
      </c>
      <c r="L43" s="5">
        <v>5.35383</v>
      </c>
      <c r="M43" s="5">
        <v>-2.184378</v>
      </c>
      <c r="N43" s="5">
        <v>3.169452</v>
      </c>
      <c r="O43" s="5">
        <v>1.020423</v>
      </c>
    </row>
    <row r="44">
      <c r="A44" s="18" t="str">
        <f>IFERROR(__xludf.DUMMYFUNCTION("""COMPUTED_VALUE"""),"Andrius Mikutis")</f>
        <v>Andrius Mikutis</v>
      </c>
      <c r="B44" s="19" t="str">
        <f>IFERROR(__xludf.DUMMYFUNCTION("""COMPUTED_VALUE"""),"SCHW")</f>
        <v>SCHW</v>
      </c>
      <c r="C44" s="20">
        <f>IFERROR(__xludf.DUMMYFUNCTION("""COMPUTED_VALUE"""),650.8)</f>
        <v>650.8</v>
      </c>
      <c r="D44" s="21">
        <f>IFERROR(__xludf.DUMMYFUNCTION("""COMPUTED_VALUE"""),5.3164942056853075)</f>
        <v>5.316494206</v>
      </c>
      <c r="E44" s="21">
        <f>IFERROR(__xludf.DUMMYFUNCTION("""COMPUTED_VALUE"""),-2.1470424527984604)</f>
        <v>-2.147042453</v>
      </c>
      <c r="F44" s="21">
        <f>IFERROR(__xludf.DUMMYFUNCTION("""COMPUTED_VALUE"""),3.169451752886847)</f>
        <v>3.169451753</v>
      </c>
      <c r="G44" s="23">
        <f>IFERROR(__xludf.DUMMYFUNCTION("""COMPUTED_VALUE"""),1.0204226943653196)</f>
        <v>1.020422694</v>
      </c>
      <c r="H44" s="4"/>
      <c r="I44" s="5" t="s">
        <v>3273</v>
      </c>
      <c r="J44" s="5" t="s">
        <v>3263</v>
      </c>
      <c r="K44" s="24">
        <v>655.0</v>
      </c>
      <c r="L44" s="5">
        <v>2.297783</v>
      </c>
      <c r="M44" s="5">
        <v>0.857242</v>
      </c>
      <c r="N44" s="5">
        <v>3.155025</v>
      </c>
      <c r="O44" s="5">
        <v>1.014685</v>
      </c>
    </row>
    <row r="45">
      <c r="A45" s="12" t="str">
        <f>IFERROR(__xludf.DUMMYFUNCTION("""COMPUTED_VALUE"""),"Jules Dang Akodo")</f>
        <v>Jules Dang Akodo</v>
      </c>
      <c r="B45" s="13" t="str">
        <f>IFERROR(__xludf.DUMMYFUNCTION("""COMPUTED_VALUE"""),"JR")</f>
        <v>JR</v>
      </c>
      <c r="C45" s="14">
        <f>IFERROR(__xludf.DUMMYFUNCTION("""COMPUTED_VALUE"""),654.9)</f>
        <v>654.9</v>
      </c>
      <c r="D45" s="15">
        <f>IFERROR(__xludf.DUMMYFUNCTION("""COMPUTED_VALUE"""),2.260447219460632)</f>
        <v>2.260447219</v>
      </c>
      <c r="E45" s="15">
        <f>IFERROR(__xludf.DUMMYFUNCTION("""COMPUTED_VALUE"""),0.8945781224817684)</f>
        <v>0.8945781225</v>
      </c>
      <c r="F45" s="15">
        <f>IFERROR(__xludf.DUMMYFUNCTION("""COMPUTED_VALUE"""),3.1550253419424004)</f>
        <v>3.155025342</v>
      </c>
      <c r="G45" s="17">
        <f>IFERROR(__xludf.DUMMYFUNCTION("""COMPUTED_VALUE"""),1.0146850774996041)</f>
        <v>1.014685077</v>
      </c>
      <c r="H45" s="4"/>
      <c r="I45" s="5" t="s">
        <v>3274</v>
      </c>
      <c r="J45" s="5" t="s">
        <v>3207</v>
      </c>
      <c r="K45" s="24">
        <v>715.0</v>
      </c>
      <c r="L45" s="5">
        <v>6.187436</v>
      </c>
      <c r="M45" s="5">
        <v>-3.077226</v>
      </c>
      <c r="N45" s="5">
        <v>3.11021</v>
      </c>
      <c r="O45" s="5">
        <v>1.089659</v>
      </c>
    </row>
    <row r="46">
      <c r="A46" s="18" t="str">
        <f>IFERROR(__xludf.DUMMYFUNCTION("""COMPUTED_VALUE"""),"Josh Wilcher")</f>
        <v>Josh Wilcher</v>
      </c>
      <c r="B46" s="19" t="str">
        <f>IFERROR(__xludf.DUMMYFUNCTION("""COMPUTED_VALUE"""),"ITZ")</f>
        <v>ITZ</v>
      </c>
      <c r="C46" s="20">
        <f>IFERROR(__xludf.DUMMYFUNCTION("""COMPUTED_VALUE"""),715.1)</f>
        <v>715.1</v>
      </c>
      <c r="D46" s="21">
        <f>IFERROR(__xludf.DUMMYFUNCTION("""COMPUTED_VALUE"""),6.150100255581151)</f>
        <v>6.150100256</v>
      </c>
      <c r="E46" s="21">
        <f>IFERROR(__xludf.DUMMYFUNCTION("""COMPUTED_VALUE"""),-3.0398901036040002)</f>
        <v>-3.039890104</v>
      </c>
      <c r="F46" s="21">
        <f>IFERROR(__xludf.DUMMYFUNCTION("""COMPUTED_VALUE"""),3.110210151977151)</f>
        <v>3.110210152</v>
      </c>
      <c r="G46" s="23">
        <f>IFERROR(__xludf.DUMMYFUNCTION("""COMPUTED_VALUE"""),1.0896587243457978)</f>
        <v>1.089658724</v>
      </c>
      <c r="H46" s="4"/>
      <c r="I46" s="5" t="s">
        <v>3275</v>
      </c>
      <c r="J46" s="5" t="s">
        <v>3215</v>
      </c>
      <c r="K46" s="24">
        <v>272.0</v>
      </c>
      <c r="L46" s="5">
        <v>2.065216</v>
      </c>
      <c r="M46" s="5">
        <v>0.964367</v>
      </c>
      <c r="N46" s="5">
        <v>3.029583</v>
      </c>
      <c r="O46" s="5">
        <v>0.415097</v>
      </c>
    </row>
    <row r="47">
      <c r="A47" s="12" t="str">
        <f>IFERROR(__xludf.DUMMYFUNCTION("""COMPUTED_VALUE"""),"Ole Angerstein")</f>
        <v>Ole Angerstein</v>
      </c>
      <c r="B47" s="13" t="str">
        <f>IFERROR(__xludf.DUMMYFUNCTION("""COMPUTED_VALUE"""),"WOLF")</f>
        <v>WOLF</v>
      </c>
      <c r="C47" s="14">
        <f>IFERROR(__xludf.DUMMYFUNCTION("""COMPUTED_VALUE"""),271.8)</f>
        <v>271.8</v>
      </c>
      <c r="D47" s="15">
        <f>IFERROR(__xludf.DUMMYFUNCTION("""COMPUTED_VALUE"""),2.0313899353175304)</f>
        <v>2.031389935</v>
      </c>
      <c r="E47" s="15">
        <f>IFERROR(__xludf.DUMMYFUNCTION("""COMPUTED_VALUE"""),0.9981935496959631)</f>
        <v>0.9981935497</v>
      </c>
      <c r="F47" s="15">
        <f>IFERROR(__xludf.DUMMYFUNCTION("""COMPUTED_VALUE"""),3.0295834850134935)</f>
        <v>3.029583485</v>
      </c>
      <c r="G47" s="17">
        <f>IFERROR(__xludf.DUMMYFUNCTION("""COMPUTED_VALUE"""),0.4150972789567515)</f>
        <v>0.415097279</v>
      </c>
      <c r="H47" s="4"/>
      <c r="I47" s="5" t="s">
        <v>909</v>
      </c>
      <c r="J47" s="5" t="s">
        <v>3263</v>
      </c>
      <c r="K47" s="24">
        <v>526.0</v>
      </c>
      <c r="L47" s="5">
        <v>3.516881</v>
      </c>
      <c r="M47" s="5">
        <v>-0.684136</v>
      </c>
      <c r="N47" s="5">
        <v>2.832746</v>
      </c>
      <c r="O47" s="5">
        <v>0.763585</v>
      </c>
    </row>
    <row r="48">
      <c r="A48" s="18" t="str">
        <f>IFERROR(__xludf.DUMMYFUNCTION("""COMPUTED_VALUE"""),"Alex Fountain")</f>
        <v>Alex Fountain</v>
      </c>
      <c r="B48" s="19" t="str">
        <f>IFERROR(__xludf.DUMMYFUNCTION("""COMPUTED_VALUE"""),"JR")</f>
        <v>JR</v>
      </c>
      <c r="C48" s="20">
        <f>IFERROR(__xludf.DUMMYFUNCTION("""COMPUTED_VALUE"""),525.7)</f>
        <v>525.7</v>
      </c>
      <c r="D48" s="21">
        <f>IFERROR(__xludf.DUMMYFUNCTION("""COMPUTED_VALUE"""),3.4795451179796233)</f>
        <v>3.479545118</v>
      </c>
      <c r="E48" s="21">
        <f>IFERROR(__xludf.DUMMYFUNCTION("""COMPUTED_VALUE"""),-0.6467995806727704)</f>
        <v>-0.6467995807</v>
      </c>
      <c r="F48" s="21">
        <f>IFERROR(__xludf.DUMMYFUNCTION("""COMPUTED_VALUE"""),2.832745537306853)</f>
        <v>2.832745537</v>
      </c>
      <c r="G48" s="23">
        <f>IFERROR(__xludf.DUMMYFUNCTION("""COMPUTED_VALUE"""),0.763584992010683)</f>
        <v>0.763584992</v>
      </c>
      <c r="H48" s="4"/>
      <c r="I48" s="5" t="s">
        <v>3276</v>
      </c>
      <c r="J48" s="5" t="s">
        <v>3229</v>
      </c>
      <c r="K48" s="24">
        <v>608.0</v>
      </c>
      <c r="L48" s="5">
        <v>2.688464</v>
      </c>
      <c r="M48" s="5">
        <v>0.142456</v>
      </c>
      <c r="N48" s="5">
        <v>2.83092</v>
      </c>
      <c r="O48" s="5">
        <v>0.927956</v>
      </c>
    </row>
    <row r="49">
      <c r="A49" s="12" t="str">
        <f>IFERROR(__xludf.DUMMYFUNCTION("""COMPUTED_VALUE"""),"Adam Touray")</f>
        <v>Adam Touray</v>
      </c>
      <c r="B49" s="13" t="str">
        <f>IFERROR(__xludf.DUMMYFUNCTION("""COMPUTED_VALUE"""),"ETB")</f>
        <v>ETB</v>
      </c>
      <c r="C49" s="14">
        <f>IFERROR(__xludf.DUMMYFUNCTION("""COMPUTED_VALUE"""),607.9)</f>
        <v>607.9</v>
      </c>
      <c r="D49" s="15">
        <f>IFERROR(__xludf.DUMMYFUNCTION("""COMPUTED_VALUE"""),2.6511277479790265)</f>
        <v>2.651127748</v>
      </c>
      <c r="E49" s="15">
        <f>IFERROR(__xludf.DUMMYFUNCTION("""COMPUTED_VALUE"""),0.17979227352269644)</f>
        <v>0.1797922735</v>
      </c>
      <c r="F49" s="15">
        <f>IFERROR(__xludf.DUMMYFUNCTION("""COMPUTED_VALUE"""),2.830920021501723)</f>
        <v>2.830920022</v>
      </c>
      <c r="G49" s="17">
        <f>IFERROR(__xludf.DUMMYFUNCTION("""COMPUTED_VALUE"""),0.9279562741952022)</f>
        <v>0.9279562742</v>
      </c>
      <c r="H49" s="4"/>
      <c r="I49" s="5" t="s">
        <v>3277</v>
      </c>
      <c r="J49" s="5" t="s">
        <v>3278</v>
      </c>
      <c r="K49" s="24">
        <v>815.0</v>
      </c>
      <c r="L49" s="5">
        <v>3.277836</v>
      </c>
      <c r="M49" s="5">
        <v>-0.477433</v>
      </c>
      <c r="N49" s="5">
        <v>2.800403</v>
      </c>
      <c r="O49" s="5">
        <v>1.181775</v>
      </c>
    </row>
    <row r="50">
      <c r="A50" s="18" t="str">
        <f>IFERROR(__xludf.DUMMYFUNCTION("""COMPUTED_VALUE"""),"Janek Schmidkunz")</f>
        <v>Janek Schmidkunz</v>
      </c>
      <c r="B50" s="19" t="str">
        <f>IFERROR(__xludf.DUMMYFUNCTION("""COMPUTED_VALUE"""),"DRE")</f>
        <v>DRE</v>
      </c>
      <c r="C50" s="20">
        <f>IFERROR(__xludf.DUMMYFUNCTION("""COMPUTED_VALUE"""),815.2)</f>
        <v>815.2</v>
      </c>
      <c r="D50" s="21">
        <f>IFERROR(__xludf.DUMMYFUNCTION("""COMPUTED_VALUE"""),3.2404997529788475)</f>
        <v>3.240499753</v>
      </c>
      <c r="E50" s="21">
        <f>IFERROR(__xludf.DUMMYFUNCTION("""COMPUTED_VALUE"""),-0.44009648774682164)</f>
        <v>-0.4400964877</v>
      </c>
      <c r="F50" s="21">
        <f>IFERROR(__xludf.DUMMYFUNCTION("""COMPUTED_VALUE"""),2.800403265232026)</f>
        <v>2.800403265</v>
      </c>
      <c r="G50" s="23">
        <f>IFERROR(__xludf.DUMMYFUNCTION("""COMPUTED_VALUE"""),1.1817751114169373)</f>
        <v>1.181775111</v>
      </c>
      <c r="H50" s="4"/>
      <c r="I50" s="5" t="s">
        <v>3279</v>
      </c>
      <c r="J50" s="5" t="s">
        <v>3217</v>
      </c>
      <c r="K50" s="24">
        <v>837.0</v>
      </c>
      <c r="L50" s="5">
        <v>1.514834</v>
      </c>
      <c r="M50" s="5">
        <v>0.978611</v>
      </c>
      <c r="N50" s="5">
        <v>2.493444</v>
      </c>
      <c r="O50" s="5">
        <v>1.132476</v>
      </c>
    </row>
    <row r="51">
      <c r="A51" s="12" t="str">
        <f>IFERROR(__xludf.DUMMYFUNCTION("""COMPUTED_VALUE"""),"Johannes Lischka")</f>
        <v>Johannes Lischka</v>
      </c>
      <c r="B51" s="13" t="str">
        <f>IFERROR(__xludf.DUMMYFUNCTION("""COMPUTED_VALUE"""),"GIES")</f>
        <v>GIES</v>
      </c>
      <c r="C51" s="14">
        <f>IFERROR(__xludf.DUMMYFUNCTION("""COMPUTED_VALUE"""),837.4)</f>
        <v>837.4</v>
      </c>
      <c r="D51" s="15">
        <f>IFERROR(__xludf.DUMMYFUNCTION("""COMPUTED_VALUE"""),1.4774977390849786)</f>
        <v>1.477497739</v>
      </c>
      <c r="E51" s="15">
        <f>IFERROR(__xludf.DUMMYFUNCTION("""COMPUTED_VALUE"""),1.0159465746957217)</f>
        <v>1.015946575</v>
      </c>
      <c r="F51" s="15">
        <f>IFERROR(__xludf.DUMMYFUNCTION("""COMPUTED_VALUE"""),2.4934443137807003)</f>
        <v>2.493444314</v>
      </c>
      <c r="G51" s="17">
        <f>IFERROR(__xludf.DUMMYFUNCTION("""COMPUTED_VALUE"""),1.132476063720403)</f>
        <v>1.132476064</v>
      </c>
      <c r="H51" s="4"/>
      <c r="I51" s="5" t="s">
        <v>3280</v>
      </c>
      <c r="J51" s="5" t="s">
        <v>3281</v>
      </c>
      <c r="K51" s="5">
        <v>315.0</v>
      </c>
      <c r="L51" s="5">
        <v>-2.097568</v>
      </c>
      <c r="M51" s="5">
        <v>4.589667</v>
      </c>
      <c r="N51" s="5">
        <v>2.492099</v>
      </c>
      <c r="O51" s="5">
        <v>0.431164</v>
      </c>
    </row>
    <row r="52">
      <c r="A52" s="18" t="str">
        <f>IFERROR(__xludf.DUMMYFUNCTION("""COMPUTED_VALUE"""),"Paul Owusu-Frimpong")</f>
        <v>Paul Owusu-Frimpong</v>
      </c>
      <c r="B52" s="19" t="str">
        <f>IFERROR(__xludf.DUMMYFUNCTION("""COMPUTED_VALUE"""),"RIST")</f>
        <v>RIST</v>
      </c>
      <c r="C52" s="20">
        <f>IFERROR(__xludf.DUMMYFUNCTION("""COMPUTED_VALUE"""),314.8)</f>
        <v>314.8</v>
      </c>
      <c r="D52" s="21">
        <f>IFERROR(__xludf.DUMMYFUNCTION("""COMPUTED_VALUE"""),-2.134904472294822)</f>
        <v>-2.134904472</v>
      </c>
      <c r="E52" s="21">
        <f>IFERROR(__xludf.DUMMYFUNCTION("""COMPUTED_VALUE"""),4.6270031687491775)</f>
        <v>4.627003169</v>
      </c>
      <c r="F52" s="21">
        <f>IFERROR(__xludf.DUMMYFUNCTION("""COMPUTED_VALUE"""),2.4920986964543554)</f>
        <v>2.492098696</v>
      </c>
      <c r="G52" s="23">
        <f>IFERROR(__xludf.DUMMYFUNCTION("""COMPUTED_VALUE"""),0.43116384953970677)</f>
        <v>0.4311638495</v>
      </c>
      <c r="H52" s="4"/>
      <c r="I52" s="5" t="s">
        <v>3282</v>
      </c>
      <c r="J52" s="5" t="s">
        <v>3283</v>
      </c>
      <c r="K52" s="24">
        <v>847.0</v>
      </c>
      <c r="L52" s="5">
        <v>5.325886</v>
      </c>
      <c r="M52" s="5">
        <v>-2.852219</v>
      </c>
      <c r="N52" s="5">
        <v>2.473667</v>
      </c>
      <c r="O52" s="5">
        <v>1.151349</v>
      </c>
    </row>
    <row r="53">
      <c r="A53" s="12" t="str">
        <f>IFERROR(__xludf.DUMMYFUNCTION("""COMPUTED_VALUE"""),"Mike Holton, Jr.")</f>
        <v>Mike Holton, Jr.</v>
      </c>
      <c r="B53" s="13" t="str">
        <f>IFERROR(__xludf.DUMMYFUNCTION("""COMPUTED_VALUE"""),"RSV")</f>
        <v>RSV</v>
      </c>
      <c r="C53" s="14">
        <f>IFERROR(__xludf.DUMMYFUNCTION("""COMPUTED_VALUE"""),847.1)</f>
        <v>847.1</v>
      </c>
      <c r="D53" s="15">
        <f>IFERROR(__xludf.DUMMYFUNCTION("""COMPUTED_VALUE"""),5.288549675054649)</f>
        <v>5.288549675</v>
      </c>
      <c r="E53" s="15">
        <f>IFERROR(__xludf.DUMMYFUNCTION("""COMPUTED_VALUE"""),-2.8148827686379407)</f>
        <v>-2.814882769</v>
      </c>
      <c r="F53" s="15">
        <f>IFERROR(__xludf.DUMMYFUNCTION("""COMPUTED_VALUE"""),2.4736669064167085)</f>
        <v>2.473666906</v>
      </c>
      <c r="G53" s="17">
        <f>IFERROR(__xludf.DUMMYFUNCTION("""COMPUTED_VALUE"""),1.1513493129004564)</f>
        <v>1.151349313</v>
      </c>
      <c r="H53" s="4"/>
      <c r="I53" s="5" t="s">
        <v>3284</v>
      </c>
      <c r="J53" s="5" t="s">
        <v>3210</v>
      </c>
      <c r="K53" s="24">
        <v>395.0</v>
      </c>
      <c r="L53" s="5">
        <v>0.379536</v>
      </c>
      <c r="M53" s="5">
        <v>2.078441</v>
      </c>
      <c r="N53" s="5">
        <v>2.457977</v>
      </c>
      <c r="O53" s="5">
        <v>0.530127</v>
      </c>
    </row>
    <row r="54">
      <c r="A54" s="18" t="str">
        <f>IFERROR(__xludf.DUMMYFUNCTION("""COMPUTED_VALUE"""),"Deion Giddens")</f>
        <v>Deion Giddens</v>
      </c>
      <c r="B54" s="19" t="str">
        <f>IFERROR(__xludf.DUMMYFUNCTION("""COMPUTED_VALUE"""),"ISER")</f>
        <v>ISER</v>
      </c>
      <c r="C54" s="20">
        <f>IFERROR(__xludf.DUMMYFUNCTION("""COMPUTED_VALUE"""),395.2)</f>
        <v>395.2</v>
      </c>
      <c r="D54" s="21">
        <f>IFERROR(__xludf.DUMMYFUNCTION("""COMPUTED_VALUE"""),0.34219958039459897)</f>
        <v>0.3421995804</v>
      </c>
      <c r="E54" s="21">
        <f>IFERROR(__xludf.DUMMYFUNCTION("""COMPUTED_VALUE"""),2.1157775129909826)</f>
        <v>2.115777513</v>
      </c>
      <c r="F54" s="21">
        <f>IFERROR(__xludf.DUMMYFUNCTION("""COMPUTED_VALUE"""),2.4579770933855816)</f>
        <v>2.457977093</v>
      </c>
      <c r="G54" s="23">
        <f>IFERROR(__xludf.DUMMYFUNCTION("""COMPUTED_VALUE"""),0.5301266294325797)</f>
        <v>0.5301266294</v>
      </c>
      <c r="H54" s="4"/>
      <c r="I54" s="5" t="s">
        <v>1199</v>
      </c>
      <c r="J54" s="5" t="s">
        <v>3263</v>
      </c>
      <c r="K54" s="24">
        <v>685.0</v>
      </c>
      <c r="L54" s="5">
        <v>3.338251</v>
      </c>
      <c r="M54" s="5">
        <v>-0.923543</v>
      </c>
      <c r="N54" s="5">
        <v>2.414708</v>
      </c>
      <c r="O54" s="5">
        <v>0.908904</v>
      </c>
    </row>
    <row r="55">
      <c r="A55" s="12" t="str">
        <f>IFERROR(__xludf.DUMMYFUNCTION("""COMPUTED_VALUE"""),"Garai Zeeb")</f>
        <v>Garai Zeeb</v>
      </c>
      <c r="B55" s="13" t="str">
        <f>IFERROR(__xludf.DUMMYFUNCTION("""COMPUTED_VALUE"""),"JR")</f>
        <v>JR</v>
      </c>
      <c r="C55" s="14">
        <f>IFERROR(__xludf.DUMMYFUNCTION("""COMPUTED_VALUE"""),685.0)</f>
        <v>685</v>
      </c>
      <c r="D55" s="15">
        <f>IFERROR(__xludf.DUMMYFUNCTION("""COMPUTED_VALUE"""),3.3009147759679482)</f>
        <v>3.300914776</v>
      </c>
      <c r="E55" s="15">
        <f>IFERROR(__xludf.DUMMYFUNCTION("""COMPUTED_VALUE"""),-0.8862070696410611)</f>
        <v>-0.8862070696</v>
      </c>
      <c r="F55" s="15">
        <f>IFERROR(__xludf.DUMMYFUNCTION("""COMPUTED_VALUE"""),2.414707706326887)</f>
        <v>2.414707706</v>
      </c>
      <c r="G55" s="17">
        <f>IFERROR(__xludf.DUMMYFUNCTION("""COMPUTED_VALUE"""),0.9089039787231314)</f>
        <v>0.9089039787</v>
      </c>
      <c r="H55" s="4"/>
      <c r="I55" s="5" t="s">
        <v>3285</v>
      </c>
      <c r="J55" s="5" t="s">
        <v>3223</v>
      </c>
      <c r="K55" s="24">
        <v>299.0</v>
      </c>
      <c r="L55" s="5">
        <v>2.114402</v>
      </c>
      <c r="M55" s="5">
        <v>0.266771</v>
      </c>
      <c r="N55" s="5">
        <v>2.381174</v>
      </c>
      <c r="O55" s="5">
        <v>0.39799</v>
      </c>
    </row>
    <row r="56">
      <c r="A56" s="18" t="str">
        <f>IFERROR(__xludf.DUMMYFUNCTION("""COMPUTED_VALUE"""),"Julian Albus")</f>
        <v>Julian Albus</v>
      </c>
      <c r="B56" s="19" t="str">
        <f>IFERROR(__xludf.DUMMYFUNCTION("""COMPUTED_VALUE"""),"AKAD")</f>
        <v>AKAD</v>
      </c>
      <c r="C56" s="20">
        <f>IFERROR(__xludf.DUMMYFUNCTION("""COMPUTED_VALUE"""),298.9)</f>
        <v>298.9</v>
      </c>
      <c r="D56" s="21">
        <f>IFERROR(__xludf.DUMMYFUNCTION("""COMPUTED_VALUE"""),2.077203276606769)</f>
        <v>2.077203277</v>
      </c>
      <c r="E56" s="21">
        <f>IFERROR(__xludf.DUMMYFUNCTION("""COMPUTED_VALUE"""),0.3039705187809476)</f>
        <v>0.3039705188</v>
      </c>
      <c r="F56" s="21">
        <f>IFERROR(__xludf.DUMMYFUNCTION("""COMPUTED_VALUE"""),2.3811737953877166)</f>
        <v>2.381173795</v>
      </c>
      <c r="G56" s="23">
        <f>IFERROR(__xludf.DUMMYFUNCTION("""COMPUTED_VALUE"""),0.39798988702041155)</f>
        <v>0.397989887</v>
      </c>
      <c r="H56" s="4"/>
      <c r="I56" s="5" t="s">
        <v>3286</v>
      </c>
      <c r="J56" s="5" t="s">
        <v>3281</v>
      </c>
      <c r="K56" s="24">
        <v>447.0</v>
      </c>
      <c r="L56" s="5">
        <v>-0.709714</v>
      </c>
      <c r="M56" s="5">
        <v>3.043585</v>
      </c>
      <c r="N56" s="5">
        <v>2.333871</v>
      </c>
      <c r="O56" s="5">
        <v>0.590269</v>
      </c>
    </row>
    <row r="57">
      <c r="A57" s="12" t="str">
        <f>IFERROR(__xludf.DUMMYFUNCTION("""COMPUTED_VALUE"""),"Vincent Kittmann")</f>
        <v>Vincent Kittmann</v>
      </c>
      <c r="B57" s="13" t="str">
        <f>IFERROR(__xludf.DUMMYFUNCTION("""COMPUTED_VALUE"""),"RIST")</f>
        <v>RIST</v>
      </c>
      <c r="C57" s="14">
        <f>IFERROR(__xludf.DUMMYFUNCTION("""COMPUTED_VALUE"""),446.7)</f>
        <v>446.7</v>
      </c>
      <c r="D57" s="15">
        <f>IFERROR(__xludf.DUMMYFUNCTION("""COMPUTED_VALUE"""),-0.7470502292625131)</f>
        <v>-0.7470502293</v>
      </c>
      <c r="E57" s="15">
        <f>IFERROR(__xludf.DUMMYFUNCTION("""COMPUTED_VALUE"""),3.0809210320465477)</f>
        <v>3.080921032</v>
      </c>
      <c r="F57" s="15">
        <f>IFERROR(__xludf.DUMMYFUNCTION("""COMPUTED_VALUE"""),2.3338708027840345)</f>
        <v>2.333870803</v>
      </c>
      <c r="G57" s="17">
        <f>IFERROR(__xludf.DUMMYFUNCTION("""COMPUTED_VALUE"""),0.590269360120826)</f>
        <v>0.5902693601</v>
      </c>
      <c r="H57" s="4"/>
      <c r="I57" s="5" t="s">
        <v>3287</v>
      </c>
      <c r="J57" s="5" t="s">
        <v>3281</v>
      </c>
      <c r="K57" s="24">
        <v>613.0</v>
      </c>
      <c r="L57" s="5">
        <v>1.212388</v>
      </c>
      <c r="M57" s="5">
        <v>1.082671</v>
      </c>
      <c r="N57" s="5">
        <v>2.29506</v>
      </c>
      <c r="O57" s="5">
        <v>0.802109</v>
      </c>
    </row>
    <row r="58">
      <c r="A58" s="18" t="str">
        <f>IFERROR(__xludf.DUMMYFUNCTION("""COMPUTED_VALUE"""),"Aurimas Adomaitis")</f>
        <v>Aurimas Adomaitis</v>
      </c>
      <c r="B58" s="19" t="str">
        <f>IFERROR(__xludf.DUMMYFUNCTION("""COMPUTED_VALUE"""),"RIST")</f>
        <v>RIST</v>
      </c>
      <c r="C58" s="20">
        <f>IFERROR(__xludf.DUMMYFUNCTION("""COMPUTED_VALUE"""),612.5)</f>
        <v>612.5</v>
      </c>
      <c r="D58" s="21">
        <f>IFERROR(__xludf.DUMMYFUNCTION("""COMPUTED_VALUE"""),1.1750521801268579)</f>
        <v>1.17505218</v>
      </c>
      <c r="E58" s="21">
        <f>IFERROR(__xludf.DUMMYFUNCTION("""COMPUTED_VALUE"""),1.1200075039709123)</f>
        <v>1.120007504</v>
      </c>
      <c r="F58" s="21">
        <f>IFERROR(__xludf.DUMMYFUNCTION("""COMPUTED_VALUE"""),2.29505968409777)</f>
        <v>2.295059684</v>
      </c>
      <c r="G58" s="23">
        <f>IFERROR(__xludf.DUMMYFUNCTION("""COMPUTED_VALUE"""),0.80210943274216)</f>
        <v>0.8021094327</v>
      </c>
      <c r="H58" s="4"/>
      <c r="I58" s="5" t="s">
        <v>3288</v>
      </c>
      <c r="J58" s="5" t="s">
        <v>644</v>
      </c>
      <c r="K58" s="5">
        <v>590.0</v>
      </c>
      <c r="L58" s="5">
        <v>1.508431</v>
      </c>
      <c r="M58" s="5">
        <v>0.77959</v>
      </c>
      <c r="N58" s="5">
        <v>2.288021</v>
      </c>
      <c r="O58" s="5">
        <v>0.768179</v>
      </c>
    </row>
    <row r="59">
      <c r="A59" s="12" t="str">
        <f>IFERROR(__xludf.DUMMYFUNCTION("""COMPUTED_VALUE"""),"Donovon Jack")</f>
        <v>Donovon Jack</v>
      </c>
      <c r="B59" s="13" t="str">
        <f>IFERROR(__xludf.DUMMYFUNCTION("""COMPUTED_VALUE"""),"BAY")</f>
        <v>BAY</v>
      </c>
      <c r="C59" s="14">
        <f>IFERROR(__xludf.DUMMYFUNCTION("""COMPUTED_VALUE"""),590.1)</f>
        <v>590.1</v>
      </c>
      <c r="D59" s="15">
        <f>IFERROR(__xludf.DUMMYFUNCTION("""COMPUTED_VALUE"""),1.4710948219556184)</f>
        <v>1.471094822</v>
      </c>
      <c r="E59" s="15">
        <f>IFERROR(__xludf.DUMMYFUNCTION("""COMPUTED_VALUE"""),0.8169261669648173)</f>
        <v>0.816926167</v>
      </c>
      <c r="F59" s="15">
        <f>IFERROR(__xludf.DUMMYFUNCTION("""COMPUTED_VALUE"""),2.2880209889204357)</f>
        <v>2.288020989</v>
      </c>
      <c r="G59" s="17">
        <f>IFERROR(__xludf.DUMMYFUNCTION("""COMPUTED_VALUE"""),0.7681791378368239)</f>
        <v>0.7681791378</v>
      </c>
      <c r="H59" s="4"/>
      <c r="I59" s="5" t="s">
        <v>1120</v>
      </c>
      <c r="J59" s="5" t="s">
        <v>3223</v>
      </c>
      <c r="K59" s="24">
        <v>221.0</v>
      </c>
      <c r="L59" s="5">
        <v>0.314999</v>
      </c>
      <c r="M59" s="5">
        <v>1.971491</v>
      </c>
      <c r="N59" s="5">
        <v>2.28649</v>
      </c>
      <c r="O59" s="5">
        <v>0.288296</v>
      </c>
    </row>
    <row r="60">
      <c r="A60" s="18" t="str">
        <f>IFERROR(__xludf.DUMMYFUNCTION("""COMPUTED_VALUE"""),"Leon Kratzer")</f>
        <v>Leon Kratzer</v>
      </c>
      <c r="B60" s="19" t="str">
        <f>IFERROR(__xludf.DUMMYFUNCTION("""COMPUTED_VALUE"""),"AKAD")</f>
        <v>AKAD</v>
      </c>
      <c r="C60" s="20">
        <f>IFERROR(__xludf.DUMMYFUNCTION("""COMPUTED_VALUE"""),221.3)</f>
        <v>221.3</v>
      </c>
      <c r="D60" s="21">
        <f>IFERROR(__xludf.DUMMYFUNCTION("""COMPUTED_VALUE"""),0.2874574384122088)</f>
        <v>0.2874574384</v>
      </c>
      <c r="E60" s="21">
        <f>IFERROR(__xludf.DUMMYFUNCTION("""COMPUTED_VALUE"""),1.9990324231827798)</f>
        <v>1.999032423</v>
      </c>
      <c r="F60" s="21">
        <f>IFERROR(__xludf.DUMMYFUNCTION("""COMPUTED_VALUE"""),2.2864898615949887)</f>
        <v>2.286489862</v>
      </c>
      <c r="G60" s="23">
        <f>IFERROR(__xludf.DUMMYFUNCTION("""COMPUTED_VALUE"""),0.2882961582053934)</f>
        <v>0.2882961582</v>
      </c>
      <c r="H60" s="4"/>
      <c r="I60" s="5" t="s">
        <v>3289</v>
      </c>
      <c r="J60" s="5" t="s">
        <v>3212</v>
      </c>
      <c r="K60" s="24">
        <v>446.0</v>
      </c>
      <c r="L60" s="5">
        <v>0.830691</v>
      </c>
      <c r="M60" s="5">
        <v>1.379282</v>
      </c>
      <c r="N60" s="5">
        <v>2.209973</v>
      </c>
      <c r="O60" s="5">
        <v>0.569922</v>
      </c>
    </row>
    <row r="61">
      <c r="A61" s="12" t="str">
        <f>IFERROR(__xludf.DUMMYFUNCTION("""COMPUTED_VALUE"""),"Edin Alispahic")</f>
        <v>Edin Alispahic</v>
      </c>
      <c r="B61" s="13" t="str">
        <f>IFERROR(__xludf.DUMMYFUNCTION("""COMPUTED_VALUE"""),"ELCH")</f>
        <v>ELCH</v>
      </c>
      <c r="C61" s="14">
        <f>IFERROR(__xludf.DUMMYFUNCTION("""COMPUTED_VALUE"""),445.7)</f>
        <v>445.7</v>
      </c>
      <c r="D61" s="15">
        <f>IFERROR(__xludf.DUMMYFUNCTION("""COMPUTED_VALUE"""),0.7933549428349791)</f>
        <v>0.7933549428</v>
      </c>
      <c r="E61" s="15">
        <f>IFERROR(__xludf.DUMMYFUNCTION("""COMPUTED_VALUE"""),1.41661801595312)</f>
        <v>1.416618016</v>
      </c>
      <c r="F61" s="15">
        <f>IFERROR(__xludf.DUMMYFUNCTION("""COMPUTED_VALUE"""),2.209972958788099)</f>
        <v>2.209972959</v>
      </c>
      <c r="G61" s="17">
        <f>IFERROR(__xludf.DUMMYFUNCTION("""COMPUTED_VALUE"""),0.5699224673345092)</f>
        <v>0.5699224673</v>
      </c>
      <c r="H61" s="4"/>
      <c r="I61" s="5" t="s">
        <v>3290</v>
      </c>
      <c r="J61" s="5" t="s">
        <v>2201</v>
      </c>
      <c r="K61" s="24">
        <v>504.0</v>
      </c>
      <c r="L61" s="5">
        <v>-1.466241</v>
      </c>
      <c r="M61" s="5">
        <v>3.6389</v>
      </c>
      <c r="N61" s="5">
        <v>2.172659</v>
      </c>
      <c r="O61" s="5">
        <v>0.642405</v>
      </c>
    </row>
    <row r="62">
      <c r="A62" s="18" t="str">
        <f>IFERROR(__xludf.DUMMYFUNCTION("""COMPUTED_VALUE"""),"R.J. Slawson")</f>
        <v>R.J. Slawson</v>
      </c>
      <c r="B62" s="19" t="str">
        <f>IFERROR(__xludf.DUMMYFUNCTION("""COMPUTED_VALUE"""),"SHA")</f>
        <v>SHA</v>
      </c>
      <c r="C62" s="20">
        <f>IFERROR(__xludf.DUMMYFUNCTION("""COMPUTED_VALUE"""),504.1)</f>
        <v>504.1</v>
      </c>
      <c r="D62" s="21">
        <f>IFERROR(__xludf.DUMMYFUNCTION("""COMPUTED_VALUE"""),-1.5035772771808333)</f>
        <v>-1.503577277</v>
      </c>
      <c r="E62" s="21">
        <f>IFERROR(__xludf.DUMMYFUNCTION("""COMPUTED_VALUE"""),3.6762363336489865)</f>
        <v>3.676236334</v>
      </c>
      <c r="F62" s="21">
        <f>IFERROR(__xludf.DUMMYFUNCTION("""COMPUTED_VALUE"""),2.172659056468153)</f>
        <v>2.172659056</v>
      </c>
      <c r="G62" s="23">
        <f>IFERROR(__xludf.DUMMYFUNCTION("""COMPUTED_VALUE"""),0.6424054021988508)</f>
        <v>0.6424054022</v>
      </c>
      <c r="H62" s="4"/>
      <c r="I62" s="5" t="s">
        <v>3291</v>
      </c>
      <c r="J62" s="5" t="s">
        <v>3215</v>
      </c>
      <c r="K62" s="24">
        <v>754.0</v>
      </c>
      <c r="L62" s="5">
        <v>2.036048</v>
      </c>
      <c r="M62" s="5">
        <v>0.107098</v>
      </c>
      <c r="N62" s="5">
        <v>2.143147</v>
      </c>
      <c r="O62" s="5">
        <v>0.948823</v>
      </c>
    </row>
    <row r="63">
      <c r="A63" s="12" t="str">
        <f>IFERROR(__xludf.DUMMYFUNCTION("""COMPUTED_VALUE"""),"Tarique Thompson")</f>
        <v>Tarique Thompson</v>
      </c>
      <c r="B63" s="13" t="str">
        <f>IFERROR(__xludf.DUMMYFUNCTION("""COMPUTED_VALUE"""),"WOLF")</f>
        <v>WOLF</v>
      </c>
      <c r="C63" s="14">
        <f>IFERROR(__xludf.DUMMYFUNCTION("""COMPUTED_VALUE"""),754.2)</f>
        <v>754.2</v>
      </c>
      <c r="D63" s="15">
        <f>IFERROR(__xludf.DUMMYFUNCTION("""COMPUTED_VALUE"""),1.9987122551718142)</f>
        <v>1.998712255</v>
      </c>
      <c r="E63" s="15">
        <f>IFERROR(__xludf.DUMMYFUNCTION("""COMPUTED_VALUE"""),0.14443440271046137)</f>
        <v>0.1444344027</v>
      </c>
      <c r="F63" s="15">
        <f>IFERROR(__xludf.DUMMYFUNCTION("""COMPUTED_VALUE"""),2.1431466578822755)</f>
        <v>2.143146658</v>
      </c>
      <c r="G63" s="17">
        <f>IFERROR(__xludf.DUMMYFUNCTION("""COMPUTED_VALUE"""),0.9488230956423781)</f>
        <v>0.9488230956</v>
      </c>
      <c r="H63" s="4"/>
      <c r="I63" s="5" t="s">
        <v>3292</v>
      </c>
      <c r="J63" s="5" t="s">
        <v>3281</v>
      </c>
      <c r="K63" s="24">
        <v>727.0</v>
      </c>
      <c r="L63" s="5">
        <v>2.182755</v>
      </c>
      <c r="M63" s="5">
        <v>-0.049466</v>
      </c>
      <c r="N63" s="5">
        <v>2.133289</v>
      </c>
      <c r="O63" s="5">
        <v>0.916448</v>
      </c>
    </row>
    <row r="64">
      <c r="A64" s="18" t="str">
        <f>IFERROR(__xludf.DUMMYFUNCTION("""COMPUTED_VALUE"""),"Nino Celebic")</f>
        <v>Nino Celebic</v>
      </c>
      <c r="B64" s="19" t="str">
        <f>IFERROR(__xludf.DUMMYFUNCTION("""COMPUTED_VALUE"""),"RIST")</f>
        <v>RIST</v>
      </c>
      <c r="C64" s="20">
        <f>IFERROR(__xludf.DUMMYFUNCTION("""COMPUTED_VALUE"""),727.2)</f>
        <v>727.2</v>
      </c>
      <c r="D64" s="21">
        <f>IFERROR(__xludf.DUMMYFUNCTION("""COMPUTED_VALUE"""),2.1454193952466674)</f>
        <v>2.145419395</v>
      </c>
      <c r="E64" s="21">
        <f>IFERROR(__xludf.DUMMYFUNCTION("""COMPUTED_VALUE"""),-0.012130020508553496)</f>
        <v>-0.01213002051</v>
      </c>
      <c r="F64" s="21">
        <f>IFERROR(__xludf.DUMMYFUNCTION("""COMPUTED_VALUE"""),2.133289374738114)</f>
        <v>2.133289375</v>
      </c>
      <c r="G64" s="23">
        <f>IFERROR(__xludf.DUMMYFUNCTION("""COMPUTED_VALUE"""),0.9164483830256401)</f>
        <v>0.916448383</v>
      </c>
      <c r="H64" s="4"/>
      <c r="I64" s="5" t="s">
        <v>3293</v>
      </c>
      <c r="J64" s="5" t="s">
        <v>3203</v>
      </c>
      <c r="K64" s="24">
        <v>651.0</v>
      </c>
      <c r="L64" s="5">
        <v>1.965802</v>
      </c>
      <c r="M64" s="5">
        <v>0.163826</v>
      </c>
      <c r="N64" s="5">
        <v>2.129628</v>
      </c>
      <c r="O64" s="5">
        <v>0.814856</v>
      </c>
    </row>
    <row r="65">
      <c r="A65" s="12" t="str">
        <f>IFERROR(__xludf.DUMMYFUNCTION("""COMPUTED_VALUE"""),"Viktor Frankl-Maus")</f>
        <v>Viktor Frankl-Maus</v>
      </c>
      <c r="B65" s="13" t="str">
        <f>IFERROR(__xludf.DUMMYFUNCTION("""COMPUTED_VALUE"""),"DRAG")</f>
        <v>DRAG</v>
      </c>
      <c r="C65" s="14">
        <f>IFERROR(__xludf.DUMMYFUNCTION("""COMPUTED_VALUE"""),650.7)</f>
        <v>650.7</v>
      </c>
      <c r="D65" s="15">
        <f>IFERROR(__xludf.DUMMYFUNCTION("""COMPUTED_VALUE"""),1.928465595788476)</f>
        <v>1.928465596</v>
      </c>
      <c r="E65" s="15">
        <f>IFERROR(__xludf.DUMMYFUNCTION("""COMPUTED_VALUE"""),0.2011624317279046)</f>
        <v>0.2011624317</v>
      </c>
      <c r="F65" s="15">
        <f>IFERROR(__xludf.DUMMYFUNCTION("""COMPUTED_VALUE"""),2.1296280275163806)</f>
        <v>2.129628028</v>
      </c>
      <c r="G65" s="17">
        <f>IFERROR(__xludf.DUMMYFUNCTION("""COMPUTED_VALUE"""),0.8148559042963529)</f>
        <v>0.8148559043</v>
      </c>
      <c r="H65" s="4"/>
      <c r="I65" s="5" t="s">
        <v>3294</v>
      </c>
      <c r="J65" s="5" t="s">
        <v>3283</v>
      </c>
      <c r="K65" s="24">
        <v>275.0</v>
      </c>
      <c r="L65" s="5">
        <v>3.148509</v>
      </c>
      <c r="M65" s="5">
        <v>-1.083142</v>
      </c>
      <c r="N65" s="5">
        <v>2.065367</v>
      </c>
      <c r="O65" s="5">
        <v>0.339163</v>
      </c>
    </row>
    <row r="66">
      <c r="A66" s="18" t="str">
        <f>IFERROR(__xludf.DUMMYFUNCTION("""COMPUTED_VALUE"""),"Georgi Boyanov")</f>
        <v>Georgi Boyanov</v>
      </c>
      <c r="B66" s="19" t="str">
        <f>IFERROR(__xludf.DUMMYFUNCTION("""COMPUTED_VALUE"""),"RSV")</f>
        <v>RSV</v>
      </c>
      <c r="C66" s="20">
        <f>IFERROR(__xludf.DUMMYFUNCTION("""COMPUTED_VALUE"""),274.6)</f>
        <v>274.6</v>
      </c>
      <c r="D66" s="21">
        <f>IFERROR(__xludf.DUMMYFUNCTION("""COMPUTED_VALUE"""),3.114334434645812)</f>
        <v>3.114334435</v>
      </c>
      <c r="E66" s="21">
        <f>IFERROR(__xludf.DUMMYFUNCTION("""COMPUTED_VALUE"""),-1.0489672859317167)</f>
        <v>-1.048967286</v>
      </c>
      <c r="F66" s="21">
        <f>IFERROR(__xludf.DUMMYFUNCTION("""COMPUTED_VALUE"""),2.0653671487140954)</f>
        <v>2.065367149</v>
      </c>
      <c r="G66" s="23">
        <f>IFERROR(__xludf.DUMMYFUNCTION("""COMPUTED_VALUE"""),0.3391634823960317)</f>
        <v>0.3391634824</v>
      </c>
      <c r="H66" s="4"/>
      <c r="I66" s="5" t="s">
        <v>3295</v>
      </c>
      <c r="J66" s="5" t="s">
        <v>3226</v>
      </c>
      <c r="K66" s="24">
        <v>216.0</v>
      </c>
      <c r="L66" s="5">
        <v>1.177333</v>
      </c>
      <c r="M66" s="5">
        <v>0.868176</v>
      </c>
      <c r="N66" s="5">
        <v>2.045509</v>
      </c>
      <c r="O66" s="5">
        <v>0.266886</v>
      </c>
    </row>
    <row r="67">
      <c r="A67" s="12" t="str">
        <f>IFERROR(__xludf.DUMMYFUNCTION("""COMPUTED_VALUE"""),"Robert Glockner")</f>
        <v>Robert Glockner</v>
      </c>
      <c r="B67" s="13" t="str">
        <f>IFERROR(__xludf.DUMMYFUNCTION("""COMPUTED_VALUE"""),"SSV")</f>
        <v>SSV</v>
      </c>
      <c r="C67" s="14">
        <f>IFERROR(__xludf.DUMMYFUNCTION("""COMPUTED_VALUE"""),216.2)</f>
        <v>216.2</v>
      </c>
      <c r="D67" s="15">
        <f>IFERROR(__xludf.DUMMYFUNCTION("""COMPUTED_VALUE"""),1.1504263377137192)</f>
        <v>1.150426338</v>
      </c>
      <c r="E67" s="15">
        <f>IFERROR(__xludf.DUMMYFUNCTION("""COMPUTED_VALUE"""),0.8950830057397483)</f>
        <v>0.8950830057</v>
      </c>
      <c r="F67" s="15">
        <f>IFERROR(__xludf.DUMMYFUNCTION("""COMPUTED_VALUE"""),2.0455093434534675)</f>
        <v>2.045509343</v>
      </c>
      <c r="G67" s="17">
        <f>IFERROR(__xludf.DUMMYFUNCTION("""COMPUTED_VALUE"""),0.2668862336339036)</f>
        <v>0.2668862336</v>
      </c>
      <c r="H67" s="4"/>
      <c r="I67" s="5" t="s">
        <v>3296</v>
      </c>
      <c r="J67" s="5" t="s">
        <v>3283</v>
      </c>
      <c r="K67" s="24">
        <v>868.0</v>
      </c>
      <c r="L67" s="5">
        <v>0.716895</v>
      </c>
      <c r="M67" s="5">
        <v>1.256238</v>
      </c>
      <c r="N67" s="5">
        <v>1.973133</v>
      </c>
      <c r="O67" s="5">
        <v>1.047639</v>
      </c>
    </row>
    <row r="68">
      <c r="A68" s="18" t="str">
        <f>IFERROR(__xludf.DUMMYFUNCTION("""COMPUTED_VALUE"""),"Josh Smith")</f>
        <v>Josh Smith</v>
      </c>
      <c r="B68" s="19" t="str">
        <f>IFERROR(__xludf.DUMMYFUNCTION("""COMPUTED_VALUE"""),"RSV")</f>
        <v>RSV</v>
      </c>
      <c r="C68" s="20">
        <f>IFERROR(__xludf.DUMMYFUNCTION("""COMPUTED_VALUE"""),867.9)</f>
        <v>867.9</v>
      </c>
      <c r="D68" s="21">
        <f>IFERROR(__xludf.DUMMYFUNCTION("""COMPUTED_VALUE"""),0.6795584999233028)</f>
        <v>0.6795584999</v>
      </c>
      <c r="E68" s="21">
        <f>IFERROR(__xludf.DUMMYFUNCTION("""COMPUTED_VALUE"""),1.293574129474926)</f>
        <v>1.293574129</v>
      </c>
      <c r="F68" s="21">
        <f>IFERROR(__xludf.DUMMYFUNCTION("""COMPUTED_VALUE"""),1.9731326293982285)</f>
        <v>1.973132629</v>
      </c>
      <c r="G68" s="23">
        <f>IFERROR(__xludf.DUMMYFUNCTION("""COMPUTED_VALUE"""),1.0476386941602933)</f>
        <v>1.047638694</v>
      </c>
      <c r="H68" s="4"/>
      <c r="I68" s="5" t="s">
        <v>1151</v>
      </c>
      <c r="J68" s="5" t="s">
        <v>3256</v>
      </c>
      <c r="K68" s="5">
        <v>466.0</v>
      </c>
      <c r="L68" s="5">
        <v>0.755282</v>
      </c>
      <c r="M68" s="5">
        <v>1.15204</v>
      </c>
      <c r="N68" s="5">
        <v>1.907322</v>
      </c>
      <c r="O68" s="5">
        <v>0.552272</v>
      </c>
    </row>
    <row r="69">
      <c r="A69" s="12" t="str">
        <f>IFERROR(__xludf.DUMMYFUNCTION("""COMPUTED_VALUE"""),"Marko Bacak")</f>
        <v>Marko Bacak</v>
      </c>
      <c r="B69" s="13" t="str">
        <f>IFERROR(__xludf.DUMMYFUNCTION("""COMPUTED_VALUE"""),"OTB")</f>
        <v>OTB</v>
      </c>
      <c r="C69" s="14">
        <f>IFERROR(__xludf.DUMMYFUNCTION("""COMPUTED_VALUE"""),465.7)</f>
        <v>465.7</v>
      </c>
      <c r="D69" s="15">
        <f>IFERROR(__xludf.DUMMYFUNCTION("""COMPUTED_VALUE"""),0.7179458698028305)</f>
        <v>0.7179458698</v>
      </c>
      <c r="E69" s="15">
        <f>IFERROR(__xludf.DUMMYFUNCTION("""COMPUTED_VALUE"""),1.1893762517293605)</f>
        <v>1.189376252</v>
      </c>
      <c r="F69" s="15">
        <f>IFERROR(__xludf.DUMMYFUNCTION("""COMPUTED_VALUE"""),1.907322121532191)</f>
        <v>1.907322122</v>
      </c>
      <c r="G69" s="17">
        <f>IFERROR(__xludf.DUMMYFUNCTION("""COMPUTED_VALUE"""),0.5522715382736304)</f>
        <v>0.5522715383</v>
      </c>
      <c r="H69" s="4"/>
      <c r="I69" s="5" t="s">
        <v>3297</v>
      </c>
      <c r="J69" s="5" t="s">
        <v>3256</v>
      </c>
      <c r="K69" s="24">
        <v>352.0</v>
      </c>
      <c r="L69" s="5">
        <v>2.142986</v>
      </c>
      <c r="M69" s="5">
        <v>-0.236418</v>
      </c>
      <c r="N69" s="5">
        <v>1.906568</v>
      </c>
      <c r="O69" s="5">
        <v>0.417236</v>
      </c>
    </row>
    <row r="70">
      <c r="A70" s="18" t="str">
        <f>IFERROR(__xludf.DUMMYFUNCTION("""COMPUTED_VALUE"""),"Philip Zwiener")</f>
        <v>Philip Zwiener</v>
      </c>
      <c r="B70" s="19" t="str">
        <f>IFERROR(__xludf.DUMMYFUNCTION("""COMPUTED_VALUE"""),"OTB")</f>
        <v>OTB</v>
      </c>
      <c r="C70" s="20">
        <f>IFERROR(__xludf.DUMMYFUNCTION("""COMPUTED_VALUE"""),351.9)</f>
        <v>351.9</v>
      </c>
      <c r="D70" s="21">
        <f>IFERROR(__xludf.DUMMYFUNCTION("""COMPUTED_VALUE"""),2.1056495870051197)</f>
        <v>2.105649587</v>
      </c>
      <c r="E70" s="21">
        <f>IFERROR(__xludf.DUMMYFUNCTION("""COMPUTED_VALUE"""),-0.19908185584606364)</f>
        <v>-0.1990818558</v>
      </c>
      <c r="F70" s="21">
        <f>IFERROR(__xludf.DUMMYFUNCTION("""COMPUTED_VALUE"""),1.906567731159056)</f>
        <v>1.906567731</v>
      </c>
      <c r="G70" s="23">
        <f>IFERROR(__xludf.DUMMYFUNCTION("""COMPUTED_VALUE"""),0.4172360576989713)</f>
        <v>0.4172360577</v>
      </c>
      <c r="H70" s="4"/>
      <c r="I70" s="5" t="s">
        <v>3298</v>
      </c>
      <c r="J70" s="5" t="s">
        <v>3256</v>
      </c>
      <c r="K70" s="24">
        <v>557.0</v>
      </c>
      <c r="L70" s="5">
        <v>-0.896476</v>
      </c>
      <c r="M70" s="5">
        <v>2.717459</v>
      </c>
      <c r="N70" s="5">
        <v>1.820983</v>
      </c>
      <c r="O70" s="5">
        <v>0.64618</v>
      </c>
    </row>
    <row r="71">
      <c r="A71" s="12" t="str">
        <f>IFERROR(__xludf.DUMMYFUNCTION("""COMPUTED_VALUE"""),"Jacob Hollatz")</f>
        <v>Jacob Hollatz</v>
      </c>
      <c r="B71" s="13" t="str">
        <f>IFERROR(__xludf.DUMMYFUNCTION("""COMPUTED_VALUE"""),"OTB")</f>
        <v>OTB</v>
      </c>
      <c r="C71" s="14">
        <f>IFERROR(__xludf.DUMMYFUNCTION("""COMPUTED_VALUE"""),557.2)</f>
        <v>557.2</v>
      </c>
      <c r="D71" s="15">
        <f>IFERROR(__xludf.DUMMYFUNCTION("""COMPUTED_VALUE"""),-0.9338122740565357)</f>
        <v>-0.9338122741</v>
      </c>
      <c r="E71" s="15">
        <f>IFERROR(__xludf.DUMMYFUNCTION("""COMPUTED_VALUE"""),2.754795432744805)</f>
        <v>2.754795433</v>
      </c>
      <c r="F71" s="15">
        <f>IFERROR(__xludf.DUMMYFUNCTION("""COMPUTED_VALUE"""),1.8209831586882694)</f>
        <v>1.820983159</v>
      </c>
      <c r="G71" s="17">
        <f>IFERROR(__xludf.DUMMYFUNCTION("""COMPUTED_VALUE"""),0.6461798918267683)</f>
        <v>0.6461798918</v>
      </c>
      <c r="H71" s="4"/>
      <c r="I71" s="5" t="s">
        <v>3299</v>
      </c>
      <c r="J71" s="5" t="s">
        <v>2201</v>
      </c>
      <c r="K71" s="24">
        <v>649.0</v>
      </c>
      <c r="L71" s="5">
        <v>3.939797</v>
      </c>
      <c r="M71" s="5">
        <v>-2.16439</v>
      </c>
      <c r="N71" s="5">
        <v>1.775406</v>
      </c>
      <c r="O71" s="5">
        <v>0.748206</v>
      </c>
    </row>
    <row r="72">
      <c r="A72" s="18" t="str">
        <f>IFERROR(__xludf.DUMMYFUNCTION("""COMPUTED_VALUE"""),"Patrick Carney")</f>
        <v>Patrick Carney</v>
      </c>
      <c r="B72" s="19" t="str">
        <f>IFERROR(__xludf.DUMMYFUNCTION("""COMPUTED_VALUE"""),"SHA")</f>
        <v>SHA</v>
      </c>
      <c r="C72" s="20">
        <f>IFERROR(__xludf.DUMMYFUNCTION("""COMPUTED_VALUE"""),648.9)</f>
        <v>648.9</v>
      </c>
      <c r="D72" s="21">
        <f>IFERROR(__xludf.DUMMYFUNCTION("""COMPUTED_VALUE"""),3.9024607235513322)</f>
        <v>3.902460724</v>
      </c>
      <c r="E72" s="21">
        <f>IFERROR(__xludf.DUMMYFUNCTION("""COMPUTED_VALUE"""),-2.127054407328173)</f>
        <v>-2.127054407</v>
      </c>
      <c r="F72" s="21">
        <f>IFERROR(__xludf.DUMMYFUNCTION("""COMPUTED_VALUE"""),1.7754063162231588)</f>
        <v>1.775406316</v>
      </c>
      <c r="G72" s="23">
        <f>IFERROR(__xludf.DUMMYFUNCTION("""COMPUTED_VALUE"""),0.7482057798346019)</f>
        <v>0.7482057798</v>
      </c>
      <c r="H72" s="4"/>
      <c r="I72" s="5" t="s">
        <v>3300</v>
      </c>
      <c r="J72" s="5" t="s">
        <v>3237</v>
      </c>
      <c r="K72" s="24">
        <v>628.0</v>
      </c>
      <c r="L72" s="5">
        <v>-0.081297</v>
      </c>
      <c r="M72" s="5">
        <v>1.837528</v>
      </c>
      <c r="N72" s="5">
        <v>1.756231</v>
      </c>
      <c r="O72" s="5">
        <v>0.795599</v>
      </c>
    </row>
    <row r="73">
      <c r="A73" s="12" t="str">
        <f>IFERROR(__xludf.DUMMYFUNCTION("""COMPUTED_VALUE"""),"Florian Wendeler")</f>
        <v>Florian Wendeler</v>
      </c>
      <c r="B73" s="13" t="str">
        <f>IFERROR(__xludf.DUMMYFUNCTION("""COMPUTED_VALUE"""),"CUX")</f>
        <v>CUX</v>
      </c>
      <c r="C73" s="14">
        <f>IFERROR(__xludf.DUMMYFUNCTION("""COMPUTED_VALUE"""),627.8)</f>
        <v>627.8</v>
      </c>
      <c r="D73" s="15">
        <f>IFERROR(__xludf.DUMMYFUNCTION("""COMPUTED_VALUE"""),-0.11863331361276643)</f>
        <v>-0.1186333136</v>
      </c>
      <c r="E73" s="15">
        <f>IFERROR(__xludf.DUMMYFUNCTION("""COMPUTED_VALUE"""),1.874864023537694)</f>
        <v>1.874864024</v>
      </c>
      <c r="F73" s="15">
        <f>IFERROR(__xludf.DUMMYFUNCTION("""COMPUTED_VALUE"""),1.7562307099249277)</f>
        <v>1.75623071</v>
      </c>
      <c r="G73" s="17">
        <f>IFERROR(__xludf.DUMMYFUNCTION("""COMPUTED_VALUE"""),0.7955991757218676)</f>
        <v>0.7955991757</v>
      </c>
      <c r="H73" s="4"/>
      <c r="I73" s="5" t="s">
        <v>1028</v>
      </c>
      <c r="J73" s="5" t="s">
        <v>3263</v>
      </c>
      <c r="K73" s="5">
        <v>599.0</v>
      </c>
      <c r="L73" s="5">
        <v>0.301502</v>
      </c>
      <c r="M73" s="5">
        <v>1.454015</v>
      </c>
      <c r="N73" s="5">
        <v>1.755517</v>
      </c>
      <c r="O73" s="5">
        <v>0.675553</v>
      </c>
    </row>
    <row r="74">
      <c r="A74" s="18" t="str">
        <f>IFERROR(__xludf.DUMMYFUNCTION("""COMPUTED_VALUE"""),"Konstantin Schubert")</f>
        <v>Konstantin Schubert</v>
      </c>
      <c r="B74" s="19" t="str">
        <f>IFERROR(__xludf.DUMMYFUNCTION("""COMPUTED_VALUE"""),"JR")</f>
        <v>JR</v>
      </c>
      <c r="C74" s="20">
        <f>IFERROR(__xludf.DUMMYFUNCTION("""COMPUTED_VALUE"""),598.5)</f>
        <v>598.5</v>
      </c>
      <c r="D74" s="21">
        <f>IFERROR(__xludf.DUMMYFUNCTION("""COMPUTED_VALUE"""),0.26416598488192966)</f>
        <v>0.2641659849</v>
      </c>
      <c r="E74" s="21">
        <f>IFERROR(__xludf.DUMMYFUNCTION("""COMPUTED_VALUE"""),1.491351207100323)</f>
        <v>1.491351207</v>
      </c>
      <c r="F74" s="21">
        <f>IFERROR(__xludf.DUMMYFUNCTION("""COMPUTED_VALUE"""),1.7555171919822525)</f>
        <v>1.755517192</v>
      </c>
      <c r="G74" s="23">
        <f>IFERROR(__xludf.DUMMYFUNCTION("""COMPUTED_VALUE"""),0.6755529388014314)</f>
        <v>0.6755529388</v>
      </c>
      <c r="H74" s="4"/>
      <c r="I74" s="5" t="s">
        <v>3301</v>
      </c>
      <c r="J74" s="5" t="s">
        <v>2838</v>
      </c>
      <c r="K74" s="24">
        <v>675.0</v>
      </c>
      <c r="L74" s="5">
        <v>-0.220423</v>
      </c>
      <c r="M74" s="5">
        <v>1.930718</v>
      </c>
      <c r="N74" s="5">
        <v>1.710295</v>
      </c>
      <c r="O74" s="5">
        <v>0.750399</v>
      </c>
    </row>
    <row r="75">
      <c r="A75" s="12" t="str">
        <f>IFERROR(__xludf.DUMMYFUNCTION("""COMPUTED_VALUE"""),"Mark Gebhardt")</f>
        <v>Mark Gebhardt</v>
      </c>
      <c r="B75" s="13" t="str">
        <f>IFERROR(__xludf.DUMMYFUNCTION("""COMPUTED_VALUE"""),"AST")</f>
        <v>AST</v>
      </c>
      <c r="C75" s="14">
        <f>IFERROR(__xludf.DUMMYFUNCTION("""COMPUTED_VALUE"""),675.1)</f>
        <v>675.1</v>
      </c>
      <c r="D75" s="15">
        <f>IFERROR(__xludf.DUMMYFUNCTION("""COMPUTED_VALUE"""),-0.25775948569980073)</f>
        <v>-0.2577594857</v>
      </c>
      <c r="E75" s="15">
        <f>IFERROR(__xludf.DUMMYFUNCTION("""COMPUTED_VALUE"""),1.9680545119035062)</f>
        <v>1.968054512</v>
      </c>
      <c r="F75" s="15">
        <f>IFERROR(__xludf.DUMMYFUNCTION("""COMPUTED_VALUE"""),1.7102950262037055)</f>
        <v>1.710295026</v>
      </c>
      <c r="G75" s="17">
        <f>IFERROR(__xludf.DUMMYFUNCTION("""COMPUTED_VALUE"""),0.750398709458264)</f>
        <v>0.7503987095</v>
      </c>
      <c r="H75" s="4"/>
      <c r="I75" s="5" t="s">
        <v>3302</v>
      </c>
      <c r="J75" s="5" t="s">
        <v>3212</v>
      </c>
      <c r="K75" s="5">
        <v>524.0</v>
      </c>
      <c r="L75" s="5">
        <v>0.42604</v>
      </c>
      <c r="M75" s="5">
        <v>1.241936</v>
      </c>
      <c r="N75" s="5">
        <v>1.667976</v>
      </c>
      <c r="O75" s="5">
        <v>0.583672</v>
      </c>
    </row>
    <row r="76">
      <c r="A76" s="18" t="str">
        <f>IFERROR(__xludf.DUMMYFUNCTION("""COMPUTED_VALUE"""),"Marin Petric")</f>
        <v>Marin Petric</v>
      </c>
      <c r="B76" s="19" t="str">
        <f>IFERROR(__xludf.DUMMYFUNCTION("""COMPUTED_VALUE"""),"ELCH")</f>
        <v>ELCH</v>
      </c>
      <c r="C76" s="20">
        <f>IFERROR(__xludf.DUMMYFUNCTION("""COMPUTED_VALUE"""),523.9)</f>
        <v>523.9</v>
      </c>
      <c r="D76" s="21">
        <f>IFERROR(__xludf.DUMMYFUNCTION("""COMPUTED_VALUE"""),0.38870377652580645)</f>
        <v>0.3887037765</v>
      </c>
      <c r="E76" s="21">
        <f>IFERROR(__xludf.DUMMYFUNCTION("""COMPUTED_VALUE"""),1.2792721208015618)</f>
        <v>1.279272121</v>
      </c>
      <c r="F76" s="21">
        <f>IFERROR(__xludf.DUMMYFUNCTION("""COMPUTED_VALUE"""),1.6679758973273682)</f>
        <v>1.667975897</v>
      </c>
      <c r="G76" s="23">
        <f>IFERROR(__xludf.DUMMYFUNCTION("""COMPUTED_VALUE"""),0.5836717976582262)</f>
        <v>0.5836717977</v>
      </c>
      <c r="H76" s="4"/>
      <c r="I76" s="5" t="s">
        <v>3303</v>
      </c>
      <c r="J76" s="5" t="s">
        <v>3223</v>
      </c>
      <c r="K76" s="24">
        <v>170.0</v>
      </c>
      <c r="L76" s="5">
        <v>0.864701</v>
      </c>
      <c r="M76" s="5">
        <v>0.784528</v>
      </c>
      <c r="N76" s="5">
        <v>1.649229</v>
      </c>
      <c r="O76" s="5">
        <v>0.18843</v>
      </c>
    </row>
    <row r="77">
      <c r="A77" s="12" t="str">
        <f>IFERROR(__xludf.DUMMYFUNCTION("""COMPUTED_VALUE"""),"Jonas Weitzel")</f>
        <v>Jonas Weitzel</v>
      </c>
      <c r="B77" s="13" t="str">
        <f>IFERROR(__xludf.DUMMYFUNCTION("""COMPUTED_VALUE"""),"AKAD")</f>
        <v>AKAD</v>
      </c>
      <c r="C77" s="14">
        <f>IFERROR(__xludf.DUMMYFUNCTION("""COMPUTED_VALUE"""),169.9)</f>
        <v>169.9</v>
      </c>
      <c r="D77" s="15">
        <f>IFERROR(__xludf.DUMMYFUNCTION("""COMPUTED_VALUE"""),0.8435565736199291)</f>
        <v>0.8435565736</v>
      </c>
      <c r="E77" s="15">
        <f>IFERROR(__xludf.DUMMYFUNCTION("""COMPUTED_VALUE"""),0.8056726846817557)</f>
        <v>0.8056726847</v>
      </c>
      <c r="F77" s="15">
        <f>IFERROR(__xludf.DUMMYFUNCTION("""COMPUTED_VALUE"""),1.6492292583016848)</f>
        <v>1.649229258</v>
      </c>
      <c r="G77" s="17">
        <f>IFERROR(__xludf.DUMMYFUNCTION("""COMPUTED_VALUE"""),0.18843005174403873)</f>
        <v>0.1884300517</v>
      </c>
      <c r="H77" s="4"/>
      <c r="I77" s="5" t="s">
        <v>3304</v>
      </c>
      <c r="J77" s="5" t="s">
        <v>3220</v>
      </c>
      <c r="K77" s="24">
        <v>568.0</v>
      </c>
      <c r="L77" s="5">
        <v>-0.879916</v>
      </c>
      <c r="M77" s="5">
        <v>2.506278</v>
      </c>
      <c r="N77" s="5">
        <v>1.626362</v>
      </c>
      <c r="O77" s="5">
        <v>0.63257</v>
      </c>
    </row>
    <row r="78">
      <c r="A78" s="18" t="str">
        <f>IFERROR(__xludf.DUMMYFUNCTION("""COMPUTED_VALUE"""),"Dennis Teucher")</f>
        <v>Dennis Teucher</v>
      </c>
      <c r="B78" s="19" t="str">
        <f>IFERROR(__xludf.DUMMYFUNCTION("""COMPUTED_VALUE"""),"ROST")</f>
        <v>ROST</v>
      </c>
      <c r="C78" s="20">
        <f>IFERROR(__xludf.DUMMYFUNCTION("""COMPUTED_VALUE"""),568.2)</f>
        <v>568.2</v>
      </c>
      <c r="D78" s="21">
        <f>IFERROR(__xludf.DUMMYFUNCTION("""COMPUTED_VALUE"""),-0.9172518791034026)</f>
        <v>-0.9172518791</v>
      </c>
      <c r="E78" s="21">
        <f>IFERROR(__xludf.DUMMYFUNCTION("""COMPUTED_VALUE"""),2.5436142517686675)</f>
        <v>2.543614252</v>
      </c>
      <c r="F78" s="21">
        <f>IFERROR(__xludf.DUMMYFUNCTION("""COMPUTED_VALUE"""),1.626362372665265)</f>
        <v>1.626362373</v>
      </c>
      <c r="G78" s="23">
        <f>IFERROR(__xludf.DUMMYFUNCTION("""COMPUTED_VALUE"""),0.6325696291686422)</f>
        <v>0.6325696292</v>
      </c>
      <c r="H78" s="4"/>
      <c r="I78" s="5" t="s">
        <v>3305</v>
      </c>
      <c r="J78" s="5" t="s">
        <v>2838</v>
      </c>
      <c r="K78" s="24">
        <v>376.0</v>
      </c>
      <c r="L78" s="5">
        <v>0.615392</v>
      </c>
      <c r="M78" s="5">
        <v>1.004968</v>
      </c>
      <c r="N78" s="5">
        <v>1.62036</v>
      </c>
      <c r="O78" s="5">
        <v>0.408024</v>
      </c>
    </row>
    <row r="79">
      <c r="A79" s="12" t="str">
        <f>IFERROR(__xludf.DUMMYFUNCTION("""COMPUTED_VALUE"""),"Ashton Smith")</f>
        <v>Ashton Smith</v>
      </c>
      <c r="B79" s="13" t="str">
        <f>IFERROR(__xludf.DUMMYFUNCTION("""COMPUTED_VALUE"""),"AST")</f>
        <v>AST</v>
      </c>
      <c r="C79" s="14">
        <f>IFERROR(__xludf.DUMMYFUNCTION("""COMPUTED_VALUE"""),376.2)</f>
        <v>376.2</v>
      </c>
      <c r="D79" s="15">
        <f>IFERROR(__xludf.DUMMYFUNCTION("""COMPUTED_VALUE"""),0.5780556729652755)</f>
        <v>0.578055673</v>
      </c>
      <c r="E79" s="15">
        <f>IFERROR(__xludf.DUMMYFUNCTION("""COMPUTED_VALUE"""),1.0423039680940576)</f>
        <v>1.042303968</v>
      </c>
      <c r="F79" s="15">
        <f>IFERROR(__xludf.DUMMYFUNCTION("""COMPUTED_VALUE"""),1.620359641059333)</f>
        <v>1.620359641</v>
      </c>
      <c r="G79" s="17">
        <f>IFERROR(__xludf.DUMMYFUNCTION("""COMPUTED_VALUE"""),0.40802430374030746)</f>
        <v>0.4080243037</v>
      </c>
      <c r="H79" s="4"/>
      <c r="I79" s="5" t="s">
        <v>3306</v>
      </c>
      <c r="J79" s="5" t="s">
        <v>3278</v>
      </c>
      <c r="K79" s="5">
        <v>447.0</v>
      </c>
      <c r="L79" s="5">
        <v>-1.933744</v>
      </c>
      <c r="M79" s="5">
        <v>3.466984</v>
      </c>
      <c r="N79" s="5">
        <v>1.53324</v>
      </c>
      <c r="O79" s="5">
        <v>0.476417</v>
      </c>
    </row>
    <row r="80">
      <c r="A80" s="18" t="str">
        <f>IFERROR(__xludf.DUMMYFUNCTION("""COMPUTED_VALUE"""),"Malick Fall")</f>
        <v>Malick Fall</v>
      </c>
      <c r="B80" s="19" t="str">
        <f>IFERROR(__xludf.DUMMYFUNCTION("""COMPUTED_VALUE"""),"DRE")</f>
        <v>DRE</v>
      </c>
      <c r="C80" s="20">
        <f>IFERROR(__xludf.DUMMYFUNCTION("""COMPUTED_VALUE"""),446.5)</f>
        <v>446.5</v>
      </c>
      <c r="D80" s="21">
        <f>IFERROR(__xludf.DUMMYFUNCTION("""COMPUTED_VALUE"""),-1.9710798997610999)</f>
        <v>-1.9710799</v>
      </c>
      <c r="E80" s="21">
        <f>IFERROR(__xludf.DUMMYFUNCTION("""COMPUTED_VALUE"""),3.504319855610537)</f>
        <v>3.504319856</v>
      </c>
      <c r="F80" s="21">
        <f>IFERROR(__xludf.DUMMYFUNCTION("""COMPUTED_VALUE"""),1.5332399558494372)</f>
        <v>1.533239956</v>
      </c>
      <c r="G80" s="23">
        <f>IFERROR(__xludf.DUMMYFUNCTION("""COMPUTED_VALUE"""),0.47641732043636786)</f>
        <v>0.4764173204</v>
      </c>
      <c r="H80" s="4"/>
      <c r="I80" s="5" t="s">
        <v>3307</v>
      </c>
      <c r="J80" s="5" t="s">
        <v>3233</v>
      </c>
      <c r="K80" s="24">
        <v>616.0</v>
      </c>
      <c r="L80" s="5">
        <v>0.494672</v>
      </c>
      <c r="M80" s="5">
        <v>1.034351</v>
      </c>
      <c r="N80" s="5">
        <v>1.529023</v>
      </c>
      <c r="O80" s="5">
        <v>0.642772</v>
      </c>
    </row>
    <row r="81">
      <c r="A81" s="12" t="str">
        <f>IFERROR(__xludf.DUMMYFUNCTION("""COMPUTED_VALUE"""),"Alexander Blessig")</f>
        <v>Alexander Blessig</v>
      </c>
      <c r="B81" s="13" t="str">
        <f>IFERROR(__xludf.DUMMYFUNCTION("""COMPUTED_VALUE"""),"BAY")</f>
        <v>BAY</v>
      </c>
      <c r="C81" s="14">
        <f>IFERROR(__xludf.DUMMYFUNCTION("""COMPUTED_VALUE"""),575.6)</f>
        <v>575.6</v>
      </c>
      <c r="D81" s="15">
        <f>IFERROR(__xludf.DUMMYFUNCTION("""COMPUTED_VALUE"""),2.300351529305526)</f>
        <v>2.300351529</v>
      </c>
      <c r="E81" s="15">
        <f>IFERROR(__xludf.DUMMYFUNCTION("""COMPUTED_VALUE"""),-0.7832197915661958)</f>
        <v>-0.7832197916</v>
      </c>
      <c r="F81" s="15">
        <f>IFERROR(__xludf.DUMMYFUNCTION("""COMPUTED_VALUE"""),1.5171317377393303)</f>
        <v>1.517131738</v>
      </c>
      <c r="G81" s="17">
        <f>IFERROR(__xludf.DUMMYFUNCTION("""COMPUTED_VALUE"""),0.6145955510752118)</f>
        <v>0.6145955511</v>
      </c>
      <c r="H81" s="4"/>
      <c r="I81" s="5" t="s">
        <v>3308</v>
      </c>
      <c r="J81" s="5" t="s">
        <v>644</v>
      </c>
      <c r="K81" s="24">
        <v>576.0</v>
      </c>
      <c r="L81" s="5">
        <v>2.337688</v>
      </c>
      <c r="M81" s="5">
        <v>-0.820556</v>
      </c>
      <c r="N81" s="5">
        <v>1.517132</v>
      </c>
      <c r="O81" s="5">
        <v>0.614596</v>
      </c>
    </row>
    <row r="82">
      <c r="A82" s="18" t="str">
        <f>IFERROR(__xludf.DUMMYFUNCTION("""COMPUTED_VALUE"""),"Sebastian Heck")</f>
        <v>Sebastian Heck</v>
      </c>
      <c r="B82" s="19" t="str">
        <f>IFERROR(__xludf.DUMMYFUNCTION("""COMPUTED_VALUE"""),"DRE")</f>
        <v>DRE</v>
      </c>
      <c r="C82" s="20">
        <f>IFERROR(__xludf.DUMMYFUNCTION("""COMPUTED_VALUE"""),538.5)</f>
        <v>538.5</v>
      </c>
      <c r="D82" s="21">
        <f>IFERROR(__xludf.DUMMYFUNCTION("""COMPUTED_VALUE"""),-0.7749313152208916)</f>
        <v>-0.7749313152</v>
      </c>
      <c r="E82" s="21">
        <f>IFERROR(__xludf.DUMMYFUNCTION("""COMPUTED_VALUE"""),2.252583565963845)</f>
        <v>2.252583566</v>
      </c>
      <c r="F82" s="21">
        <f>IFERROR(__xludf.DUMMYFUNCTION("""COMPUTED_VALUE"""),1.4776522507429533)</f>
        <v>1.477652251</v>
      </c>
      <c r="G82" s="23">
        <f>IFERROR(__xludf.DUMMYFUNCTION("""COMPUTED_VALUE"""),0.5655419251653261)</f>
        <v>0.5655419252</v>
      </c>
      <c r="H82" s="4"/>
      <c r="I82" s="5" t="s">
        <v>3309</v>
      </c>
      <c r="J82" s="5" t="s">
        <v>3278</v>
      </c>
      <c r="K82" s="5">
        <v>539.0</v>
      </c>
      <c r="L82" s="5">
        <v>-0.737595</v>
      </c>
      <c r="M82" s="5">
        <v>2.215248</v>
      </c>
      <c r="N82" s="5">
        <v>1.477652</v>
      </c>
      <c r="O82" s="5">
        <v>0.565542</v>
      </c>
    </row>
    <row r="83">
      <c r="A83" s="12" t="str">
        <f>IFERROR(__xludf.DUMMYFUNCTION("""COMPUTED_VALUE"""),"Jonas Mattisseck")</f>
        <v>Jonas Mattisseck</v>
      </c>
      <c r="B83" s="13" t="str">
        <f>IFERROR(__xludf.DUMMYFUNCTION("""COMPUTED_VALUE"""),"SSV")</f>
        <v>SSV</v>
      </c>
      <c r="C83" s="14">
        <f>IFERROR(__xludf.DUMMYFUNCTION("""COMPUTED_VALUE"""),487.6)</f>
        <v>487.6</v>
      </c>
      <c r="D83" s="15">
        <f>IFERROR(__xludf.DUMMYFUNCTION("""COMPUTED_VALUE"""),1.3775677523968919)</f>
        <v>1.377567752</v>
      </c>
      <c r="E83" s="15">
        <f>IFERROR(__xludf.DUMMYFUNCTION("""COMPUTED_VALUE"""),0.008721730535680816)</f>
        <v>0.008721730536</v>
      </c>
      <c r="F83" s="15">
        <f>IFERROR(__xludf.DUMMYFUNCTION("""COMPUTED_VALUE"""),1.3862894829325727)</f>
        <v>1.386289483</v>
      </c>
      <c r="G83" s="17">
        <f>IFERROR(__xludf.DUMMYFUNCTION("""COMPUTED_VALUE"""),0.503831194799396)</f>
        <v>0.5038311948</v>
      </c>
      <c r="H83" s="4"/>
      <c r="I83" s="5" t="s">
        <v>830</v>
      </c>
      <c r="J83" s="5" t="s">
        <v>3226</v>
      </c>
      <c r="K83" s="5">
        <v>488.0</v>
      </c>
      <c r="L83" s="5">
        <v>1.414904</v>
      </c>
      <c r="M83" s="5">
        <v>-0.028614</v>
      </c>
      <c r="N83" s="5">
        <v>1.386289</v>
      </c>
      <c r="O83" s="5">
        <v>0.503831</v>
      </c>
    </row>
    <row r="84">
      <c r="A84" s="18" t="str">
        <f>IFERROR(__xludf.DUMMYFUNCTION("""COMPUTED_VALUE"""),"Julian Scott")</f>
        <v>Julian Scott</v>
      </c>
      <c r="B84" s="19" t="str">
        <f>IFERROR(__xludf.DUMMYFUNCTION("""COMPUTED_VALUE"""),"ISER")</f>
        <v>ISER</v>
      </c>
      <c r="C84" s="20">
        <f>IFERROR(__xludf.DUMMYFUNCTION("""COMPUTED_VALUE"""),741.0)</f>
        <v>741</v>
      </c>
      <c r="D84" s="21">
        <f>IFERROR(__xludf.DUMMYFUNCTION("""COMPUTED_VALUE"""),1.4444503146706325)</f>
        <v>1.444450315</v>
      </c>
      <c r="E84" s="21">
        <f>IFERROR(__xludf.DUMMYFUNCTION("""COMPUTED_VALUE"""),-0.09393229674886383)</f>
        <v>-0.09393229675</v>
      </c>
      <c r="F84" s="21">
        <f>IFERROR(__xludf.DUMMYFUNCTION("""COMPUTED_VALUE"""),1.3505180179217686)</f>
        <v>1.350518018</v>
      </c>
      <c r="G84" s="23">
        <f>IFERROR(__xludf.DUMMYFUNCTION("""COMPUTED_VALUE"""),0.7470591985247304)</f>
        <v>0.7470591985</v>
      </c>
      <c r="H84" s="4"/>
      <c r="I84" s="5" t="s">
        <v>3310</v>
      </c>
      <c r="J84" s="5" t="s">
        <v>3210</v>
      </c>
      <c r="K84" s="5">
        <v>741.0</v>
      </c>
      <c r="L84" s="5">
        <v>1.481786</v>
      </c>
      <c r="M84" s="5">
        <v>-0.131268</v>
      </c>
      <c r="N84" s="5">
        <v>1.350518</v>
      </c>
      <c r="O84" s="5">
        <v>0.747059</v>
      </c>
    </row>
    <row r="85">
      <c r="A85" s="12" t="str">
        <f>IFERROR(__xludf.DUMMYFUNCTION("""COMPUTED_VALUE"""),"David Ewald")</f>
        <v>David Ewald</v>
      </c>
      <c r="B85" s="13" t="str">
        <f>IFERROR(__xludf.DUMMYFUNCTION("""COMPUTED_VALUE"""),"SCHW")</f>
        <v>SCHW</v>
      </c>
      <c r="C85" s="14">
        <f>IFERROR(__xludf.DUMMYFUNCTION("""COMPUTED_VALUE"""),46.9)</f>
        <v>46.9</v>
      </c>
      <c r="D85" s="15">
        <f>IFERROR(__xludf.DUMMYFUNCTION("""COMPUTED_VALUE"""),1.5432069848436887)</f>
        <v>1.543206985</v>
      </c>
      <c r="E85" s="15">
        <f>IFERROR(__xludf.DUMMYFUNCTION("""COMPUTED_VALUE"""),-0.34547815752434174)</f>
        <v>-0.3454781575</v>
      </c>
      <c r="F85" s="15">
        <f>IFERROR(__xludf.DUMMYFUNCTION("""COMPUTED_VALUE"""),1.197728827319347)</f>
        <v>1.197728827</v>
      </c>
      <c r="G85" s="17">
        <f>IFERROR(__xludf.DUMMYFUNCTION("""COMPUTED_VALUE"""),0.045488598137653845)</f>
        <v>0.04548859814</v>
      </c>
      <c r="H85" s="4"/>
      <c r="I85" s="5" t="s">
        <v>3311</v>
      </c>
      <c r="J85" s="5" t="s">
        <v>3205</v>
      </c>
      <c r="K85" s="5">
        <v>47.0</v>
      </c>
      <c r="L85" s="5">
        <v>1.549044</v>
      </c>
      <c r="M85" s="5">
        <v>-0.351315</v>
      </c>
      <c r="N85" s="5">
        <v>1.197729</v>
      </c>
      <c r="O85" s="5">
        <v>0.045489</v>
      </c>
    </row>
    <row r="86">
      <c r="A86" s="18" t="str">
        <f>IFERROR(__xludf.DUMMYFUNCTION("""COMPUTED_VALUE"""),"Dennis Mavin")</f>
        <v>Dennis Mavin</v>
      </c>
      <c r="B86" s="19" t="str">
        <f>IFERROR(__xludf.DUMMYFUNCTION("""COMPUTED_VALUE"""),"GIES")</f>
        <v>GIES</v>
      </c>
      <c r="C86" s="20">
        <f>IFERROR(__xludf.DUMMYFUNCTION("""COMPUTED_VALUE"""),271.8)</f>
        <v>271.8</v>
      </c>
      <c r="D86" s="21">
        <f>IFERROR(__xludf.DUMMYFUNCTION("""COMPUTED_VALUE"""),2.1642315776712615)</f>
        <v>2.164231578</v>
      </c>
      <c r="E86" s="21">
        <f>IFERROR(__xludf.DUMMYFUNCTION("""COMPUTED_VALUE"""),-0.9905069127383832)</f>
        <v>-0.9905069127</v>
      </c>
      <c r="F86" s="21">
        <f>IFERROR(__xludf.DUMMYFUNCTION("""COMPUTED_VALUE"""),1.1737246649328783)</f>
        <v>1.173724665</v>
      </c>
      <c r="G86" s="23">
        <f>IFERROR(__xludf.DUMMYFUNCTION("""COMPUTED_VALUE"""),0.2596183648932044)</f>
        <v>0.2596183649</v>
      </c>
      <c r="H86" s="4"/>
      <c r="I86" s="5" t="s">
        <v>1075</v>
      </c>
      <c r="J86" s="5" t="s">
        <v>3217</v>
      </c>
      <c r="K86" s="24">
        <v>272.0</v>
      </c>
      <c r="L86" s="5">
        <v>2.198058</v>
      </c>
      <c r="M86" s="5">
        <v>-1.024333</v>
      </c>
      <c r="N86" s="5">
        <v>1.173725</v>
      </c>
      <c r="O86" s="5">
        <v>0.259618</v>
      </c>
    </row>
    <row r="87">
      <c r="A87" s="12" t="str">
        <f>IFERROR(__xludf.DUMMYFUNCTION("""COMPUTED_VALUE"""),"Haris Hujic")</f>
        <v>Haris Hujic</v>
      </c>
      <c r="B87" s="13" t="str">
        <f>IFERROR(__xludf.DUMMYFUNCTION("""COMPUTED_VALUE"""),"OTB")</f>
        <v>OTB</v>
      </c>
      <c r="C87" s="14">
        <f>IFERROR(__xludf.DUMMYFUNCTION("""COMPUTED_VALUE"""),584.3)</f>
        <v>584.3</v>
      </c>
      <c r="D87" s="15">
        <f>IFERROR(__xludf.DUMMYFUNCTION("""COMPUTED_VALUE"""),2.456400094628486)</f>
        <v>2.456400095</v>
      </c>
      <c r="E87" s="15">
        <f>IFERROR(__xludf.DUMMYFUNCTION("""COMPUTED_VALUE"""),-1.325657854486418)</f>
        <v>-1.325657854</v>
      </c>
      <c r="F87" s="15">
        <f>IFERROR(__xludf.DUMMYFUNCTION("""COMPUTED_VALUE"""),1.130742240142068)</f>
        <v>1.13074224</v>
      </c>
      <c r="G87" s="17">
        <f>IFERROR(__xludf.DUMMYFUNCTION("""COMPUTED_VALUE"""),0.5552012140991698)</f>
        <v>0.5552012141</v>
      </c>
      <c r="H87" s="4"/>
      <c r="I87" s="5" t="s">
        <v>1141</v>
      </c>
      <c r="J87" s="5" t="s">
        <v>3256</v>
      </c>
      <c r="K87" s="5">
        <v>584.0</v>
      </c>
      <c r="L87" s="5">
        <v>2.493736</v>
      </c>
      <c r="M87" s="5">
        <v>-1.362994</v>
      </c>
      <c r="N87" s="5">
        <v>1.130742</v>
      </c>
      <c r="O87" s="5">
        <v>0.555201</v>
      </c>
    </row>
    <row r="88">
      <c r="A88" s="18" t="str">
        <f>IFERROR(__xludf.DUMMYFUNCTION("""COMPUTED_VALUE"""),"Lamar Roberson")</f>
        <v>Lamar Roberson</v>
      </c>
      <c r="B88" s="19" t="str">
        <f>IFERROR(__xludf.DUMMYFUNCTION("""COMPUTED_VALUE"""),"ITZ")</f>
        <v>ITZ</v>
      </c>
      <c r="C88" s="20">
        <f>IFERROR(__xludf.DUMMYFUNCTION("""COMPUTED_VALUE"""),139.25)</f>
        <v>139.25</v>
      </c>
      <c r="D88" s="21">
        <f>IFERROR(__xludf.DUMMYFUNCTION("""COMPUTED_VALUE"""),-0.9470052969385335)</f>
        <v>-0.9470052969</v>
      </c>
      <c r="E88" s="21">
        <f>IFERROR(__xludf.DUMMYFUNCTION("""COMPUTED_VALUE"""),2.0386282698383527)</f>
        <v>2.03862827</v>
      </c>
      <c r="F88" s="21">
        <f>IFERROR(__xludf.DUMMYFUNCTION("""COMPUTED_VALUE"""),1.091622972899819)</f>
        <v>1.091622973</v>
      </c>
      <c r="G88" s="23">
        <f>IFERROR(__xludf.DUMMYFUNCTION("""COMPUTED_VALUE"""),0.12837093118563342)</f>
        <v>0.1283709312</v>
      </c>
      <c r="H88" s="4"/>
      <c r="I88" s="5" t="s">
        <v>3312</v>
      </c>
      <c r="J88" s="5" t="s">
        <v>3207</v>
      </c>
      <c r="K88" s="5">
        <v>139.0</v>
      </c>
      <c r="L88" s="5">
        <v>-0.912345</v>
      </c>
      <c r="M88" s="5">
        <v>2.003968</v>
      </c>
      <c r="N88" s="5">
        <v>1.091623</v>
      </c>
      <c r="O88" s="5">
        <v>0.128371</v>
      </c>
    </row>
    <row r="89">
      <c r="A89" s="12" t="str">
        <f>IFERROR(__xludf.DUMMYFUNCTION("""COMPUTED_VALUE"""),"Amar Gegic")</f>
        <v>Amar Gegic</v>
      </c>
      <c r="B89" s="13" t="str">
        <f>IFERROR(__xludf.DUMMYFUNCTION("""COMPUTED_VALUE"""),"MUNII")</f>
        <v>MUNII</v>
      </c>
      <c r="C89" s="14">
        <f>IFERROR(__xludf.DUMMYFUNCTION("""COMPUTED_VALUE"""),736.2)</f>
        <v>736.2</v>
      </c>
      <c r="D89" s="15">
        <f>IFERROR(__xludf.DUMMYFUNCTION("""COMPUTED_VALUE"""),-1.8026637418145812)</f>
        <v>-1.802663742</v>
      </c>
      <c r="E89" s="15">
        <f>IFERROR(__xludf.DUMMYFUNCTION("""COMPUTED_VALUE"""),2.7406250056640675)</f>
        <v>2.740625006</v>
      </c>
      <c r="F89" s="15">
        <f>IFERROR(__xludf.DUMMYFUNCTION("""COMPUTED_VALUE"""),0.9379612638494864)</f>
        <v>0.9379612638</v>
      </c>
      <c r="G89" s="17">
        <f>IFERROR(__xludf.DUMMYFUNCTION("""COMPUTED_VALUE"""),0.6595703250488321)</f>
        <v>0.659570325</v>
      </c>
      <c r="H89" s="4"/>
      <c r="I89" s="5" t="s">
        <v>926</v>
      </c>
      <c r="J89" s="5" t="s">
        <v>3240</v>
      </c>
      <c r="K89" s="24">
        <v>736.0</v>
      </c>
      <c r="L89" s="5">
        <v>-1.765328</v>
      </c>
      <c r="M89" s="5">
        <v>2.703289</v>
      </c>
      <c r="N89" s="5">
        <v>0.937961</v>
      </c>
      <c r="O89" s="5">
        <v>0.65957</v>
      </c>
    </row>
    <row r="90">
      <c r="A90" s="18" t="str">
        <f>IFERROR(__xludf.DUMMYFUNCTION("""COMPUTED_VALUE"""),"Stefan Fekete")</f>
        <v>Stefan Fekete</v>
      </c>
      <c r="B90" s="19" t="str">
        <f>IFERROR(__xludf.DUMMYFUNCTION("""COMPUTED_VALUE"""),"ELCH")</f>
        <v>ELCH</v>
      </c>
      <c r="C90" s="20">
        <f>IFERROR(__xludf.DUMMYFUNCTION("""COMPUTED_VALUE"""),629.2)</f>
        <v>629.2</v>
      </c>
      <c r="D90" s="21">
        <f>IFERROR(__xludf.DUMMYFUNCTION("""COMPUTED_VALUE"""),0.9348772313668889)</f>
        <v>0.9348772314</v>
      </c>
      <c r="E90" s="21">
        <f>IFERROR(__xludf.DUMMYFUNCTION("""COMPUTED_VALUE"""),-0.01917419443263757)</f>
        <v>-0.01917419443</v>
      </c>
      <c r="F90" s="21">
        <f>IFERROR(__xludf.DUMMYFUNCTION("""COMPUTED_VALUE"""),0.9157030369342514)</f>
        <v>0.9157030369</v>
      </c>
      <c r="G90" s="23">
        <f>IFERROR(__xludf.DUMMYFUNCTION("""COMPUTED_VALUE"""),0.5572189027033586)</f>
        <v>0.5572189027</v>
      </c>
      <c r="H90" s="4"/>
      <c r="I90" s="5" t="s">
        <v>3313</v>
      </c>
      <c r="J90" s="5" t="s">
        <v>3212</v>
      </c>
      <c r="K90" s="5">
        <v>629.0</v>
      </c>
      <c r="L90" s="5">
        <v>0.972213</v>
      </c>
      <c r="M90" s="5">
        <v>-0.05651</v>
      </c>
      <c r="N90" s="5">
        <v>0.915703</v>
      </c>
      <c r="O90" s="5">
        <v>0.557219</v>
      </c>
    </row>
    <row r="91">
      <c r="A91" s="12" t="str">
        <f>IFERROR(__xludf.DUMMYFUNCTION("""COMPUTED_VALUE"""),"Alexander Angerer")</f>
        <v>Alexander Angerer</v>
      </c>
      <c r="B91" s="13" t="str">
        <f>IFERROR(__xludf.DUMMYFUNCTION("""COMPUTED_VALUE"""),"AST")</f>
        <v>AST</v>
      </c>
      <c r="C91" s="14">
        <f>IFERROR(__xludf.DUMMYFUNCTION("""COMPUTED_VALUE"""),680.6)</f>
        <v>680.6</v>
      </c>
      <c r="D91" s="15">
        <f>IFERROR(__xludf.DUMMYFUNCTION("""COMPUTED_VALUE"""),-0.8123466040955636)</f>
        <v>-0.8123466041</v>
      </c>
      <c r="E91" s="15">
        <f>IFERROR(__xludf.DUMMYFUNCTION("""COMPUTED_VALUE"""),1.7279121029019036)</f>
        <v>1.727912103</v>
      </c>
      <c r="F91" s="15">
        <f>IFERROR(__xludf.DUMMYFUNCTION("""COMPUTED_VALUE"""),0.91556549880634)</f>
        <v>0.9155654988</v>
      </c>
      <c r="G91" s="17">
        <f>IFERROR(__xludf.DUMMYFUNCTION("""COMPUTED_VALUE"""),0.5944704526430895)</f>
        <v>0.5944704526</v>
      </c>
      <c r="H91" s="4"/>
      <c r="I91" s="5" t="s">
        <v>3314</v>
      </c>
      <c r="J91" s="5" t="s">
        <v>2838</v>
      </c>
      <c r="K91" s="5">
        <v>681.0</v>
      </c>
      <c r="L91" s="5">
        <v>-0.775011</v>
      </c>
      <c r="M91" s="5">
        <v>1.690576</v>
      </c>
      <c r="N91" s="5">
        <v>0.915565</v>
      </c>
      <c r="O91" s="5">
        <v>0.59447</v>
      </c>
    </row>
    <row r="92">
      <c r="A92" s="18" t="str">
        <f>IFERROR(__xludf.DUMMYFUNCTION("""COMPUTED_VALUE"""),"Kevin Wohlrath")</f>
        <v>Kevin Wohlrath</v>
      </c>
      <c r="B92" s="19" t="str">
        <f>IFERROR(__xludf.DUMMYFUNCTION("""COMPUTED_VALUE"""),"OTB")</f>
        <v>OTB</v>
      </c>
      <c r="C92" s="20">
        <f>IFERROR(__xludf.DUMMYFUNCTION("""COMPUTED_VALUE"""),576.8)</f>
        <v>576.8</v>
      </c>
      <c r="D92" s="21">
        <f>IFERROR(__xludf.DUMMYFUNCTION("""COMPUTED_VALUE"""),0.36861556845023324)</f>
        <v>0.3686155685</v>
      </c>
      <c r="E92" s="21">
        <f>IFERROR(__xludf.DUMMYFUNCTION("""COMPUTED_VALUE"""),0.49582356915745796)</f>
        <v>0.4958235692</v>
      </c>
      <c r="F92" s="21">
        <f>IFERROR(__xludf.DUMMYFUNCTION("""COMPUTED_VALUE"""),0.8644391376076912)</f>
        <v>0.8644391376</v>
      </c>
      <c r="G92" s="23">
        <f>IFERROR(__xludf.DUMMYFUNCTION("""COMPUTED_VALUE"""),0.5014551070406148)</f>
        <v>0.501455107</v>
      </c>
      <c r="H92" s="4"/>
      <c r="I92" s="5" t="s">
        <v>894</v>
      </c>
      <c r="J92" s="5" t="s">
        <v>3256</v>
      </c>
      <c r="K92" s="5">
        <v>577.0</v>
      </c>
      <c r="L92" s="5">
        <v>0.405952</v>
      </c>
      <c r="M92" s="5">
        <v>0.458488</v>
      </c>
      <c r="N92" s="5">
        <v>0.864439</v>
      </c>
      <c r="O92" s="5">
        <v>0.501455</v>
      </c>
    </row>
    <row r="93">
      <c r="A93" s="12" t="str">
        <f>IFERROR(__xludf.DUMMYFUNCTION("""COMPUTED_VALUE"""),"Travis Thompson")</f>
        <v>Travis Thompson</v>
      </c>
      <c r="B93" s="13" t="str">
        <f>IFERROR(__xludf.DUMMYFUNCTION("""COMPUTED_VALUE"""),"DRE")</f>
        <v>DRE</v>
      </c>
      <c r="C93" s="14">
        <f>IFERROR(__xludf.DUMMYFUNCTION("""COMPUTED_VALUE"""),394.4)</f>
        <v>394.4</v>
      </c>
      <c r="D93" s="15">
        <f>IFERROR(__xludf.DUMMYFUNCTION("""COMPUTED_VALUE"""),3.3789996021985123)</f>
        <v>3.378999602</v>
      </c>
      <c r="E93" s="15">
        <f>IFERROR(__xludf.DUMMYFUNCTION("""COMPUTED_VALUE"""),-2.6406131962070694)</f>
        <v>-2.640613196</v>
      </c>
      <c r="F93" s="15">
        <f>IFERROR(__xludf.DUMMYFUNCTION("""COMPUTED_VALUE"""),0.7383864059914427)</f>
        <v>0.738386406</v>
      </c>
      <c r="G93" s="17">
        <f>IFERROR(__xludf.DUMMYFUNCTION("""COMPUTED_VALUE"""),0.3261554067651934)</f>
        <v>0.3261554068</v>
      </c>
      <c r="H93" s="4"/>
      <c r="I93" s="5" t="s">
        <v>3315</v>
      </c>
      <c r="J93" s="5" t="s">
        <v>3278</v>
      </c>
      <c r="K93" s="5">
        <v>394.0</v>
      </c>
      <c r="L93" s="5">
        <v>3.416336</v>
      </c>
      <c r="M93" s="5">
        <v>-2.677949</v>
      </c>
      <c r="N93" s="5">
        <v>0.738386</v>
      </c>
      <c r="O93" s="5">
        <v>0.326155</v>
      </c>
    </row>
    <row r="94">
      <c r="A94" s="18" t="str">
        <f>IFERROR(__xludf.DUMMYFUNCTION("""COMPUTED_VALUE"""),"Chris Frazier")</f>
        <v>Chris Frazier</v>
      </c>
      <c r="B94" s="19" t="str">
        <f>IFERROR(__xludf.DUMMYFUNCTION("""COMPUTED_VALUE"""),"ROST")</f>
        <v>ROST</v>
      </c>
      <c r="C94" s="20">
        <f>IFERROR(__xludf.DUMMYFUNCTION("""COMPUTED_VALUE"""),1006.0)</f>
        <v>1006</v>
      </c>
      <c r="D94" s="21">
        <f>IFERROR(__xludf.DUMMYFUNCTION("""COMPUTED_VALUE"""),1.6397703471514369)</f>
        <v>1.639770347</v>
      </c>
      <c r="E94" s="21">
        <f>IFERROR(__xludf.DUMMYFUNCTION("""COMPUTED_VALUE"""),-0.9032363080072654)</f>
        <v>-0.903236308</v>
      </c>
      <c r="F94" s="21">
        <f>IFERROR(__xludf.DUMMYFUNCTION("""COMPUTED_VALUE"""),0.7365340391441715)</f>
        <v>0.7365340391</v>
      </c>
      <c r="G94" s="23">
        <f>IFERROR(__xludf.DUMMYFUNCTION("""COMPUTED_VALUE"""),0.8451518431420154)</f>
        <v>0.8451518431</v>
      </c>
      <c r="H94" s="4"/>
      <c r="I94" s="5" t="s">
        <v>3316</v>
      </c>
      <c r="J94" s="5" t="s">
        <v>3220</v>
      </c>
      <c r="K94" s="24">
        <v>1006.0</v>
      </c>
      <c r="L94" s="5">
        <v>1.677106</v>
      </c>
      <c r="M94" s="5">
        <v>-0.940572</v>
      </c>
      <c r="N94" s="5">
        <v>0.736534</v>
      </c>
      <c r="O94" s="5">
        <v>0.845152</v>
      </c>
    </row>
    <row r="95">
      <c r="A95" s="12" t="str">
        <f>IFERROR(__xludf.DUMMYFUNCTION("""COMPUTED_VALUE"""),"Marvin Ogunsipe")</f>
        <v>Marvin Ogunsipe</v>
      </c>
      <c r="B95" s="13" t="str">
        <f>IFERROR(__xludf.DUMMYFUNCTION("""COMPUTED_VALUE"""),"MUNII")</f>
        <v>MUNII</v>
      </c>
      <c r="C95" s="14">
        <f>IFERROR(__xludf.DUMMYFUNCTION("""COMPUTED_VALUE"""),880.8)</f>
        <v>880.8</v>
      </c>
      <c r="D95" s="15">
        <f>IFERROR(__xludf.DUMMYFUNCTION("""COMPUTED_VALUE"""),-0.6726509308499018)</f>
        <v>-0.6726509308</v>
      </c>
      <c r="E95" s="15">
        <f>IFERROR(__xludf.DUMMYFUNCTION("""COMPUTED_VALUE"""),1.3917314285469424)</f>
        <v>1.391731429</v>
      </c>
      <c r="F95" s="15">
        <f>IFERROR(__xludf.DUMMYFUNCTION("""COMPUTED_VALUE"""),0.7190804976970406)</f>
        <v>0.7190804977</v>
      </c>
      <c r="G95" s="17">
        <f>IFERROR(__xludf.DUMMYFUNCTION("""COMPUTED_VALUE"""),0.7303290912774373)</f>
        <v>0.7303290913</v>
      </c>
      <c r="H95" s="4"/>
      <c r="I95" s="5" t="s">
        <v>889</v>
      </c>
      <c r="J95" s="5" t="s">
        <v>3240</v>
      </c>
      <c r="K95" s="5">
        <v>881.0</v>
      </c>
      <c r="L95" s="5">
        <v>-0.635315</v>
      </c>
      <c r="M95" s="5">
        <v>1.354395</v>
      </c>
      <c r="N95" s="5">
        <v>0.71908</v>
      </c>
      <c r="O95" s="5">
        <v>0.730329</v>
      </c>
    </row>
    <row r="96">
      <c r="A96" s="18" t="str">
        <f>IFERROR(__xludf.DUMMYFUNCTION("""COMPUTED_VALUE"""),"Will Darley")</f>
        <v>Will Darley</v>
      </c>
      <c r="B96" s="19" t="str">
        <f>IFERROR(__xludf.DUMMYFUNCTION("""COMPUTED_VALUE"""),"RIST")</f>
        <v>RIST</v>
      </c>
      <c r="C96" s="20">
        <f>IFERROR(__xludf.DUMMYFUNCTION("""COMPUTED_VALUE"""),138.2)</f>
        <v>138.2</v>
      </c>
      <c r="D96" s="21">
        <f>IFERROR(__xludf.DUMMYFUNCTION("""COMPUTED_VALUE"""),1.1992827927497642)</f>
        <v>1.199282793</v>
      </c>
      <c r="E96" s="21">
        <f>IFERROR(__xludf.DUMMYFUNCTION("""COMPUTED_VALUE"""),-0.4955243282243277)</f>
        <v>-0.4955243282</v>
      </c>
      <c r="F96" s="21">
        <f>IFERROR(__xludf.DUMMYFUNCTION("""COMPUTED_VALUE"""),0.7037584645254366)</f>
        <v>0.7037584645</v>
      </c>
      <c r="G96" s="23">
        <f>IFERROR(__xludf.DUMMYFUNCTION("""COMPUTED_VALUE"""),0.11392899400102599)</f>
        <v>0.113928994</v>
      </c>
      <c r="H96" s="4"/>
      <c r="I96" s="5" t="s">
        <v>3108</v>
      </c>
      <c r="J96" s="5" t="s">
        <v>3281</v>
      </c>
      <c r="K96" s="24">
        <v>138.0</v>
      </c>
      <c r="L96" s="5">
        <v>1.216482</v>
      </c>
      <c r="M96" s="5">
        <v>-0.512724</v>
      </c>
      <c r="N96" s="5">
        <v>0.703758</v>
      </c>
      <c r="O96" s="5">
        <v>0.113929</v>
      </c>
    </row>
    <row r="97">
      <c r="A97" s="12" t="str">
        <f>IFERROR(__xludf.DUMMYFUNCTION("""COMPUTED_VALUE"""),"Henri Vaihinger")</f>
        <v>Henri Vaihinger</v>
      </c>
      <c r="B97" s="13" t="str">
        <f>IFERROR(__xludf.DUMMYFUNCTION("""COMPUTED_VALUE"""),"ISER")</f>
        <v>ISER</v>
      </c>
      <c r="C97" s="14">
        <f>IFERROR(__xludf.DUMMYFUNCTION("""COMPUTED_VALUE"""),4.7)</f>
        <v>4.7</v>
      </c>
      <c r="D97" s="15">
        <f>IFERROR(__xludf.DUMMYFUNCTION("""COMPUTED_VALUE"""),0.2304691589870933)</f>
        <v>0.230469159</v>
      </c>
      <c r="E97" s="15">
        <f>IFERROR(__xludf.DUMMYFUNCTION("""COMPUTED_VALUE"""),0.3762600889814598)</f>
        <v>0.376260089</v>
      </c>
      <c r="F97" s="15">
        <f>IFERROR(__xludf.DUMMYFUNCTION("""COMPUTED_VALUE"""),0.6067292479685531)</f>
        <v>0.606729248</v>
      </c>
      <c r="G97" s="17">
        <f>IFERROR(__xludf.DUMMYFUNCTION("""COMPUTED_VALUE"""),0.003686537318627776)</f>
        <v>0.003686537319</v>
      </c>
      <c r="H97" s="4"/>
      <c r="I97" s="5" t="s">
        <v>3317</v>
      </c>
      <c r="J97" s="5" t="s">
        <v>3210</v>
      </c>
      <c r="K97" s="5">
        <v>5.0</v>
      </c>
      <c r="L97" s="5">
        <v>0.231054</v>
      </c>
      <c r="M97" s="5">
        <v>0.375675</v>
      </c>
      <c r="N97" s="5">
        <v>0.606729</v>
      </c>
      <c r="O97" s="5">
        <v>0.003687</v>
      </c>
    </row>
    <row r="98">
      <c r="A98" s="18" t="str">
        <f>IFERROR(__xludf.DUMMYFUNCTION("""COMPUTED_VALUE"""),"Nikita Khartchenkov")</f>
        <v>Nikita Khartchenkov</v>
      </c>
      <c r="B98" s="19" t="str">
        <f>IFERROR(__xludf.DUMMYFUNCTION("""COMPUTED_VALUE"""),"ISER")</f>
        <v>ISER</v>
      </c>
      <c r="C98" s="20">
        <f>IFERROR(__xludf.DUMMYFUNCTION("""COMPUTED_VALUE"""),628.7)</f>
        <v>628.7</v>
      </c>
      <c r="D98" s="21">
        <f>IFERROR(__xludf.DUMMYFUNCTION("""COMPUTED_VALUE"""),2.8207711739839)</f>
        <v>2.820771174</v>
      </c>
      <c r="E98" s="21">
        <f>IFERROR(__xludf.DUMMYFUNCTION("""COMPUTED_VALUE"""),-2.2530292214945433)</f>
        <v>-2.253029221</v>
      </c>
      <c r="F98" s="21">
        <f>IFERROR(__xludf.DUMMYFUNCTION("""COMPUTED_VALUE"""),0.5677419524893565)</f>
        <v>0.5677419525</v>
      </c>
      <c r="G98" s="23">
        <f>IFERROR(__xludf.DUMMYFUNCTION("""COMPUTED_VALUE"""),0.48575769486448284)</f>
        <v>0.4857576949</v>
      </c>
      <c r="H98" s="4"/>
      <c r="I98" s="5" t="s">
        <v>3318</v>
      </c>
      <c r="J98" s="5" t="s">
        <v>3210</v>
      </c>
      <c r="K98" s="24">
        <v>629.0</v>
      </c>
      <c r="L98" s="5">
        <v>2.858107</v>
      </c>
      <c r="M98" s="5">
        <v>-2.290365</v>
      </c>
      <c r="N98" s="5">
        <v>0.567742</v>
      </c>
      <c r="O98" s="5">
        <v>0.485758</v>
      </c>
    </row>
    <row r="99">
      <c r="A99" s="12" t="str">
        <f>IFERROR(__xludf.DUMMYFUNCTION("""COMPUTED_VALUE"""),"C.J. Oldham")</f>
        <v>C.J. Oldham</v>
      </c>
      <c r="B99" s="13" t="str">
        <f>IFERROR(__xludf.DUMMYFUNCTION("""COMPUTED_VALUE"""),"BAY")</f>
        <v>BAY</v>
      </c>
      <c r="C99" s="14">
        <f>IFERROR(__xludf.DUMMYFUNCTION("""COMPUTED_VALUE"""),593.0)</f>
        <v>593</v>
      </c>
      <c r="D99" s="15">
        <f>IFERROR(__xludf.DUMMYFUNCTION("""COMPUTED_VALUE"""),0.5822329709059408)</f>
        <v>0.5822329709</v>
      </c>
      <c r="E99" s="15">
        <f>IFERROR(__xludf.DUMMYFUNCTION("""COMPUTED_VALUE"""),-0.026930382204437775)</f>
        <v>-0.0269303822</v>
      </c>
      <c r="F99" s="15">
        <f>IFERROR(__xludf.DUMMYFUNCTION("""COMPUTED_VALUE"""),0.5553025887015031)</f>
        <v>0.5553025887</v>
      </c>
      <c r="G99" s="17">
        <f>IFERROR(__xludf.DUMMYFUNCTION("""COMPUTED_VALUE"""),0.4600203241204636)</f>
        <v>0.4600203241</v>
      </c>
      <c r="H99" s="4"/>
      <c r="I99" s="5" t="s">
        <v>3319</v>
      </c>
      <c r="J99" s="5" t="s">
        <v>644</v>
      </c>
      <c r="K99" s="24">
        <v>593.0</v>
      </c>
      <c r="L99" s="5">
        <v>0.619569</v>
      </c>
      <c r="M99" s="5">
        <v>-0.064266</v>
      </c>
      <c r="N99" s="5">
        <v>0.555303</v>
      </c>
      <c r="O99" s="5">
        <v>0.46002</v>
      </c>
    </row>
    <row r="100">
      <c r="A100" s="18" t="str">
        <f>IFERROR(__xludf.DUMMYFUNCTION("""COMPUTED_VALUE"""),"Melvin Nyamekye Papenful")</f>
        <v>Melvin Nyamekye Papenful</v>
      </c>
      <c r="B100" s="19" t="str">
        <f>IFERROR(__xludf.DUMMYFUNCTION("""COMPUTED_VALUE"""),"OTB")</f>
        <v>OTB</v>
      </c>
      <c r="C100" s="20">
        <f>IFERROR(__xludf.DUMMYFUNCTION("""COMPUTED_VALUE"""),4.5)</f>
        <v>4.5</v>
      </c>
      <c r="D100" s="21">
        <f>IFERROR(__xludf.DUMMYFUNCTION("""COMPUTED_VALUE"""),-0.014170753189064526)</f>
        <v>-0.01417075319</v>
      </c>
      <c r="E100" s="21">
        <f>IFERROR(__xludf.DUMMYFUNCTION("""COMPUTED_VALUE"""),0.5489604676658355)</f>
        <v>0.5489604677</v>
      </c>
      <c r="F100" s="21">
        <f>IFERROR(__xludf.DUMMYFUNCTION("""COMPUTED_VALUE"""),0.5347897144767709)</f>
        <v>0.5347897145</v>
      </c>
      <c r="G100" s="23">
        <f>IFERROR(__xludf.DUMMYFUNCTION("""COMPUTED_VALUE"""),0.0034619569097870473)</f>
        <v>0.00346195691</v>
      </c>
      <c r="H100" s="4"/>
      <c r="I100" s="5" t="s">
        <v>3320</v>
      </c>
      <c r="J100" s="5" t="s">
        <v>3256</v>
      </c>
      <c r="K100" s="5">
        <v>5.0</v>
      </c>
      <c r="L100" s="5">
        <v>-0.013611</v>
      </c>
      <c r="M100" s="5">
        <v>0.5484</v>
      </c>
      <c r="N100" s="5">
        <v>0.53479</v>
      </c>
      <c r="O100" s="5">
        <v>0.003462</v>
      </c>
    </row>
    <row r="101">
      <c r="A101" s="12" t="str">
        <f>IFERROR(__xludf.DUMMYFUNCTION("""COMPUTED_VALUE"""),"Karlo Rozic")</f>
        <v>Karlo Rozic</v>
      </c>
      <c r="B101" s="13" t="str">
        <f>IFERROR(__xludf.DUMMYFUNCTION("""COMPUTED_VALUE"""),"ELCH")</f>
        <v>ELCH</v>
      </c>
      <c r="C101" s="14">
        <f>IFERROR(__xludf.DUMMYFUNCTION("""COMPUTED_VALUE"""),109.7)</f>
        <v>109.7</v>
      </c>
      <c r="D101" s="15">
        <f>IFERROR(__xludf.DUMMYFUNCTION("""COMPUTED_VALUE"""),0.18738422791949338)</f>
        <v>0.1873842279</v>
      </c>
      <c r="E101" s="15">
        <f>IFERROR(__xludf.DUMMYFUNCTION("""COMPUTED_VALUE"""),0.3458406380110013)</f>
        <v>0.345840638</v>
      </c>
      <c r="F101" s="15">
        <f>IFERROR(__xludf.DUMMYFUNCTION("""COMPUTED_VALUE"""),0.5332248659304947)</f>
        <v>0.5332248659</v>
      </c>
      <c r="G101" s="17">
        <f>IFERROR(__xludf.DUMMYFUNCTION("""COMPUTED_VALUE"""),0.0844061725772957)</f>
        <v>0.08440617258</v>
      </c>
      <c r="H101" s="4"/>
      <c r="I101" s="5" t="s">
        <v>3321</v>
      </c>
      <c r="J101" s="5" t="s">
        <v>3212</v>
      </c>
      <c r="K101" s="5">
        <v>110.0</v>
      </c>
      <c r="L101" s="5">
        <v>0.201037</v>
      </c>
      <c r="M101" s="5">
        <v>0.332188</v>
      </c>
      <c r="N101" s="5">
        <v>0.533225</v>
      </c>
      <c r="O101" s="5">
        <v>0.084406</v>
      </c>
    </row>
    <row r="102">
      <c r="A102" s="18" t="str">
        <f>IFERROR(__xludf.DUMMYFUNCTION("""COMPUTED_VALUE"""),"Tim Uhlemann")</f>
        <v>Tim Uhlemann</v>
      </c>
      <c r="B102" s="19" t="str">
        <f>IFERROR(__xludf.DUMMYFUNCTION("""COMPUTED_VALUE"""),"GIES")</f>
        <v>GIES</v>
      </c>
      <c r="C102" s="20">
        <f>IFERROR(__xludf.DUMMYFUNCTION("""COMPUTED_VALUE"""),63.7)</f>
        <v>63.7</v>
      </c>
      <c r="D102" s="21">
        <f>IFERROR(__xludf.DUMMYFUNCTION("""COMPUTED_VALUE"""),0.7024715387036683)</f>
        <v>0.7024715387</v>
      </c>
      <c r="E102" s="21">
        <f>IFERROR(__xludf.DUMMYFUNCTION("""COMPUTED_VALUE"""),-0.1728297888315824)</f>
        <v>-0.1728297888</v>
      </c>
      <c r="F102" s="21">
        <f>IFERROR(__xludf.DUMMYFUNCTION("""COMPUTED_VALUE"""),0.5296417498720859)</f>
        <v>0.5296417499</v>
      </c>
      <c r="G102" s="23">
        <f>IFERROR(__xludf.DUMMYFUNCTION("""COMPUTED_VALUE"""),0.04849703231973729)</f>
        <v>0.04849703232</v>
      </c>
      <c r="H102" s="4"/>
      <c r="I102" s="5" t="s">
        <v>3322</v>
      </c>
      <c r="J102" s="5" t="s">
        <v>3217</v>
      </c>
      <c r="K102" s="5">
        <v>64.0</v>
      </c>
      <c r="L102" s="5">
        <v>0.710399</v>
      </c>
      <c r="M102" s="5">
        <v>-0.180757</v>
      </c>
      <c r="N102" s="5">
        <v>0.529642</v>
      </c>
      <c r="O102" s="5">
        <v>0.048497</v>
      </c>
    </row>
    <row r="103">
      <c r="A103" s="12" t="str">
        <f>IFERROR(__xludf.DUMMYFUNCTION("""COMPUTED_VALUE"""),"Karlis Apsitis")</f>
        <v>Karlis Apsitis</v>
      </c>
      <c r="B103" s="13" t="str">
        <f>IFERROR(__xludf.DUMMYFUNCTION("""COMPUTED_VALUE"""),"AKAD")</f>
        <v>AKAD</v>
      </c>
      <c r="C103" s="14">
        <f>IFERROR(__xludf.DUMMYFUNCTION("""COMPUTED_VALUE"""),251.6)</f>
        <v>251.6</v>
      </c>
      <c r="D103" s="15">
        <f>IFERROR(__xludf.DUMMYFUNCTION("""COMPUTED_VALUE"""),2.703899816809173)</f>
        <v>2.703899817</v>
      </c>
      <c r="E103" s="15">
        <f>IFERROR(__xludf.DUMMYFUNCTION("""COMPUTED_VALUE"""),-2.178874668603606)</f>
        <v>-2.178874669</v>
      </c>
      <c r="F103" s="15">
        <f>IFERROR(__xludf.DUMMYFUNCTION("""COMPUTED_VALUE"""),0.525025148205567)</f>
        <v>0.5250251482</v>
      </c>
      <c r="G103" s="17">
        <f>IFERROR(__xludf.DUMMYFUNCTION("""COMPUTED_VALUE"""),0.193077641401704)</f>
        <v>0.1930776414</v>
      </c>
      <c r="H103" s="4"/>
      <c r="I103" s="5" t="s">
        <v>2598</v>
      </c>
      <c r="J103" s="5" t="s">
        <v>3223</v>
      </c>
      <c r="K103" s="24">
        <v>252.0</v>
      </c>
      <c r="L103" s="5">
        <v>2.735212</v>
      </c>
      <c r="M103" s="5">
        <v>-2.210187</v>
      </c>
      <c r="N103" s="5">
        <v>0.525025</v>
      </c>
      <c r="O103" s="5">
        <v>0.193078</v>
      </c>
    </row>
    <row r="104">
      <c r="A104" s="18" t="str">
        <f>IFERROR(__xludf.DUMMYFUNCTION("""COMPUTED_VALUE"""),"Marian Schick")</f>
        <v>Marian Schick</v>
      </c>
      <c r="B104" s="19" t="str">
        <f>IFERROR(__xludf.DUMMYFUNCTION("""COMPUTED_VALUE"""),"GIES")</f>
        <v>GIES</v>
      </c>
      <c r="C104" s="20">
        <f>IFERROR(__xludf.DUMMYFUNCTION("""COMPUTED_VALUE"""),530.6)</f>
        <v>530.6</v>
      </c>
      <c r="D104" s="21">
        <f>IFERROR(__xludf.DUMMYFUNCTION("""COMPUTED_VALUE"""),-0.847803612832336)</f>
        <v>-0.8478036128</v>
      </c>
      <c r="E104" s="21">
        <f>IFERROR(__xludf.DUMMYFUNCTION("""COMPUTED_VALUE"""),1.3681173813560639)</f>
        <v>1.368117381</v>
      </c>
      <c r="F104" s="21">
        <f>IFERROR(__xludf.DUMMYFUNCTION("""COMPUTED_VALUE"""),0.5203137685237278)</f>
        <v>0.5203137685</v>
      </c>
      <c r="G104" s="23">
        <f>IFERROR(__xludf.DUMMYFUNCTION("""COMPUTED_VALUE"""),0.40247468446135914)</f>
        <v>0.4024746845</v>
      </c>
      <c r="H104" s="4"/>
      <c r="I104" s="5" t="s">
        <v>3323</v>
      </c>
      <c r="J104" s="5" t="s">
        <v>3217</v>
      </c>
      <c r="K104" s="5">
        <v>531.0</v>
      </c>
      <c r="L104" s="5">
        <v>-0.810468</v>
      </c>
      <c r="M104" s="5">
        <v>1.330781</v>
      </c>
      <c r="N104" s="5">
        <v>0.520314</v>
      </c>
      <c r="O104" s="5">
        <v>0.402475</v>
      </c>
    </row>
    <row r="105">
      <c r="A105" s="12" t="str">
        <f>IFERROR(__xludf.DUMMYFUNCTION("""COMPUTED_VALUE"""),"Marco Buljevic")</f>
        <v>Marco Buljevic</v>
      </c>
      <c r="B105" s="13" t="str">
        <f>IFERROR(__xludf.DUMMYFUNCTION("""COMPUTED_VALUE"""),"AST")</f>
        <v>AST</v>
      </c>
      <c r="C105" s="14">
        <f>IFERROR(__xludf.DUMMYFUNCTION("""COMPUTED_VALUE"""),500.6)</f>
        <v>500.6</v>
      </c>
      <c r="D105" s="15">
        <f>IFERROR(__xludf.DUMMYFUNCTION("""COMPUTED_VALUE"""),3.2353479895449664)</f>
        <v>3.23534799</v>
      </c>
      <c r="E105" s="15">
        <f>IFERROR(__xludf.DUMMYFUNCTION("""COMPUTED_VALUE"""),-2.7193973061277106)</f>
        <v>-2.719397306</v>
      </c>
      <c r="F105" s="15">
        <f>IFERROR(__xludf.DUMMYFUNCTION("""COMPUTED_VALUE"""),0.515950683417256)</f>
        <v>0.5159506834</v>
      </c>
      <c r="G105" s="17">
        <f>IFERROR(__xludf.DUMMYFUNCTION("""COMPUTED_VALUE"""),0.377318844334297)</f>
        <v>0.3773188443</v>
      </c>
      <c r="H105" s="4"/>
      <c r="I105" s="5" t="s">
        <v>3324</v>
      </c>
      <c r="J105" s="5" t="s">
        <v>2838</v>
      </c>
      <c r="K105" s="5">
        <v>501.0</v>
      </c>
      <c r="L105" s="5">
        <v>3.272684</v>
      </c>
      <c r="M105" s="5">
        <v>-2.756733</v>
      </c>
      <c r="N105" s="5">
        <v>0.515951</v>
      </c>
      <c r="O105" s="5">
        <v>0.377319</v>
      </c>
    </row>
    <row r="106">
      <c r="A106" s="18" t="str">
        <f>IFERROR(__xludf.DUMMYFUNCTION("""COMPUTED_VALUE"""),"Christopher Wolf")</f>
        <v>Christopher Wolf</v>
      </c>
      <c r="B106" s="19" t="str">
        <f>IFERROR(__xludf.DUMMYFUNCTION("""COMPUTED_VALUE"""),"COBU")</f>
        <v>COBU</v>
      </c>
      <c r="C106" s="20">
        <f>IFERROR(__xludf.DUMMYFUNCTION("""COMPUTED_VALUE"""),609.4)</f>
        <v>609.4</v>
      </c>
      <c r="D106" s="21">
        <f>IFERROR(__xludf.DUMMYFUNCTION("""COMPUTED_VALUE"""),1.6340820242330754)</f>
        <v>1.634082024</v>
      </c>
      <c r="E106" s="21">
        <f>IFERROR(__xludf.DUMMYFUNCTION("""COMPUTED_VALUE"""),-1.1611168272492813)</f>
        <v>-1.161116827</v>
      </c>
      <c r="F106" s="21">
        <f>IFERROR(__xludf.DUMMYFUNCTION("""COMPUTED_VALUE"""),0.4729651969837939)</f>
        <v>0.472965197</v>
      </c>
      <c r="G106" s="23">
        <f>IFERROR(__xludf.DUMMYFUNCTION("""COMPUTED_VALUE"""),0.4578319003720433)</f>
        <v>0.4578319004</v>
      </c>
      <c r="H106" s="4"/>
      <c r="I106" s="5" t="s">
        <v>3325</v>
      </c>
      <c r="J106" s="5" t="s">
        <v>3251</v>
      </c>
      <c r="K106" s="5">
        <v>609.0</v>
      </c>
      <c r="L106" s="5">
        <v>1.671418</v>
      </c>
      <c r="M106" s="5">
        <v>-1.198453</v>
      </c>
      <c r="N106" s="5">
        <v>0.472965</v>
      </c>
      <c r="O106" s="5">
        <v>0.457832</v>
      </c>
    </row>
    <row r="107">
      <c r="A107" s="12" t="str">
        <f>IFERROR(__xludf.DUMMYFUNCTION("""COMPUTED_VALUE"""),"Steffen Kiese")</f>
        <v>Steffen Kiese</v>
      </c>
      <c r="B107" s="13" t="str">
        <f>IFERROR(__xludf.DUMMYFUNCTION("""COMPUTED_VALUE"""),"RIST")</f>
        <v>RIST</v>
      </c>
      <c r="C107" s="14">
        <f>IFERROR(__xludf.DUMMYFUNCTION("""COMPUTED_VALUE"""),597.7)</f>
        <v>597.7</v>
      </c>
      <c r="D107" s="15">
        <f>IFERROR(__xludf.DUMMYFUNCTION("""COMPUTED_VALUE"""),-0.5421521030913091)</f>
        <v>-0.5421521031</v>
      </c>
      <c r="E107" s="15">
        <f>IFERROR(__xludf.DUMMYFUNCTION("""COMPUTED_VALUE"""),1.0029579219589302)</f>
        <v>1.002957922</v>
      </c>
      <c r="F107" s="15">
        <f>IFERROR(__xludf.DUMMYFUNCTION("""COMPUTED_VALUE"""),0.46080581886762106)</f>
        <v>0.4608058189</v>
      </c>
      <c r="G107" s="17">
        <f>IFERROR(__xludf.DUMMYFUNCTION("""COMPUTED_VALUE"""),0.4484550597278184)</f>
        <v>0.4484550597</v>
      </c>
      <c r="H107" s="4"/>
      <c r="I107" s="5" t="s">
        <v>3326</v>
      </c>
      <c r="J107" s="5" t="s">
        <v>3281</v>
      </c>
      <c r="K107" s="5">
        <v>598.0</v>
      </c>
      <c r="L107" s="5">
        <v>-0.504816</v>
      </c>
      <c r="M107" s="5">
        <v>0.965622</v>
      </c>
      <c r="N107" s="5">
        <v>0.460806</v>
      </c>
      <c r="O107" s="5">
        <v>0.448455</v>
      </c>
    </row>
    <row r="108">
      <c r="A108" s="18" t="str">
        <f>IFERROR(__xludf.DUMMYFUNCTION("""COMPUTED_VALUE"""),"Maximillion Begue")</f>
        <v>Maximillion Begue</v>
      </c>
      <c r="B108" s="19" t="str">
        <f>IFERROR(__xludf.DUMMYFUNCTION("""COMPUTED_VALUE"""),"JR")</f>
        <v>JR</v>
      </c>
      <c r="C108" s="20">
        <f>IFERROR(__xludf.DUMMYFUNCTION("""COMPUTED_VALUE"""),43.2)</f>
        <v>43.2</v>
      </c>
      <c r="D108" s="21">
        <f>IFERROR(__xludf.DUMMYFUNCTION("""COMPUTED_VALUE"""),0.6809478952453439)</f>
        <v>0.6809478952</v>
      </c>
      <c r="E108" s="21">
        <f>IFERROR(__xludf.DUMMYFUNCTION("""COMPUTED_VALUE"""),-0.22742980360317744)</f>
        <v>-0.2274298036</v>
      </c>
      <c r="F108" s="21">
        <f>IFERROR(__xludf.DUMMYFUNCTION("""COMPUTED_VALUE"""),0.4535180916421665)</f>
        <v>0.4535180916</v>
      </c>
      <c r="G108" s="23">
        <f>IFERROR(__xludf.DUMMYFUNCTION("""COMPUTED_VALUE"""),0.031856531599664395)</f>
        <v>0.0318565316</v>
      </c>
      <c r="H108" s="4"/>
      <c r="I108" s="5" t="s">
        <v>3327</v>
      </c>
      <c r="J108" s="5" t="s">
        <v>3263</v>
      </c>
      <c r="K108" s="5">
        <v>43.0</v>
      </c>
      <c r="L108" s="5">
        <v>0.686324</v>
      </c>
      <c r="M108" s="5">
        <v>-0.232806</v>
      </c>
      <c r="N108" s="5">
        <v>0.453518</v>
      </c>
      <c r="O108" s="5">
        <v>0.031857</v>
      </c>
    </row>
    <row r="109">
      <c r="A109" s="12" t="str">
        <f>IFERROR(__xludf.DUMMYFUNCTION("""COMPUTED_VALUE"""),"Helge Baues")</f>
        <v>Helge Baues</v>
      </c>
      <c r="B109" s="13" t="str">
        <f>IFERROR(__xludf.DUMMYFUNCTION("""COMPUTED_VALUE"""),"DRE")</f>
        <v>DRE</v>
      </c>
      <c r="C109" s="14">
        <f>IFERROR(__xludf.DUMMYFUNCTION("""COMPUTED_VALUE"""),789.5)</f>
        <v>789.5</v>
      </c>
      <c r="D109" s="15">
        <f>IFERROR(__xludf.DUMMYFUNCTION("""COMPUTED_VALUE"""),0.7319666808978612)</f>
        <v>0.7319666809</v>
      </c>
      <c r="E109" s="15">
        <f>IFERROR(__xludf.DUMMYFUNCTION("""COMPUTED_VALUE"""),-0.2848272838124831)</f>
        <v>-0.2848272838</v>
      </c>
      <c r="F109" s="15">
        <f>IFERROR(__xludf.DUMMYFUNCTION("""COMPUTED_VALUE"""),0.4471393970853781)</f>
        <v>0.4471393971</v>
      </c>
      <c r="G109" s="17">
        <f>IFERROR(__xludf.DUMMYFUNCTION("""COMPUTED_VALUE"""),0.583450194707894)</f>
        <v>0.5834501947</v>
      </c>
      <c r="H109" s="4"/>
      <c r="I109" s="5" t="s">
        <v>3328</v>
      </c>
      <c r="J109" s="5" t="s">
        <v>3278</v>
      </c>
      <c r="K109" s="5">
        <v>790.0</v>
      </c>
      <c r="L109" s="5">
        <v>0.769303</v>
      </c>
      <c r="M109" s="5">
        <v>-0.322163</v>
      </c>
      <c r="N109" s="5">
        <v>0.447139</v>
      </c>
      <c r="O109" s="5">
        <v>0.58345</v>
      </c>
    </row>
    <row r="110">
      <c r="A110" s="18" t="str">
        <f>IFERROR(__xludf.DUMMYFUNCTION("""COMPUTED_VALUE"""),"Bennet Hundt")</f>
        <v>Bennet Hundt</v>
      </c>
      <c r="B110" s="19" t="str">
        <f>IFERROR(__xludf.DUMMYFUNCTION("""COMPUTED_VALUE"""),"SSV")</f>
        <v>SSV</v>
      </c>
      <c r="C110" s="20">
        <f>IFERROR(__xludf.DUMMYFUNCTION("""COMPUTED_VALUE"""),271.2)</f>
        <v>271.2</v>
      </c>
      <c r="D110" s="21">
        <f>IFERROR(__xludf.DUMMYFUNCTION("""COMPUTED_VALUE"""),2.136745333387353)</f>
        <v>2.136745333</v>
      </c>
      <c r="E110" s="21">
        <f>IFERROR(__xludf.DUMMYFUNCTION("""COMPUTED_VALUE"""),-1.6967051112022884)</f>
        <v>-1.696705111</v>
      </c>
      <c r="F110" s="21">
        <f>IFERROR(__xludf.DUMMYFUNCTION("""COMPUTED_VALUE"""),0.4400402221850647)</f>
        <v>0.4400402222</v>
      </c>
      <c r="G110" s="23">
        <f>IFERROR(__xludf.DUMMYFUNCTION("""COMPUTED_VALUE"""),0.20192214231462635)</f>
        <v>0.2019221423</v>
      </c>
      <c r="H110" s="4"/>
      <c r="I110" s="5" t="s">
        <v>1006</v>
      </c>
      <c r="J110" s="5" t="s">
        <v>3226</v>
      </c>
      <c r="K110" s="24">
        <v>271.0</v>
      </c>
      <c r="L110" s="5">
        <v>2.170497</v>
      </c>
      <c r="M110" s="5">
        <v>-1.730457</v>
      </c>
      <c r="N110" s="5">
        <v>0.44004</v>
      </c>
      <c r="O110" s="5">
        <v>0.201922</v>
      </c>
    </row>
    <row r="111">
      <c r="A111" s="12" t="str">
        <f>IFERROR(__xludf.DUMMYFUNCTION("""COMPUTED_VALUE"""),"Lars Kamp")</f>
        <v>Lars Kamp</v>
      </c>
      <c r="B111" s="13" t="str">
        <f>IFERROR(__xludf.DUMMYFUNCTION("""COMPUTED_VALUE"""),"RIST")</f>
        <v>RIST</v>
      </c>
      <c r="C111" s="14">
        <f>IFERROR(__xludf.DUMMYFUNCTION("""COMPUTED_VALUE"""),27.9)</f>
        <v>27.9</v>
      </c>
      <c r="D111" s="15">
        <f>IFERROR(__xludf.DUMMYFUNCTION("""COMPUTED_VALUE"""),0.48210578456584946)</f>
        <v>0.4821057846</v>
      </c>
      <c r="E111" s="15">
        <f>IFERROR(__xludf.DUMMYFUNCTION("""COMPUTED_VALUE"""),-0.0825378568667331)</f>
        <v>-0.08253785687</v>
      </c>
      <c r="F111" s="15">
        <f>IFERROR(__xludf.DUMMYFUNCTION("""COMPUTED_VALUE"""),0.39956792769911637)</f>
        <v>0.3995679277</v>
      </c>
      <c r="G111" s="17">
        <f>IFERROR(__xludf.DUMMYFUNCTION("""COMPUTED_VALUE"""),0.020412470932080613)</f>
        <v>0.02041247093</v>
      </c>
      <c r="H111" s="4"/>
      <c r="I111" s="5" t="s">
        <v>3221</v>
      </c>
      <c r="J111" s="5" t="s">
        <v>3281</v>
      </c>
      <c r="K111" s="5">
        <v>28.0</v>
      </c>
      <c r="L111" s="5">
        <v>0.485578</v>
      </c>
      <c r="M111" s="5">
        <v>-0.08601</v>
      </c>
      <c r="N111" s="5">
        <v>0.399568</v>
      </c>
      <c r="O111" s="5">
        <v>0.020412</v>
      </c>
    </row>
    <row r="112">
      <c r="A112" s="18" t="str">
        <f>IFERROR(__xludf.DUMMYFUNCTION("""COMPUTED_VALUE"""),"Kristof Schwarz")</f>
        <v>Kristof Schwarz</v>
      </c>
      <c r="B112" s="19" t="str">
        <f>IFERROR(__xludf.DUMMYFUNCTION("""COMPUTED_VALUE"""),"ISER")</f>
        <v>ISER</v>
      </c>
      <c r="C112" s="20">
        <f>IFERROR(__xludf.DUMMYFUNCTION("""COMPUTED_VALUE"""),218.6)</f>
        <v>218.6</v>
      </c>
      <c r="D112" s="21">
        <f>IFERROR(__xludf.DUMMYFUNCTION("""COMPUTED_VALUE"""),1.8190061481722857)</f>
        <v>1.819006148</v>
      </c>
      <c r="E112" s="21">
        <f>IFERROR(__xludf.DUMMYFUNCTION("""COMPUTED_VALUE"""),-1.4522343178823671)</f>
        <v>-1.452234318</v>
      </c>
      <c r="F112" s="21">
        <f>IFERROR(__xludf.DUMMYFUNCTION("""COMPUTED_VALUE"""),0.3667718302899186)</f>
        <v>0.3667718303</v>
      </c>
      <c r="G112" s="23">
        <f>IFERROR(__xludf.DUMMYFUNCTION("""COMPUTED_VALUE"""),0.15567949030277747)</f>
        <v>0.1556794903</v>
      </c>
      <c r="H112" s="4"/>
      <c r="I112" s="5" t="s">
        <v>3329</v>
      </c>
      <c r="J112" s="5" t="s">
        <v>3210</v>
      </c>
      <c r="K112" s="24">
        <v>219.0</v>
      </c>
      <c r="L112" s="5">
        <v>1.846212</v>
      </c>
      <c r="M112" s="5">
        <v>-1.47944</v>
      </c>
      <c r="N112" s="5">
        <v>0.366772</v>
      </c>
      <c r="O112" s="5">
        <v>0.155679</v>
      </c>
    </row>
    <row r="113">
      <c r="A113" s="12" t="str">
        <f>IFERROR(__xludf.DUMMYFUNCTION("""COMPUTED_VALUE"""),"Jeremy Black")</f>
        <v>Jeremy Black</v>
      </c>
      <c r="B113" s="13" t="str">
        <f>IFERROR(__xludf.DUMMYFUNCTION("""COMPUTED_VALUE"""),"KIT")</f>
        <v>KIT</v>
      </c>
      <c r="C113" s="14">
        <f>IFERROR(__xludf.DUMMYFUNCTION("""COMPUTED_VALUE"""),838.3)</f>
        <v>838.3</v>
      </c>
      <c r="D113" s="15">
        <f>IFERROR(__xludf.DUMMYFUNCTION("""COMPUTED_VALUE"""),-0.38842202025980754)</f>
        <v>-0.3884220203</v>
      </c>
      <c r="E113" s="15">
        <f>IFERROR(__xludf.DUMMYFUNCTION("""COMPUTED_VALUE"""),0.7476981238666037)</f>
        <v>0.7476981239</v>
      </c>
      <c r="F113" s="15">
        <f>IFERROR(__xludf.DUMMYFUNCTION("""COMPUTED_VALUE"""),0.3592761036067962)</f>
        <v>0.3592761036</v>
      </c>
      <c r="G113" s="17">
        <f>IFERROR(__xludf.DUMMYFUNCTION("""COMPUTED_VALUE"""),0.6002807966751987)</f>
        <v>0.6002807967</v>
      </c>
      <c r="H113" s="4"/>
      <c r="I113" s="5" t="s">
        <v>3330</v>
      </c>
      <c r="J113" s="5" t="s">
        <v>3331</v>
      </c>
      <c r="K113" s="5">
        <v>838.0</v>
      </c>
      <c r="L113" s="5">
        <v>-0.351086</v>
      </c>
      <c r="M113" s="5">
        <v>0.710362</v>
      </c>
      <c r="N113" s="5">
        <v>0.359276</v>
      </c>
      <c r="O113" s="5">
        <v>0.600281</v>
      </c>
    </row>
    <row r="114">
      <c r="A114" s="18" t="str">
        <f>IFERROR(__xludf.DUMMYFUNCTION("""COMPUTED_VALUE"""),"Daniel Thurau")</f>
        <v>Daniel Thurau</v>
      </c>
      <c r="B114" s="19" t="str">
        <f>IFERROR(__xludf.DUMMYFUNCTION("""COMPUTED_VALUE"""),"GIES")</f>
        <v>GIES</v>
      </c>
      <c r="C114" s="20">
        <f>IFERROR(__xludf.DUMMYFUNCTION("""COMPUTED_VALUE"""),18.2)</f>
        <v>18.2</v>
      </c>
      <c r="D114" s="21">
        <f>IFERROR(__xludf.DUMMYFUNCTION("""COMPUTED_VALUE"""),0.2419001915948733)</f>
        <v>0.2419001916</v>
      </c>
      <c r="E114" s="21">
        <f>IFERROR(__xludf.DUMMYFUNCTION("""COMPUTED_VALUE"""),0.0819504542972399)</f>
        <v>0.0819504543</v>
      </c>
      <c r="F114" s="21">
        <f>IFERROR(__xludf.DUMMYFUNCTION("""COMPUTED_VALUE"""),0.3238506458921132)</f>
        <v>0.3238506459</v>
      </c>
      <c r="G114" s="23">
        <f>IFERROR(__xludf.DUMMYFUNCTION("""COMPUTED_VALUE"""),0.012729059348962412)</f>
        <v>0.01272905935</v>
      </c>
      <c r="H114" s="4"/>
      <c r="I114" s="5" t="s">
        <v>3332</v>
      </c>
      <c r="J114" s="5" t="s">
        <v>3217</v>
      </c>
      <c r="K114" s="5">
        <v>18.0</v>
      </c>
      <c r="L114" s="5">
        <v>0.244165</v>
      </c>
      <c r="M114" s="5">
        <v>0.079685</v>
      </c>
      <c r="N114" s="5">
        <v>0.323851</v>
      </c>
      <c r="O114" s="5">
        <v>0.012729</v>
      </c>
    </row>
    <row r="115">
      <c r="A115" s="12" t="str">
        <f>IFERROR(__xludf.DUMMYFUNCTION("""COMPUTED_VALUE"""),"Leon Okpara")</f>
        <v>Leon Okpara</v>
      </c>
      <c r="B115" s="13" t="str">
        <f>IFERROR(__xludf.DUMMYFUNCTION("""COMPUTED_VALUE"""),"GIES")</f>
        <v>GIES</v>
      </c>
      <c r="C115" s="14">
        <f>IFERROR(__xludf.DUMMYFUNCTION("""COMPUTED_VALUE"""),347.4)</f>
        <v>347.4</v>
      </c>
      <c r="D115" s="15">
        <f>IFERROR(__xludf.DUMMYFUNCTION("""COMPUTED_VALUE"""),0.2942717301935279)</f>
        <v>0.2942717302</v>
      </c>
      <c r="E115" s="15">
        <f>IFERROR(__xludf.DUMMYFUNCTION("""COMPUTED_VALUE"""),0.025657891346995032)</f>
        <v>0.02565789135</v>
      </c>
      <c r="F115" s="15">
        <f>IFERROR(__xludf.DUMMYFUNCTION("""COMPUTED_VALUE"""),0.31992962154052296)</f>
        <v>0.3199296215</v>
      </c>
      <c r="G115" s="17">
        <f>IFERROR(__xludf.DUMMYFUNCTION("""COMPUTED_VALUE"""),0.2425612014913376)</f>
        <v>0.2425612015</v>
      </c>
      <c r="H115" s="4"/>
      <c r="I115" s="5" t="s">
        <v>1068</v>
      </c>
      <c r="J115" s="5" t="s">
        <v>3217</v>
      </c>
      <c r="K115" s="24">
        <v>347.0</v>
      </c>
      <c r="L115" s="5">
        <v>0.331608</v>
      </c>
      <c r="M115" s="5">
        <v>-0.011678</v>
      </c>
      <c r="N115" s="5">
        <v>0.31993</v>
      </c>
      <c r="O115" s="5">
        <v>0.242561</v>
      </c>
    </row>
    <row r="116">
      <c r="A116" s="18" t="str">
        <f>IFERROR(__xludf.DUMMYFUNCTION("""COMPUTED_VALUE"""),"Jonas Boehm")</f>
        <v>Jonas Boehm</v>
      </c>
      <c r="B116" s="19" t="str">
        <f>IFERROR(__xludf.DUMMYFUNCTION("""COMPUTED_VALUE"""),"SSV")</f>
        <v>SSV</v>
      </c>
      <c r="C116" s="20">
        <f>IFERROR(__xludf.DUMMYFUNCTION("""COMPUTED_VALUE"""),567.5)</f>
        <v>567.5</v>
      </c>
      <c r="D116" s="21">
        <f>IFERROR(__xludf.DUMMYFUNCTION("""COMPUTED_VALUE"""),0.20126105901266644)</f>
        <v>0.201261059</v>
      </c>
      <c r="E116" s="21">
        <f>IFERROR(__xludf.DUMMYFUNCTION("""COMPUTED_VALUE"""),0.10369911625056716)</f>
        <v>0.1036991163</v>
      </c>
      <c r="F116" s="21">
        <f>IFERROR(__xludf.DUMMYFUNCTION("""COMPUTED_VALUE"""),0.3049601752632336)</f>
        <v>0.3049601753</v>
      </c>
      <c r="G116" s="23">
        <f>IFERROR(__xludf.DUMMYFUNCTION("""COMPUTED_VALUE"""),0.399141207340788)</f>
        <v>0.3991412073</v>
      </c>
      <c r="H116" s="4"/>
      <c r="I116" s="5" t="s">
        <v>3333</v>
      </c>
      <c r="J116" s="5" t="s">
        <v>3226</v>
      </c>
      <c r="K116" s="5">
        <v>568.0</v>
      </c>
      <c r="L116" s="5">
        <v>0.238597</v>
      </c>
      <c r="M116" s="5">
        <v>0.066363</v>
      </c>
      <c r="N116" s="5">
        <v>0.30496</v>
      </c>
      <c r="O116" s="5">
        <v>0.399141</v>
      </c>
    </row>
    <row r="117">
      <c r="A117" s="12" t="str">
        <f>IFERROR(__xludf.DUMMYFUNCTION("""COMPUTED_VALUE"""),"Felix Engel")</f>
        <v>Felix Engel</v>
      </c>
      <c r="B117" s="13" t="str">
        <f>IFERROR(__xludf.DUMMYFUNCTION("""COMPUTED_VALUE"""),"AST")</f>
        <v>AST</v>
      </c>
      <c r="C117" s="14">
        <f>IFERROR(__xludf.DUMMYFUNCTION("""COMPUTED_VALUE"""),687.8)</f>
        <v>687.8</v>
      </c>
      <c r="D117" s="15">
        <f>IFERROR(__xludf.DUMMYFUNCTION("""COMPUTED_VALUE"""),0.37386235484344094)</f>
        <v>0.3738623548</v>
      </c>
      <c r="E117" s="15">
        <f>IFERROR(__xludf.DUMMYFUNCTION("""COMPUTED_VALUE"""),-0.12178836089545525)</f>
        <v>-0.1217883609</v>
      </c>
      <c r="F117" s="15">
        <f>IFERROR(__xludf.DUMMYFUNCTION("""COMPUTED_VALUE"""),0.2520739939479857)</f>
        <v>0.2520739939</v>
      </c>
      <c r="G117" s="17">
        <f>IFERROR(__xludf.DUMMYFUNCTION("""COMPUTED_VALUE"""),0.4640452732940726)</f>
        <v>0.4640452733</v>
      </c>
      <c r="H117" s="4"/>
      <c r="I117" s="5" t="s">
        <v>3334</v>
      </c>
      <c r="J117" s="5" t="s">
        <v>2838</v>
      </c>
      <c r="K117" s="5">
        <v>688.0</v>
      </c>
      <c r="L117" s="5">
        <v>0.411198</v>
      </c>
      <c r="M117" s="5">
        <v>-0.159124</v>
      </c>
      <c r="N117" s="5">
        <v>0.252074</v>
      </c>
      <c r="O117" s="5">
        <v>0.464045</v>
      </c>
    </row>
    <row r="118">
      <c r="A118" s="18" t="str">
        <f>IFERROR(__xludf.DUMMYFUNCTION("""COMPUTED_VALUE"""),"Niclas Jonathan Sperber")</f>
        <v>Niclas Jonathan Sperber</v>
      </c>
      <c r="B118" s="19" t="str">
        <f>IFERROR(__xludf.DUMMYFUNCTION("""COMPUTED_VALUE"""),"SHA")</f>
        <v>SHA</v>
      </c>
      <c r="C118" s="20">
        <f>IFERROR(__xludf.DUMMYFUNCTION("""COMPUTED_VALUE"""),510.7)</f>
        <v>510.7</v>
      </c>
      <c r="D118" s="21">
        <f>IFERROR(__xludf.DUMMYFUNCTION("""COMPUTED_VALUE"""),-1.1010640958071136)</f>
        <v>-1.101064096</v>
      </c>
      <c r="E118" s="21">
        <f>IFERROR(__xludf.DUMMYFUNCTION("""COMPUTED_VALUE"""),1.3412465440336385)</f>
        <v>1.341246544</v>
      </c>
      <c r="F118" s="21">
        <f>IFERROR(__xludf.DUMMYFUNCTION("""COMPUTED_VALUE"""),0.2401824482265249)</f>
        <v>0.2401824482</v>
      </c>
      <c r="G118" s="23">
        <f>IFERROR(__xludf.DUMMYFUNCTION("""COMPUTED_VALUE"""),0.34940477406038956)</f>
        <v>0.3494047741</v>
      </c>
      <c r="H118" s="4"/>
      <c r="I118" s="5" t="s">
        <v>3335</v>
      </c>
      <c r="J118" s="5" t="s">
        <v>2201</v>
      </c>
      <c r="K118" s="24">
        <v>511.0</v>
      </c>
      <c r="L118" s="5">
        <v>-1.063728</v>
      </c>
      <c r="M118" s="5">
        <v>1.303911</v>
      </c>
      <c r="N118" s="5">
        <v>0.240182</v>
      </c>
      <c r="O118" s="5">
        <v>0.349405</v>
      </c>
    </row>
    <row r="119">
      <c r="A119" s="12" t="str">
        <f>IFERROR(__xludf.DUMMYFUNCTION("""COMPUTED_VALUE"""),"Scotty Liedtke")</f>
        <v>Scotty Liedtke</v>
      </c>
      <c r="B119" s="13" t="str">
        <f>IFERROR(__xludf.DUMMYFUNCTION("""COMPUTED_VALUE"""),"ITZ")</f>
        <v>ITZ</v>
      </c>
      <c r="C119" s="14">
        <f>IFERROR(__xludf.DUMMYFUNCTION("""COMPUTED_VALUE"""),10.7)</f>
        <v>10.7</v>
      </c>
      <c r="D119" s="15">
        <f>IFERROR(__xludf.DUMMYFUNCTION("""COMPUTED_VALUE"""),0.2226206123558558)</f>
        <v>0.2226206124</v>
      </c>
      <c r="E119" s="15">
        <f>IFERROR(__xludf.DUMMYFUNCTION("""COMPUTED_VALUE"""),0.01331511313537026)</f>
        <v>0.01331511314</v>
      </c>
      <c r="F119" s="15">
        <f>IFERROR(__xludf.DUMMYFUNCTION("""COMPUTED_VALUE"""),0.23593572549122607)</f>
        <v>0.2359357255</v>
      </c>
      <c r="G119" s="17">
        <f>IFERROR(__xludf.DUMMYFUNCTION("""COMPUTED_VALUE"""),0.007133917041440763)</f>
        <v>0.007133917041</v>
      </c>
      <c r="H119" s="4"/>
      <c r="I119" s="5" t="s">
        <v>3336</v>
      </c>
      <c r="J119" s="5" t="s">
        <v>3207</v>
      </c>
      <c r="K119" s="24">
        <v>11.0</v>
      </c>
      <c r="L119" s="5">
        <v>0.223952</v>
      </c>
      <c r="M119" s="5">
        <v>0.011983</v>
      </c>
      <c r="N119" s="5">
        <v>0.235936</v>
      </c>
      <c r="O119" s="5">
        <v>0.007134</v>
      </c>
    </row>
    <row r="120">
      <c r="A120" s="18" t="str">
        <f>IFERROR(__xludf.DUMMYFUNCTION("""COMPUTED_VALUE"""),"Christoph Bauer")</f>
        <v>Christoph Bauer</v>
      </c>
      <c r="B120" s="19" t="str">
        <f>IFERROR(__xludf.DUMMYFUNCTION("""COMPUTED_VALUE"""),"COBU")</f>
        <v>COBU</v>
      </c>
      <c r="C120" s="20">
        <f>IFERROR(__xludf.DUMMYFUNCTION("""COMPUTED_VALUE"""),6.8)</f>
        <v>6.8</v>
      </c>
      <c r="D120" s="21">
        <f>IFERROR(__xludf.DUMMYFUNCTION("""COMPUTED_VALUE"""),0.12460253482223917)</f>
        <v>0.1246025348</v>
      </c>
      <c r="E120" s="21">
        <f>IFERROR(__xludf.DUMMYFUNCTION("""COMPUTED_VALUE"""),0.024915002719454724)</f>
        <v>0.02491500272</v>
      </c>
      <c r="F120" s="21">
        <f>IFERROR(__xludf.DUMMYFUNCTION("""COMPUTED_VALUE"""),0.1495175375416939)</f>
        <v>0.1495175375</v>
      </c>
      <c r="G120" s="23">
        <f>IFERROR(__xludf.DUMMYFUNCTION("""COMPUTED_VALUE"""),0.004440537080426509)</f>
        <v>0.00444053708</v>
      </c>
      <c r="H120" s="4"/>
      <c r="I120" s="5" t="s">
        <v>3337</v>
      </c>
      <c r="J120" s="5" t="s">
        <v>3251</v>
      </c>
      <c r="K120" s="5">
        <v>7.0</v>
      </c>
      <c r="L120" s="5">
        <v>0.125449</v>
      </c>
      <c r="M120" s="5">
        <v>0.024069</v>
      </c>
      <c r="N120" s="5">
        <v>0.149518</v>
      </c>
      <c r="O120" s="5">
        <v>0.004441</v>
      </c>
    </row>
    <row r="121">
      <c r="A121" s="12" t="str">
        <f>IFERROR(__xludf.DUMMYFUNCTION("""COMPUTED_VALUE"""),"Marius Poeschel")</f>
        <v>Marius Poeschel</v>
      </c>
      <c r="B121" s="13" t="str">
        <f>IFERROR(__xludf.DUMMYFUNCTION("""COMPUTED_VALUE"""),"WOLF")</f>
        <v>WOLF</v>
      </c>
      <c r="C121" s="14">
        <f>IFERROR(__xludf.DUMMYFUNCTION("""COMPUTED_VALUE"""),378.9)</f>
        <v>378.9</v>
      </c>
      <c r="D121" s="15">
        <f>IFERROR(__xludf.DUMMYFUNCTION("""COMPUTED_VALUE"""),0.2138805122035652)</f>
        <v>0.2138805122</v>
      </c>
      <c r="E121" s="15">
        <f>IFERROR(__xludf.DUMMYFUNCTION("""COMPUTED_VALUE"""),-0.09374914554248859)</f>
        <v>-0.09374914554</v>
      </c>
      <c r="F121" s="15">
        <f>IFERROR(__xludf.DUMMYFUNCTION("""COMPUTED_VALUE"""),0.1201313666610766)</f>
        <v>0.1201313667</v>
      </c>
      <c r="G121" s="17">
        <f>IFERROR(__xludf.DUMMYFUNCTION("""COMPUTED_VALUE"""),0.24392470554549558)</f>
        <v>0.2439247055</v>
      </c>
      <c r="H121" s="4"/>
      <c r="I121" s="5" t="s">
        <v>3338</v>
      </c>
      <c r="J121" s="5" t="s">
        <v>3215</v>
      </c>
      <c r="K121" s="5">
        <v>379.0</v>
      </c>
      <c r="L121" s="5">
        <v>0.251217</v>
      </c>
      <c r="M121" s="5">
        <v>-0.131085</v>
      </c>
      <c r="N121" s="5">
        <v>0.120131</v>
      </c>
      <c r="O121" s="5">
        <v>0.243925</v>
      </c>
    </row>
    <row r="122">
      <c r="A122" s="18" t="str">
        <f>IFERROR(__xludf.DUMMYFUNCTION("""COMPUTED_VALUE"""),"Obi Kyei")</f>
        <v>Obi Kyei</v>
      </c>
      <c r="B122" s="19" t="str">
        <f>IFERROR(__xludf.DUMMYFUNCTION("""COMPUTED_VALUE"""),"CUX")</f>
        <v>CUX</v>
      </c>
      <c r="C122" s="20">
        <f>IFERROR(__xludf.DUMMYFUNCTION("""COMPUTED_VALUE"""),240.9)</f>
        <v>240.9</v>
      </c>
      <c r="D122" s="21">
        <f>IFERROR(__xludf.DUMMYFUNCTION("""COMPUTED_VALUE"""),-1.8385436227080452)</f>
        <v>-1.838543623</v>
      </c>
      <c r="E122" s="21">
        <f>IFERROR(__xludf.DUMMYFUNCTION("""COMPUTED_VALUE"""),1.9144897501878682)</f>
        <v>1.91448975</v>
      </c>
      <c r="F122" s="21">
        <f>IFERROR(__xludf.DUMMYFUNCTION("""COMPUTED_VALUE"""),0.07594612747982304)</f>
        <v>0.07594612748</v>
      </c>
      <c r="G122" s="23">
        <f>IFERROR(__xludf.DUMMYFUNCTION("""COMPUTED_VALUE"""),0.16872274525891479)</f>
        <v>0.1687227453</v>
      </c>
      <c r="H122" s="4"/>
      <c r="I122" s="5" t="s">
        <v>3339</v>
      </c>
      <c r="J122" s="5" t="s">
        <v>3237</v>
      </c>
      <c r="K122" s="24">
        <v>241.0</v>
      </c>
      <c r="L122" s="5">
        <v>-1.808563</v>
      </c>
      <c r="M122" s="5">
        <v>1.884509</v>
      </c>
      <c r="N122" s="5">
        <v>0.075946</v>
      </c>
      <c r="O122" s="5">
        <v>0.168723</v>
      </c>
    </row>
    <row r="123">
      <c r="A123" s="12" t="str">
        <f>IFERROR(__xludf.DUMMYFUNCTION("""COMPUTED_VALUE"""),"Felipe Galvez-Braatz")</f>
        <v>Felipe Galvez-Braatz</v>
      </c>
      <c r="B123" s="13" t="str">
        <f>IFERROR(__xludf.DUMMYFUNCTION("""COMPUTED_VALUE"""),"CUX")</f>
        <v>CUX</v>
      </c>
      <c r="C123" s="14">
        <f>IFERROR(__xludf.DUMMYFUNCTION("""COMPUTED_VALUE"""),18.0)</f>
        <v>18</v>
      </c>
      <c r="D123" s="15">
        <f>IFERROR(__xludf.DUMMYFUNCTION("""COMPUTED_VALUE"""),0.09206622939147975)</f>
        <v>0.09206622939</v>
      </c>
      <c r="E123" s="15">
        <f>IFERROR(__xludf.DUMMYFUNCTION("""COMPUTED_VALUE"""),-0.028338022125641044)</f>
        <v>-0.02833802213</v>
      </c>
      <c r="F123" s="15">
        <f>IFERROR(__xludf.DUMMYFUNCTION("""COMPUTED_VALUE"""),0.06372820726583871)</f>
        <v>0.06372820727</v>
      </c>
      <c r="G123" s="17">
        <f>IFERROR(__xludf.DUMMYFUNCTION("""COMPUTED_VALUE"""),0.01253273219003693)</f>
        <v>0.01253273219</v>
      </c>
      <c r="H123" s="4"/>
      <c r="I123" s="5" t="s">
        <v>3340</v>
      </c>
      <c r="J123" s="5" t="s">
        <v>3237</v>
      </c>
      <c r="K123" s="5">
        <v>18.0</v>
      </c>
      <c r="L123" s="5">
        <v>0.094306</v>
      </c>
      <c r="M123" s="5">
        <v>-0.030578</v>
      </c>
      <c r="N123" s="5">
        <v>0.063728</v>
      </c>
      <c r="O123" s="5">
        <v>0.012533</v>
      </c>
    </row>
    <row r="124">
      <c r="A124" s="18" t="str">
        <f>IFERROR(__xludf.DUMMYFUNCTION("""COMPUTED_VALUE"""),"Ron Mvouika")</f>
        <v>Ron Mvouika</v>
      </c>
      <c r="B124" s="19" t="str">
        <f>IFERROR(__xludf.DUMMYFUNCTION("""COMPUTED_VALUE"""),"BAY")</f>
        <v>BAY</v>
      </c>
      <c r="C124" s="20">
        <f>IFERROR(__xludf.DUMMYFUNCTION("""COMPUTED_VALUE"""),106.9)</f>
        <v>106.9</v>
      </c>
      <c r="D124" s="21">
        <f>IFERROR(__xludf.DUMMYFUNCTION("""COMPUTED_VALUE"""),0.9358904678751165)</f>
        <v>0.9358904679</v>
      </c>
      <c r="E124" s="21">
        <f>IFERROR(__xludf.DUMMYFUNCTION("""COMPUTED_VALUE"""),-0.9212700473224802)</f>
        <v>-0.9212700473</v>
      </c>
      <c r="F124" s="21">
        <f>IFERROR(__xludf.DUMMYFUNCTION("""COMPUTED_VALUE"""),0.014620420552636302)</f>
        <v>0.01462042055</v>
      </c>
      <c r="G124" s="23">
        <f>IFERROR(__xludf.DUMMYFUNCTION("""COMPUTED_VALUE"""),0.06538090507519576)</f>
        <v>0.06538090508</v>
      </c>
      <c r="H124" s="4"/>
      <c r="I124" s="5" t="s">
        <v>3341</v>
      </c>
      <c r="J124" s="5" t="s">
        <v>644</v>
      </c>
      <c r="K124" s="5">
        <v>107.0</v>
      </c>
      <c r="L124" s="5">
        <v>0.949195</v>
      </c>
      <c r="M124" s="5">
        <v>-0.934574</v>
      </c>
      <c r="N124" s="5">
        <v>0.01462</v>
      </c>
      <c r="O124" s="5">
        <v>0.065381</v>
      </c>
    </row>
    <row r="125">
      <c r="A125" s="12" t="str">
        <f>IFERROR(__xludf.DUMMYFUNCTION("""COMPUTED_VALUE"""),"Max Rockmann")</f>
        <v>Max Rockmann</v>
      </c>
      <c r="B125" s="13" t="str">
        <f>IFERROR(__xludf.DUMMYFUNCTION("""COMPUTED_VALUE"""),"ART")</f>
        <v>ART</v>
      </c>
      <c r="C125" s="14">
        <f>IFERROR(__xludf.DUMMYFUNCTION("""COMPUTED_VALUE"""),896.8)</f>
        <v>896.8</v>
      </c>
      <c r="D125" s="15">
        <f>IFERROR(__xludf.DUMMYFUNCTION("""COMPUTED_VALUE"""),1.2085121455622405)</f>
        <v>1.208512146</v>
      </c>
      <c r="E125" s="15">
        <f>IFERROR(__xludf.DUMMYFUNCTION("""COMPUTED_VALUE"""),-1.2088628310272298)</f>
        <v>-1.208862831</v>
      </c>
      <c r="F125" s="15">
        <f>IFERROR(__xludf.DUMMYFUNCTION("""COMPUTED_VALUE"""),-3.5068546498928654E-4)</f>
        <v>-0.000350685465</v>
      </c>
      <c r="G125" s="17">
        <f>IFERROR(__xludf.DUMMYFUNCTION("""COMPUTED_VALUE"""),0.5299801251323337)</f>
        <v>0.5299801251</v>
      </c>
      <c r="H125" s="4"/>
      <c r="I125" s="5" t="s">
        <v>3342</v>
      </c>
      <c r="J125" s="5" t="s">
        <v>3240</v>
      </c>
      <c r="K125" s="24">
        <v>23.0</v>
      </c>
      <c r="L125" s="5">
        <v>-0.101425</v>
      </c>
      <c r="M125" s="5">
        <v>0.098087</v>
      </c>
      <c r="N125" s="5">
        <v>-0.003338</v>
      </c>
      <c r="O125" s="5">
        <v>0.014248</v>
      </c>
    </row>
    <row r="126">
      <c r="A126" s="18" t="str">
        <f>IFERROR(__xludf.DUMMYFUNCTION("""COMPUTED_VALUE"""),"David Roell")</f>
        <v>David Roell</v>
      </c>
      <c r="B126" s="19" t="str">
        <f>IFERROR(__xludf.DUMMYFUNCTION("""COMPUTED_VALUE"""),"ART")</f>
        <v>ART</v>
      </c>
      <c r="C126" s="20">
        <f>IFERROR(__xludf.DUMMYFUNCTION("""COMPUTED_VALUE"""),5.0)</f>
        <v>5</v>
      </c>
      <c r="D126" s="21">
        <f>IFERROR(__xludf.DUMMYFUNCTION("""COMPUTED_VALUE"""),0.12438776992709309)</f>
        <v>0.1243877699</v>
      </c>
      <c r="E126" s="21">
        <f>IFERROR(__xludf.DUMMYFUNCTION("""COMPUTED_VALUE"""),-0.12573632299862164)</f>
        <v>-0.125736323</v>
      </c>
      <c r="F126" s="21">
        <f>IFERROR(__xludf.DUMMYFUNCTION("""COMPUTED_VALUE"""),-0.0013485530715285539)</f>
        <v>-0.001348553072</v>
      </c>
      <c r="G126" s="23">
        <f>IFERROR(__xludf.DUMMYFUNCTION("""COMPUTED_VALUE"""),0.0029533655985710915)</f>
        <v>0.002953365599</v>
      </c>
      <c r="H126" s="4"/>
      <c r="I126" s="5" t="s">
        <v>3343</v>
      </c>
      <c r="J126" s="5" t="s">
        <v>3226</v>
      </c>
      <c r="K126" s="5">
        <v>0.0</v>
      </c>
      <c r="L126" s="5">
        <v>-0.005493</v>
      </c>
      <c r="M126" s="5">
        <v>5.51E-4</v>
      </c>
      <c r="N126" s="5">
        <v>-0.004942</v>
      </c>
      <c r="O126" s="5">
        <v>1.83E-4</v>
      </c>
    </row>
    <row r="127">
      <c r="A127" s="12" t="str">
        <f>IFERROR(__xludf.DUMMYFUNCTION("""COMPUTED_VALUE"""),"Sasha Grant")</f>
        <v>Sasha Grant</v>
      </c>
      <c r="B127" s="13" t="str">
        <f>IFERROR(__xludf.DUMMYFUNCTION("""COMPUTED_VALUE"""),"MUNII")</f>
        <v>MUNII</v>
      </c>
      <c r="C127" s="14">
        <f>IFERROR(__xludf.DUMMYFUNCTION("""COMPUTED_VALUE"""),23.4)</f>
        <v>23.4</v>
      </c>
      <c r="D127" s="15">
        <f>IFERROR(__xludf.DUMMYFUNCTION("""COMPUTED_VALUE"""),-0.10433700092504278)</f>
        <v>-0.1043370009</v>
      </c>
      <c r="E127" s="15">
        <f>IFERROR(__xludf.DUMMYFUNCTION("""COMPUTED_VALUE"""),0.10099880233277053)</f>
        <v>0.1009988023</v>
      </c>
      <c r="F127" s="15">
        <f>IFERROR(__xludf.DUMMYFUNCTION("""COMPUTED_VALUE"""),-0.003338198592272247)</f>
        <v>-0.003338198592</v>
      </c>
      <c r="G127" s="17">
        <f>IFERROR(__xludf.DUMMYFUNCTION("""COMPUTED_VALUE"""),0.014247530527908673)</f>
        <v>0.01424753053</v>
      </c>
      <c r="H127" s="4"/>
      <c r="I127" s="5" t="s">
        <v>3344</v>
      </c>
      <c r="J127" s="5" t="s">
        <v>3263</v>
      </c>
      <c r="K127" s="5">
        <v>1.0</v>
      </c>
      <c r="L127" s="5">
        <v>-0.009802</v>
      </c>
      <c r="M127" s="5">
        <v>1.9E-4</v>
      </c>
      <c r="N127" s="5">
        <v>-0.009612</v>
      </c>
      <c r="O127" s="5">
        <v>2.99E-4</v>
      </c>
    </row>
    <row r="128">
      <c r="A128" s="18" t="str">
        <f>IFERROR(__xludf.DUMMYFUNCTION("""COMPUTED_VALUE"""),"Rijad Avdic")</f>
        <v>Rijad Avdic</v>
      </c>
      <c r="B128" s="19" t="str">
        <f>IFERROR(__xludf.DUMMYFUNCTION("""COMPUTED_VALUE"""),"SSV")</f>
        <v>SSV</v>
      </c>
      <c r="C128" s="20">
        <f>IFERROR(__xludf.DUMMYFUNCTION("""COMPUTED_VALUE"""),0.3)</f>
        <v>0.3</v>
      </c>
      <c r="D128" s="21">
        <f>IFERROR(__xludf.DUMMYFUNCTION("""COMPUTED_VALUE"""),-0.005530203484704286)</f>
        <v>-0.005530203485</v>
      </c>
      <c r="E128" s="21">
        <f>IFERROR(__xludf.DUMMYFUNCTION("""COMPUTED_VALUE"""),5.886728096614448E-4)</f>
        <v>0.0005886728097</v>
      </c>
      <c r="F128" s="21">
        <f>IFERROR(__xludf.DUMMYFUNCTION("""COMPUTED_VALUE"""),-0.0049415306750428415)</f>
        <v>-0.004941530675</v>
      </c>
      <c r="G128" s="23">
        <f>IFERROR(__xludf.DUMMYFUNCTION("""COMPUTED_VALUE"""),1.8263085718975012E-4)</f>
        <v>0.0001826308572</v>
      </c>
      <c r="H128" s="4"/>
      <c r="I128" s="5" t="s">
        <v>3345</v>
      </c>
      <c r="J128" s="5" t="s">
        <v>3207</v>
      </c>
      <c r="K128" s="5">
        <v>1.0</v>
      </c>
      <c r="L128" s="5">
        <v>-0.014508</v>
      </c>
      <c r="M128" s="5">
        <v>-0.004298</v>
      </c>
      <c r="N128" s="5">
        <v>-0.018806</v>
      </c>
      <c r="O128" s="5">
        <v>4.73E-4</v>
      </c>
    </row>
    <row r="129">
      <c r="A129" s="12" t="str">
        <f>IFERROR(__xludf.DUMMYFUNCTION("""COMPUTED_VALUE"""),"Beat Weichsler")</f>
        <v>Beat Weichsler</v>
      </c>
      <c r="B129" s="13" t="str">
        <f>IFERROR(__xludf.DUMMYFUNCTION("""COMPUTED_VALUE"""),"JR")</f>
        <v>JR</v>
      </c>
      <c r="C129" s="14">
        <f>IFERROR(__xludf.DUMMYFUNCTION("""COMPUTED_VALUE"""),0.5)</f>
        <v>0.5</v>
      </c>
      <c r="D129" s="15">
        <f>IFERROR(__xludf.DUMMYFUNCTION("""COMPUTED_VALUE"""),-0.009864388544231767)</f>
        <v>-0.009864388544</v>
      </c>
      <c r="E129" s="15">
        <f>IFERROR(__xludf.DUMMYFUNCTION("""COMPUTED_VALUE"""),2.521056414585051E-4)</f>
        <v>0.0002521056415</v>
      </c>
      <c r="F129" s="15">
        <f>IFERROR(__xludf.DUMMYFUNCTION("""COMPUTED_VALUE"""),-0.009612282902773262)</f>
        <v>-0.009612282903</v>
      </c>
      <c r="G129" s="17">
        <f>IFERROR(__xludf.DUMMYFUNCTION("""COMPUTED_VALUE"""),2.9911153783850834E-4)</f>
        <v>0.0002991115378</v>
      </c>
      <c r="H129" s="4"/>
      <c r="I129" s="5" t="s">
        <v>3346</v>
      </c>
      <c r="J129" s="5" t="s">
        <v>2838</v>
      </c>
      <c r="K129" s="5">
        <v>1.0</v>
      </c>
      <c r="L129" s="5">
        <v>-0.021517</v>
      </c>
      <c r="M129" s="5">
        <v>0.002627</v>
      </c>
      <c r="N129" s="5">
        <v>-0.01889</v>
      </c>
      <c r="O129" s="5">
        <v>7.12E-4</v>
      </c>
    </row>
    <row r="130">
      <c r="A130" s="18" t="str">
        <f>IFERROR(__xludf.DUMMYFUNCTION("""COMPUTED_VALUE"""),"Leon Hutter")</f>
        <v>Leon Hutter</v>
      </c>
      <c r="B130" s="19" t="str">
        <f>IFERROR(__xludf.DUMMYFUNCTION("""COMPUTED_VALUE"""),"ITZ")</f>
        <v>ITZ</v>
      </c>
      <c r="C130" s="20">
        <f>IFERROR(__xludf.DUMMYFUNCTION("""COMPUTED_VALUE"""),0.8)</f>
        <v>0.8</v>
      </c>
      <c r="D130" s="21">
        <f>IFERROR(__xludf.DUMMYFUNCTION("""COMPUTED_VALUE"""),-0.014607236964311857)</f>
        <v>-0.01460723696</v>
      </c>
      <c r="E130" s="21">
        <f>IFERROR(__xludf.DUMMYFUNCTION("""COMPUTED_VALUE"""),-0.004198285752069141)</f>
        <v>-0.004198285752</v>
      </c>
      <c r="F130" s="21">
        <f>IFERROR(__xludf.DUMMYFUNCTION("""COMPUTED_VALUE"""),-0.018805522716380998)</f>
        <v>-0.01880552272</v>
      </c>
      <c r="G130" s="23">
        <f>IFERROR(__xludf.DUMMYFUNCTION("""COMPUTED_VALUE"""),4.726090760363522E-4)</f>
        <v>0.000472609076</v>
      </c>
      <c r="H130" s="4"/>
      <c r="I130" s="5" t="s">
        <v>3347</v>
      </c>
      <c r="J130" s="5" t="s">
        <v>3263</v>
      </c>
      <c r="K130" s="24">
        <v>2.0</v>
      </c>
      <c r="L130" s="5">
        <v>-0.031276</v>
      </c>
      <c r="M130" s="5">
        <v>6.91E-4</v>
      </c>
      <c r="N130" s="5">
        <v>-0.030586</v>
      </c>
      <c r="O130" s="5">
        <v>9.47E-4</v>
      </c>
    </row>
    <row r="131">
      <c r="A131" s="12" t="str">
        <f>IFERROR(__xludf.DUMMYFUNCTION("""COMPUTED_VALUE"""),"Idrissa Diene")</f>
        <v>Idrissa Diene</v>
      </c>
      <c r="B131" s="13" t="str">
        <f>IFERROR(__xludf.DUMMYFUNCTION("""COMPUTED_VALUE"""),"AST")</f>
        <v>AST</v>
      </c>
      <c r="C131" s="14">
        <f>IFERROR(__xludf.DUMMYFUNCTION("""COMPUTED_VALUE"""),1.2)</f>
        <v>1.2</v>
      </c>
      <c r="D131" s="15">
        <f>IFERROR(__xludf.DUMMYFUNCTION("""COMPUTED_VALUE"""),-0.021666050143289706)</f>
        <v>-0.02166605014</v>
      </c>
      <c r="E131" s="15">
        <f>IFERROR(__xludf.DUMMYFUNCTION("""COMPUTED_VALUE"""),0.0027759705632834433)</f>
        <v>0.002775970563</v>
      </c>
      <c r="F131" s="15">
        <f>IFERROR(__xludf.DUMMYFUNCTION("""COMPUTED_VALUE"""),-0.018890079580006262)</f>
        <v>-0.01889007958</v>
      </c>
      <c r="G131" s="17">
        <f>IFERROR(__xludf.DUMMYFUNCTION("""COMPUTED_VALUE"""),7.122055359103629E-4)</f>
        <v>0.0007122055359</v>
      </c>
      <c r="H131" s="4"/>
      <c r="I131" s="5" t="s">
        <v>3348</v>
      </c>
      <c r="J131" s="5" t="s">
        <v>3233</v>
      </c>
      <c r="K131" s="5">
        <v>5.0</v>
      </c>
      <c r="L131" s="5">
        <v>0.110076</v>
      </c>
      <c r="M131" s="5">
        <v>-0.143024</v>
      </c>
      <c r="N131" s="5">
        <v>-0.032949</v>
      </c>
      <c r="O131" s="5">
        <v>0.002907</v>
      </c>
    </row>
    <row r="132">
      <c r="A132" s="18" t="str">
        <f>IFERROR(__xludf.DUMMYFUNCTION("""COMPUTED_VALUE"""),"Leon Puellen")</f>
        <v>Leon Puellen</v>
      </c>
      <c r="B132" s="19" t="str">
        <f>IFERROR(__xludf.DUMMYFUNCTION("""COMPUTED_VALUE"""),"JR")</f>
        <v>JR</v>
      </c>
      <c r="C132" s="20">
        <f>IFERROR(__xludf.DUMMYFUNCTION("""COMPUTED_VALUE"""),1.6)</f>
        <v>1.6</v>
      </c>
      <c r="D132" s="21">
        <f>IFERROR(__xludf.DUMMYFUNCTION("""COMPUTED_VALUE"""),-0.03147530023910263)</f>
        <v>-0.03147530024</v>
      </c>
      <c r="E132" s="21">
        <f>IFERROR(__xludf.DUMMYFUNCTION("""COMPUTED_VALUE"""),8.897294556597171E-4)</f>
        <v>0.0008897294557</v>
      </c>
      <c r="F132" s="21">
        <f>IFERROR(__xludf.DUMMYFUNCTION("""COMPUTED_VALUE"""),-0.030585570783442914)</f>
        <v>-0.03058557078</v>
      </c>
      <c r="G132" s="23">
        <f>IFERROR(__xludf.DUMMYFUNCTION("""COMPUTED_VALUE"""),9.470710832937278E-4)</f>
        <v>0.0009470710833</v>
      </c>
      <c r="H132" s="4"/>
      <c r="I132" s="5" t="s">
        <v>3349</v>
      </c>
      <c r="J132" s="5" t="s">
        <v>3256</v>
      </c>
      <c r="K132" s="5">
        <v>2.0</v>
      </c>
      <c r="L132" s="5">
        <v>-0.046405</v>
      </c>
      <c r="M132" s="5">
        <v>0.003305</v>
      </c>
      <c r="N132" s="5">
        <v>-0.043101</v>
      </c>
      <c r="O132" s="5">
        <v>0.001425</v>
      </c>
    </row>
    <row r="133">
      <c r="A133" s="12" t="str">
        <f>IFERROR(__xludf.DUMMYFUNCTION("""COMPUTED_VALUE"""),"Leo Alban")</f>
        <v>Leo Alban</v>
      </c>
      <c r="B133" s="13" t="str">
        <f>IFERROR(__xludf.DUMMYFUNCTION("""COMPUTED_VALUE"""),"OTB")</f>
        <v>OTB</v>
      </c>
      <c r="C133" s="14">
        <f>IFERROR(__xludf.DUMMYFUNCTION("""COMPUTED_VALUE"""),2.4)</f>
        <v>2.4</v>
      </c>
      <c r="D133" s="15">
        <f>IFERROR(__xludf.DUMMYFUNCTION("""COMPUTED_VALUE"""),-0.046704002971586146)</f>
        <v>-0.04670400297</v>
      </c>
      <c r="E133" s="15">
        <f>IFERROR(__xludf.DUMMYFUNCTION("""COMPUTED_VALUE"""),0.0036032663648044028)</f>
        <v>0.003603266365</v>
      </c>
      <c r="F133" s="15">
        <f>IFERROR(__xludf.DUMMYFUNCTION("""COMPUTED_VALUE"""),-0.043100736606781744)</f>
        <v>-0.04310073661</v>
      </c>
      <c r="G133" s="17">
        <f>IFERROR(__xludf.DUMMYFUNCTION("""COMPUTED_VALUE"""),0.001425433363137399)</f>
        <v>0.001425433363</v>
      </c>
      <c r="H133" s="4"/>
      <c r="I133" s="5" t="s">
        <v>885</v>
      </c>
      <c r="J133" s="5" t="s">
        <v>3203</v>
      </c>
      <c r="K133" s="5">
        <v>9.0</v>
      </c>
      <c r="L133" s="5">
        <v>-0.206764</v>
      </c>
      <c r="M133" s="5">
        <v>0.145312</v>
      </c>
      <c r="N133" s="5">
        <v>-0.061452</v>
      </c>
      <c r="O133" s="5">
        <v>0.005526</v>
      </c>
    </row>
    <row r="134">
      <c r="A134" s="18" t="str">
        <f>IFERROR(__xludf.DUMMYFUNCTION("""COMPUTED_VALUE"""),"David Falkenstein")</f>
        <v>David Falkenstein</v>
      </c>
      <c r="B134" s="19" t="str">
        <f>IFERROR(__xludf.DUMMYFUNCTION("""COMPUTED_VALUE"""),"DRAG")</f>
        <v>DRAG</v>
      </c>
      <c r="C134" s="20">
        <f>IFERROR(__xludf.DUMMYFUNCTION("""COMPUTED_VALUE"""),9.4)</f>
        <v>9.4</v>
      </c>
      <c r="D134" s="21">
        <f>IFERROR(__xludf.DUMMYFUNCTION("""COMPUTED_VALUE"""),-0.20793367513198002)</f>
        <v>-0.2079336751</v>
      </c>
      <c r="E134" s="21">
        <f>IFERROR(__xludf.DUMMYFUNCTION("""COMPUTED_VALUE"""),0.14648161990617312)</f>
        <v>0.1464816199</v>
      </c>
      <c r="F134" s="21">
        <f>IFERROR(__xludf.DUMMYFUNCTION("""COMPUTED_VALUE"""),-0.06145205522580691)</f>
        <v>-0.06145205523</v>
      </c>
      <c r="G134" s="23">
        <f>IFERROR(__xludf.DUMMYFUNCTION("""COMPUTED_VALUE"""),0.005525778539742342)</f>
        <v>0.00552577854</v>
      </c>
      <c r="H134" s="4"/>
      <c r="I134" s="5" t="s">
        <v>3350</v>
      </c>
      <c r="J134" s="5" t="s">
        <v>3223</v>
      </c>
      <c r="K134" s="24">
        <v>26.0</v>
      </c>
      <c r="L134" s="5">
        <v>0.167917</v>
      </c>
      <c r="M134" s="5">
        <v>-0.233374</v>
      </c>
      <c r="N134" s="5">
        <v>-0.065457</v>
      </c>
      <c r="O134" s="5">
        <v>0.015169</v>
      </c>
    </row>
    <row r="135">
      <c r="A135" s="12" t="str">
        <f>IFERROR(__xludf.DUMMYFUNCTION("""COMPUTED_VALUE"""),"Justus Klinke")</f>
        <v>Justus Klinke</v>
      </c>
      <c r="B135" s="13" t="str">
        <f>IFERROR(__xludf.DUMMYFUNCTION("""COMPUTED_VALUE"""),"AKAD")</f>
        <v>AKAD</v>
      </c>
      <c r="C135" s="14">
        <f>IFERROR(__xludf.DUMMYFUNCTION("""COMPUTED_VALUE"""),25.8)</f>
        <v>25.8</v>
      </c>
      <c r="D135" s="15">
        <f>IFERROR(__xludf.DUMMYFUNCTION("""COMPUTED_VALUE"""),0.1647056237307219)</f>
        <v>0.1647056237</v>
      </c>
      <c r="E135" s="15">
        <f>IFERROR(__xludf.DUMMYFUNCTION("""COMPUTED_VALUE"""),-0.2301626349767235)</f>
        <v>-0.230162635</v>
      </c>
      <c r="F135" s="15">
        <f>IFERROR(__xludf.DUMMYFUNCTION("""COMPUTED_VALUE"""),-0.06545701124600162)</f>
        <v>-0.06545701125</v>
      </c>
      <c r="G135" s="17">
        <f>IFERROR(__xludf.DUMMYFUNCTION("""COMPUTED_VALUE"""),0.015168887526184534)</f>
        <v>0.01516888753</v>
      </c>
      <c r="H135" s="4"/>
      <c r="I135" s="5" t="s">
        <v>3351</v>
      </c>
      <c r="J135" s="5" t="s">
        <v>3223</v>
      </c>
      <c r="K135" s="5">
        <v>4.0</v>
      </c>
      <c r="L135" s="5">
        <v>-0.073309</v>
      </c>
      <c r="M135" s="5">
        <v>-0.002192</v>
      </c>
      <c r="N135" s="5">
        <v>-0.075501</v>
      </c>
      <c r="O135" s="5">
        <v>0.002223</v>
      </c>
    </row>
    <row r="136">
      <c r="A136" s="18" t="str">
        <f>IFERROR(__xludf.DUMMYFUNCTION("""COMPUTED_VALUE"""),"Jakob Jessberger")</f>
        <v>Jakob Jessberger</v>
      </c>
      <c r="B136" s="19" t="str">
        <f>IFERROR(__xludf.DUMMYFUNCTION("""COMPUTED_VALUE"""),"AKAD")</f>
        <v>AKAD</v>
      </c>
      <c r="C136" s="20">
        <f>IFERROR(__xludf.DUMMYFUNCTION("""COMPUTED_VALUE"""),3.8)</f>
        <v>3.8</v>
      </c>
      <c r="D136" s="21">
        <f>IFERROR(__xludf.DUMMYFUNCTION("""COMPUTED_VALUE"""),-0.07378184890620812)</f>
        <v>-0.07378184891</v>
      </c>
      <c r="E136" s="21">
        <f>IFERROR(__xludf.DUMMYFUNCTION("""COMPUTED_VALUE"""),-0.0017187289281171136)</f>
        <v>-0.001718728928</v>
      </c>
      <c r="F136" s="21">
        <f>IFERROR(__xludf.DUMMYFUNCTION("""COMPUTED_VALUE"""),-0.07550057783432523)</f>
        <v>-0.07550057783</v>
      </c>
      <c r="G136" s="23">
        <f>IFERROR(__xludf.DUMMYFUNCTION("""COMPUTED_VALUE"""),0.0022225780548851886)</f>
        <v>0.002222578055</v>
      </c>
      <c r="H136" s="4"/>
      <c r="I136" s="5" t="s">
        <v>3352</v>
      </c>
      <c r="J136" s="5" t="s">
        <v>3256</v>
      </c>
      <c r="K136" s="24">
        <v>5.0</v>
      </c>
      <c r="L136" s="5">
        <v>-0.09032</v>
      </c>
      <c r="M136" s="5">
        <v>0.006981</v>
      </c>
      <c r="N136" s="5">
        <v>-0.083339</v>
      </c>
      <c r="O136" s="5">
        <v>0.002734</v>
      </c>
    </row>
    <row r="137">
      <c r="A137" s="12" t="str">
        <f>IFERROR(__xludf.DUMMYFUNCTION("""COMPUTED_VALUE"""),"Alexander Hopp")</f>
        <v>Alexander Hopp</v>
      </c>
      <c r="B137" s="13" t="str">
        <f>IFERROR(__xludf.DUMMYFUNCTION("""COMPUTED_VALUE"""),"OTB")</f>
        <v>OTB</v>
      </c>
      <c r="C137" s="14">
        <f>IFERROR(__xludf.DUMMYFUNCTION("""COMPUTED_VALUE"""),4.7)</f>
        <v>4.7</v>
      </c>
      <c r="D137" s="15">
        <f>IFERROR(__xludf.DUMMYFUNCTION("""COMPUTED_VALUE"""),-0.09090465755948926)</f>
        <v>-0.09090465756</v>
      </c>
      <c r="E137" s="15">
        <f>IFERROR(__xludf.DUMMYFUNCTION("""COMPUTED_VALUE"""),0.007566133600591718)</f>
        <v>0.007566133601</v>
      </c>
      <c r="F137" s="15">
        <f>IFERROR(__xludf.DUMMYFUNCTION("""COMPUTED_VALUE"""),-0.08333852395889754)</f>
        <v>-0.08333852396</v>
      </c>
      <c r="G137" s="17">
        <f>IFERROR(__xludf.DUMMYFUNCTION("""COMPUTED_VALUE"""),0.0027340753526541397)</f>
        <v>0.002734075353</v>
      </c>
      <c r="H137" s="4"/>
      <c r="I137" s="5" t="s">
        <v>968</v>
      </c>
      <c r="J137" s="5" t="s">
        <v>3240</v>
      </c>
      <c r="K137" s="5">
        <v>727.0</v>
      </c>
      <c r="L137" s="5">
        <v>0.856302</v>
      </c>
      <c r="M137" s="5">
        <v>-0.944493</v>
      </c>
      <c r="N137" s="5">
        <v>-0.088191</v>
      </c>
      <c r="O137" s="5">
        <v>0.423778</v>
      </c>
    </row>
    <row r="138">
      <c r="A138" s="18" t="str">
        <f>IFERROR(__xludf.DUMMYFUNCTION("""COMPUTED_VALUE"""),"Georg Beyschlag")</f>
        <v>Georg Beyschlag</v>
      </c>
      <c r="B138" s="19" t="str">
        <f>IFERROR(__xludf.DUMMYFUNCTION("""COMPUTED_VALUE"""),"MUNII")</f>
        <v>MUNII</v>
      </c>
      <c r="C138" s="20">
        <f>IFERROR(__xludf.DUMMYFUNCTION("""COMPUTED_VALUE"""),726.9)</f>
        <v>726.9</v>
      </c>
      <c r="D138" s="21">
        <f>IFERROR(__xludf.DUMMYFUNCTION("""COMPUTED_VALUE"""),0.8189660684896062)</f>
        <v>0.8189660685</v>
      </c>
      <c r="E138" s="21">
        <f>IFERROR(__xludf.DUMMYFUNCTION("""COMPUTED_VALUE"""),-0.9071569915479335)</f>
        <v>-0.9071569915</v>
      </c>
      <c r="F138" s="21">
        <f>IFERROR(__xludf.DUMMYFUNCTION("""COMPUTED_VALUE"""),-0.08819092305832732)</f>
        <v>-0.08819092306</v>
      </c>
      <c r="G138" s="23">
        <f>IFERROR(__xludf.DUMMYFUNCTION("""COMPUTED_VALUE"""),0.4237780101921803)</f>
        <v>0.4237780102</v>
      </c>
      <c r="H138" s="4"/>
      <c r="I138" s="5" t="s">
        <v>3353</v>
      </c>
      <c r="J138" s="5" t="s">
        <v>3237</v>
      </c>
      <c r="K138" s="5">
        <v>3.0</v>
      </c>
      <c r="L138" s="5">
        <v>-0.086398</v>
      </c>
      <c r="M138" s="5">
        <v>-0.016246</v>
      </c>
      <c r="N138" s="5">
        <v>-0.102644</v>
      </c>
      <c r="O138" s="5">
        <v>0.001728</v>
      </c>
    </row>
    <row r="139">
      <c r="A139" s="12" t="str">
        <f>IFERROR(__xludf.DUMMYFUNCTION("""COMPUTED_VALUE"""),"Dion Mohammed Braimoh")</f>
        <v>Dion Mohammed Braimoh</v>
      </c>
      <c r="B139" s="13" t="str">
        <f>IFERROR(__xludf.DUMMYFUNCTION("""COMPUTED_VALUE"""),"CUX")</f>
        <v>CUX</v>
      </c>
      <c r="C139" s="14">
        <f>IFERROR(__xludf.DUMMYFUNCTION("""COMPUTED_VALUE"""),2.7)</f>
        <v>2.7</v>
      </c>
      <c r="D139" s="15">
        <f>IFERROR(__xludf.DUMMYFUNCTION("""COMPUTED_VALUE"""),-0.08673406048127005)</f>
        <v>-0.08673406048</v>
      </c>
      <c r="E139" s="15">
        <f>IFERROR(__xludf.DUMMYFUNCTION("""COMPUTED_VALUE"""),-0.01590999639917602)</f>
        <v>-0.0159099964</v>
      </c>
      <c r="F139" s="15">
        <f>IFERROR(__xludf.DUMMYFUNCTION("""COMPUTED_VALUE"""),-0.10264405688044607)</f>
        <v>-0.1026440569</v>
      </c>
      <c r="G139" s="17">
        <f>IFERROR(__xludf.DUMMYFUNCTION("""COMPUTED_VALUE"""),0.001728356511814825)</f>
        <v>0.001728356512</v>
      </c>
      <c r="H139" s="4"/>
      <c r="I139" s="5" t="s">
        <v>1239</v>
      </c>
      <c r="J139" s="5" t="s">
        <v>3215</v>
      </c>
      <c r="K139" s="5">
        <v>394.0</v>
      </c>
      <c r="L139" s="5">
        <v>-0.642232</v>
      </c>
      <c r="M139" s="5">
        <v>0.532077</v>
      </c>
      <c r="N139" s="5">
        <v>-0.110155</v>
      </c>
      <c r="O139" s="5">
        <v>0.22621</v>
      </c>
    </row>
    <row r="140">
      <c r="A140" s="18" t="str">
        <f>IFERROR(__xludf.DUMMYFUNCTION("""COMPUTED_VALUE"""),"Lars Lagerpusch")</f>
        <v>Lars Lagerpusch</v>
      </c>
      <c r="B140" s="19" t="str">
        <f>IFERROR(__xludf.DUMMYFUNCTION("""COMPUTED_VALUE"""),"WOLF")</f>
        <v>WOLF</v>
      </c>
      <c r="C140" s="20">
        <f>IFERROR(__xludf.DUMMYFUNCTION("""COMPUTED_VALUE"""),394.2)</f>
        <v>394.2</v>
      </c>
      <c r="D140" s="21">
        <f>IFERROR(__xludf.DUMMYFUNCTION("""COMPUTED_VALUE"""),-0.67956767458771)</f>
        <v>-0.6795676746</v>
      </c>
      <c r="E140" s="21">
        <f>IFERROR(__xludf.DUMMYFUNCTION("""COMPUTED_VALUE"""),0.5694130676131854)</f>
        <v>0.5694130676</v>
      </c>
      <c r="F140" s="21">
        <f>IFERROR(__xludf.DUMMYFUNCTION("""COMPUTED_VALUE"""),-0.1101546069745245)</f>
        <v>-0.110154607</v>
      </c>
      <c r="G140" s="23">
        <f>IFERROR(__xludf.DUMMYFUNCTION("""COMPUTED_VALUE"""),0.22620974440297623)</f>
        <v>0.2262097444</v>
      </c>
      <c r="H140" s="4"/>
      <c r="I140" s="5" t="s">
        <v>3354</v>
      </c>
      <c r="J140" s="5" t="s">
        <v>3263</v>
      </c>
      <c r="K140" s="5">
        <v>25.0</v>
      </c>
      <c r="L140" s="5">
        <v>-0.375747</v>
      </c>
      <c r="M140" s="5">
        <v>0.207031</v>
      </c>
      <c r="N140" s="5">
        <v>-0.168716</v>
      </c>
      <c r="O140" s="5">
        <v>0.01354</v>
      </c>
    </row>
    <row r="141">
      <c r="A141" s="12" t="str">
        <f>IFERROR(__xludf.DUMMYFUNCTION("""COMPUTED_VALUE"""),"Lennart Okeke")</f>
        <v>Lennart Okeke</v>
      </c>
      <c r="B141" s="13" t="str">
        <f>IFERROR(__xludf.DUMMYFUNCTION("""COMPUTED_VALUE"""),"JR")</f>
        <v>JR</v>
      </c>
      <c r="C141" s="14">
        <f>IFERROR(__xludf.DUMMYFUNCTION("""COMPUTED_VALUE"""),24.6)</f>
        <v>24.6</v>
      </c>
      <c r="D141" s="15">
        <f>IFERROR(__xludf.DUMMYFUNCTION("""COMPUTED_VALUE"""),-0.3788083906472466)</f>
        <v>-0.3788083906</v>
      </c>
      <c r="E141" s="15">
        <f>IFERROR(__xludf.DUMMYFUNCTION("""COMPUTED_VALUE"""),0.21009223950218814)</f>
        <v>0.2100922395</v>
      </c>
      <c r="F141" s="15">
        <f>IFERROR(__xludf.DUMMYFUNCTION("""COMPUTED_VALUE"""),-0.16871615114505845)</f>
        <v>-0.1687161511</v>
      </c>
      <c r="G141" s="17">
        <f>IFERROR(__xludf.DUMMYFUNCTION("""COMPUTED_VALUE"""),0.013539924748528227)</f>
        <v>0.01353992475</v>
      </c>
      <c r="H141" s="4"/>
      <c r="I141" s="5" t="s">
        <v>3355</v>
      </c>
      <c r="J141" s="5" t="s">
        <v>3237</v>
      </c>
      <c r="K141" s="5">
        <v>2.0</v>
      </c>
      <c r="L141" s="5">
        <v>-0.170836</v>
      </c>
      <c r="M141" s="5">
        <v>-2.36E-4</v>
      </c>
      <c r="N141" s="5">
        <v>-0.171072</v>
      </c>
      <c r="O141" s="5">
        <v>0.001172</v>
      </c>
    </row>
    <row r="142">
      <c r="A142" s="18" t="str">
        <f>IFERROR(__xludf.DUMMYFUNCTION("""COMPUTED_VALUE"""),"Menno Moller")</f>
        <v>Menno Moller</v>
      </c>
      <c r="B142" s="19" t="str">
        <f>IFERROR(__xludf.DUMMYFUNCTION("""COMPUTED_VALUE"""),"CUX")</f>
        <v>CUX</v>
      </c>
      <c r="C142" s="20">
        <f>IFERROR(__xludf.DUMMYFUNCTION("""COMPUTED_VALUE"""),1.9)</f>
        <v>1.9</v>
      </c>
      <c r="D142" s="21">
        <f>IFERROR(__xludf.DUMMYFUNCTION("""COMPUTED_VALUE"""),-0.1710721711344141)</f>
        <v>-0.1710721711</v>
      </c>
      <c r="E142" s="21">
        <f>IFERROR(__xludf.DUMMYFUNCTION("""COMPUTED_VALUE"""),4.693651998455284E-7)</f>
        <v>0.0000004693651998</v>
      </c>
      <c r="F142" s="21">
        <f>IFERROR(__xludf.DUMMYFUNCTION("""COMPUTED_VALUE"""),-0.17107170176921427)</f>
        <v>-0.1710717018</v>
      </c>
      <c r="G142" s="23">
        <f>IFERROR(__xludf.DUMMYFUNCTION("""COMPUTED_VALUE"""),0.0011723871094618268)</f>
        <v>0.001172387109</v>
      </c>
      <c r="H142" s="4"/>
      <c r="I142" s="5" t="s">
        <v>3356</v>
      </c>
      <c r="J142" s="5" t="s">
        <v>3237</v>
      </c>
      <c r="K142" s="24">
        <v>7.0</v>
      </c>
      <c r="L142" s="5">
        <v>-0.27802</v>
      </c>
      <c r="M142" s="5">
        <v>0.104922</v>
      </c>
      <c r="N142" s="5">
        <v>-0.173098</v>
      </c>
      <c r="O142" s="5">
        <v>0.004561</v>
      </c>
    </row>
    <row r="143">
      <c r="A143" s="12" t="str">
        <f>IFERROR(__xludf.DUMMYFUNCTION("""COMPUTED_VALUE"""),"Kyle Benton")</f>
        <v>Kyle Benton</v>
      </c>
      <c r="B143" s="13" t="str">
        <f>IFERROR(__xludf.DUMMYFUNCTION("""COMPUTED_VALUE"""),"CUX")</f>
        <v>CUX</v>
      </c>
      <c r="C143" s="14">
        <f>IFERROR(__xludf.DUMMYFUNCTION("""COMPUTED_VALUE"""),7.4)</f>
        <v>7.4</v>
      </c>
      <c r="D143" s="15">
        <f>IFERROR(__xludf.DUMMYFUNCTION("""COMPUTED_VALUE"""),-0.27894132902246277)</f>
        <v>-0.278941329</v>
      </c>
      <c r="E143" s="15">
        <f>IFERROR(__xludf.DUMMYFUNCTION("""COMPUTED_VALUE"""),0.10584328660971765)</f>
        <v>0.1058432866</v>
      </c>
      <c r="F143" s="15">
        <f>IFERROR(__xludf.DUMMYFUNCTION("""COMPUTED_VALUE"""),-0.17309804241274512)</f>
        <v>-0.1730980424</v>
      </c>
      <c r="G143" s="17">
        <f>IFERROR(__xludf.DUMMYFUNCTION("""COMPUTED_VALUE"""),0.004561080265519883)</f>
        <v>0.004561080266</v>
      </c>
      <c r="H143" s="4"/>
      <c r="I143" s="5" t="s">
        <v>3357</v>
      </c>
      <c r="J143" s="5" t="s">
        <v>3210</v>
      </c>
      <c r="K143" s="5">
        <v>18.0</v>
      </c>
      <c r="L143" s="5">
        <v>0.106977</v>
      </c>
      <c r="M143" s="5">
        <v>-0.281848</v>
      </c>
      <c r="N143" s="5">
        <v>-0.174871</v>
      </c>
      <c r="O143" s="5">
        <v>0.009721</v>
      </c>
    </row>
    <row r="144">
      <c r="A144" s="18" t="str">
        <f>IFERROR(__xludf.DUMMYFUNCTION("""COMPUTED_VALUE"""),"Erik Krumme")</f>
        <v>Erik Krumme</v>
      </c>
      <c r="B144" s="19" t="str">
        <f>IFERROR(__xludf.DUMMYFUNCTION("""COMPUTED_VALUE"""),"ISER")</f>
        <v>ISER</v>
      </c>
      <c r="C144" s="20">
        <f>IFERROR(__xludf.DUMMYFUNCTION("""COMPUTED_VALUE"""),17.7)</f>
        <v>17.7</v>
      </c>
      <c r="D144" s="21">
        <f>IFERROR(__xludf.DUMMYFUNCTION("""COMPUTED_VALUE"""),0.10477418218596266)</f>
        <v>0.1047741822</v>
      </c>
      <c r="E144" s="21">
        <f>IFERROR(__xludf.DUMMYFUNCTION("""COMPUTED_VALUE"""),-0.27964517744920364)</f>
        <v>-0.2796451774</v>
      </c>
      <c r="F144" s="21">
        <f>IFERROR(__xludf.DUMMYFUNCTION("""COMPUTED_VALUE"""),-0.17487099526324099)</f>
        <v>-0.1748709953</v>
      </c>
      <c r="G144" s="23">
        <f>IFERROR(__xludf.DUMMYFUNCTION("""COMPUTED_VALUE"""),0.009720568948944887)</f>
        <v>0.009720568949</v>
      </c>
      <c r="H144" s="4"/>
      <c r="I144" s="5" t="s">
        <v>964</v>
      </c>
      <c r="J144" s="5" t="s">
        <v>3226</v>
      </c>
      <c r="K144" s="5">
        <v>4.0</v>
      </c>
      <c r="L144" s="5">
        <v>-0.135464</v>
      </c>
      <c r="M144" s="5">
        <v>-0.045648</v>
      </c>
      <c r="N144" s="5">
        <v>-0.181112</v>
      </c>
      <c r="O144" s="5">
        <v>0.00222</v>
      </c>
    </row>
    <row r="145">
      <c r="A145" s="12" t="str">
        <f>IFERROR(__xludf.DUMMYFUNCTION("""COMPUTED_VALUE"""),"Hendrik Drescher")</f>
        <v>Hendrik Drescher</v>
      </c>
      <c r="B145" s="13" t="str">
        <f>IFERROR(__xludf.DUMMYFUNCTION("""COMPUTED_VALUE"""),"SSV")</f>
        <v>SSV</v>
      </c>
      <c r="C145" s="14">
        <f>IFERROR(__xludf.DUMMYFUNCTION("""COMPUTED_VALUE"""),4.0)</f>
        <v>4</v>
      </c>
      <c r="D145" s="15">
        <f>IFERROR(__xludf.DUMMYFUNCTION("""COMPUTED_VALUE"""),-0.13596139260327694)</f>
        <v>-0.1359613926</v>
      </c>
      <c r="E145" s="15">
        <f>IFERROR(__xludf.DUMMYFUNCTION("""COMPUTED_VALUE"""),-0.04515026670231459)</f>
        <v>-0.0451502667</v>
      </c>
      <c r="F145" s="15">
        <f>IFERROR(__xludf.DUMMYFUNCTION("""COMPUTED_VALUE"""),-0.18111165930559153)</f>
        <v>-0.1811116593</v>
      </c>
      <c r="G145" s="17">
        <f>IFERROR(__xludf.DUMMYFUNCTION("""COMPUTED_VALUE"""),0.0022200528081489225)</f>
        <v>0.002220052808</v>
      </c>
      <c r="H145" s="4"/>
      <c r="I145" s="5" t="s">
        <v>3358</v>
      </c>
      <c r="J145" s="5" t="s">
        <v>3240</v>
      </c>
      <c r="K145" s="5">
        <v>67.0</v>
      </c>
      <c r="L145" s="5">
        <v>0.02928</v>
      </c>
      <c r="M145" s="5">
        <v>-0.214644</v>
      </c>
      <c r="N145" s="5">
        <v>-0.185364</v>
      </c>
      <c r="O145" s="5">
        <v>0.036799</v>
      </c>
    </row>
    <row r="146">
      <c r="A146" s="18" t="str">
        <f>IFERROR(__xludf.DUMMYFUNCTION("""COMPUTED_VALUE"""),"Tobias Korndoerfer")</f>
        <v>Tobias Korndoerfer</v>
      </c>
      <c r="B146" s="19" t="str">
        <f>IFERROR(__xludf.DUMMYFUNCTION("""COMPUTED_VALUE"""),"MUNII")</f>
        <v>MUNII</v>
      </c>
      <c r="C146" s="20">
        <f>IFERROR(__xludf.DUMMYFUNCTION("""COMPUTED_VALUE"""),66.5)</f>
        <v>66.5</v>
      </c>
      <c r="D146" s="21">
        <f>IFERROR(__xludf.DUMMYFUNCTION("""COMPUTED_VALUE"""),0.02100377194406677)</f>
        <v>0.02100377194</v>
      </c>
      <c r="E146" s="21">
        <f>IFERROR(__xludf.DUMMYFUNCTION("""COMPUTED_VALUE"""),-0.20636791423334996)</f>
        <v>-0.2063679142</v>
      </c>
      <c r="F146" s="21">
        <f>IFERROR(__xludf.DUMMYFUNCTION("""COMPUTED_VALUE"""),-0.1853641422892832)</f>
        <v>-0.1853641423</v>
      </c>
      <c r="G146" s="23">
        <f>IFERROR(__xludf.DUMMYFUNCTION("""COMPUTED_VALUE"""),0.03679852092714723)</f>
        <v>0.03679852093</v>
      </c>
      <c r="H146" s="4"/>
      <c r="I146" s="5" t="s">
        <v>3359</v>
      </c>
      <c r="J146" s="5" t="s">
        <v>3226</v>
      </c>
      <c r="K146" s="5">
        <v>4.0</v>
      </c>
      <c r="L146" s="5">
        <v>-0.200066</v>
      </c>
      <c r="M146" s="5">
        <v>0.009252</v>
      </c>
      <c r="N146" s="5">
        <v>-0.190814</v>
      </c>
      <c r="O146" s="5">
        <v>0.002098</v>
      </c>
    </row>
    <row r="147">
      <c r="A147" s="12" t="str">
        <f>IFERROR(__xludf.DUMMYFUNCTION("""COMPUTED_VALUE"""),"Max Stolzel")</f>
        <v>Max Stolzel</v>
      </c>
      <c r="B147" s="13" t="str">
        <f>IFERROR(__xludf.DUMMYFUNCTION("""COMPUTED_VALUE"""),"SSV")</f>
        <v>SSV</v>
      </c>
      <c r="C147" s="14">
        <f>IFERROR(__xludf.DUMMYFUNCTION("""COMPUTED_VALUE"""),3.8)</f>
        <v>3.8</v>
      </c>
      <c r="D147" s="15">
        <f>IFERROR(__xludf.DUMMYFUNCTION("""COMPUTED_VALUE"""),-0.20053846360771407)</f>
        <v>-0.2005384636</v>
      </c>
      <c r="E147" s="15">
        <f>IFERROR(__xludf.DUMMYFUNCTION("""COMPUTED_VALUE"""),0.009724938277111628)</f>
        <v>0.009724938277</v>
      </c>
      <c r="F147" s="15">
        <f>IFERROR(__xludf.DUMMYFUNCTION("""COMPUTED_VALUE"""),-0.19081352533060245)</f>
        <v>-0.1908135253</v>
      </c>
      <c r="G147" s="17">
        <f>IFERROR(__xludf.DUMMYFUNCTION("""COMPUTED_VALUE"""),0.002097800591992564)</f>
        <v>0.002097800592</v>
      </c>
      <c r="H147" s="4"/>
      <c r="I147" s="5" t="s">
        <v>3360</v>
      </c>
      <c r="J147" s="5" t="s">
        <v>3210</v>
      </c>
      <c r="K147" s="5">
        <v>2.0</v>
      </c>
      <c r="L147" s="5">
        <v>-0.181339</v>
      </c>
      <c r="M147" s="5">
        <v>-0.010969</v>
      </c>
      <c r="N147" s="5">
        <v>-0.192308</v>
      </c>
      <c r="O147" s="5">
        <v>9.25E-4</v>
      </c>
    </row>
    <row r="148">
      <c r="A148" s="18" t="str">
        <f>IFERROR(__xludf.DUMMYFUNCTION("""COMPUTED_VALUE"""),"Sharik Aboubakar")</f>
        <v>Sharik Aboubakar</v>
      </c>
      <c r="B148" s="19" t="str">
        <f>IFERROR(__xludf.DUMMYFUNCTION("""COMPUTED_VALUE"""),"ISER")</f>
        <v>ISER</v>
      </c>
      <c r="C148" s="20">
        <f>IFERROR(__xludf.DUMMYFUNCTION("""COMPUTED_VALUE"""),1.7)</f>
        <v>1.7</v>
      </c>
      <c r="D148" s="21">
        <f>IFERROR(__xludf.DUMMYFUNCTION("""COMPUTED_VALUE"""),-0.18155050761598354)</f>
        <v>-0.1815505076</v>
      </c>
      <c r="E148" s="21">
        <f>IFERROR(__xludf.DUMMYFUNCTION("""COMPUTED_VALUE"""),-0.010756993600163328)</f>
        <v>-0.0107569936</v>
      </c>
      <c r="F148" s="21">
        <f>IFERROR(__xludf.DUMMYFUNCTION("""COMPUTED_VALUE"""),-0.19230750121614687)</f>
        <v>-0.1923075012</v>
      </c>
      <c r="G148" s="23">
        <f>IFERROR(__xludf.DUMMYFUNCTION("""COMPUTED_VALUE"""),9.246946162438789E-4)</f>
        <v>0.0009246946162</v>
      </c>
      <c r="H148" s="4"/>
      <c r="I148" s="5" t="s">
        <v>3361</v>
      </c>
      <c r="J148" s="5" t="s">
        <v>3281</v>
      </c>
      <c r="K148" s="5">
        <v>2.0</v>
      </c>
      <c r="L148" s="5">
        <v>-0.091056</v>
      </c>
      <c r="M148" s="5">
        <v>-0.113393</v>
      </c>
      <c r="N148" s="5">
        <v>-0.204448</v>
      </c>
      <c r="O148" s="5">
        <v>0.00115</v>
      </c>
    </row>
    <row r="149">
      <c r="A149" s="12" t="str">
        <f>IFERROR(__xludf.DUMMYFUNCTION("""COMPUTED_VALUE"""),"Linus Hoffmann")</f>
        <v>Linus Hoffmann</v>
      </c>
      <c r="B149" s="13" t="str">
        <f>IFERROR(__xludf.DUMMYFUNCTION("""COMPUTED_VALUE"""),"RIST")</f>
        <v>RIST</v>
      </c>
      <c r="C149" s="14">
        <f>IFERROR(__xludf.DUMMYFUNCTION("""COMPUTED_VALUE"""),2.1)</f>
        <v>2.1</v>
      </c>
      <c r="D149" s="15">
        <f>IFERROR(__xludf.DUMMYFUNCTION("""COMPUTED_VALUE"""),-0.09131685482149164)</f>
        <v>-0.09131685482</v>
      </c>
      <c r="E149" s="15">
        <f>IFERROR(__xludf.DUMMYFUNCTION("""COMPUTED_VALUE"""),-0.11313125325808672)</f>
        <v>-0.1131312533</v>
      </c>
      <c r="F149" s="15">
        <f>IFERROR(__xludf.DUMMYFUNCTION("""COMPUTED_VALUE"""),-0.20444810807957836)</f>
        <v>-0.2044481081</v>
      </c>
      <c r="G149" s="17">
        <f>IFERROR(__xludf.DUMMYFUNCTION("""COMPUTED_VALUE"""),0.0011496763115231654)</f>
        <v>0.001149676312</v>
      </c>
      <c r="H149" s="4"/>
      <c r="I149" s="5" t="s">
        <v>940</v>
      </c>
      <c r="J149" s="5" t="s">
        <v>3256</v>
      </c>
      <c r="K149" s="24">
        <v>114.0</v>
      </c>
      <c r="L149" s="5">
        <v>-1.372906</v>
      </c>
      <c r="M149" s="5">
        <v>1.162912</v>
      </c>
      <c r="N149" s="5">
        <v>-0.209994</v>
      </c>
      <c r="O149" s="5">
        <v>0.061771</v>
      </c>
    </row>
    <row r="150">
      <c r="A150" s="18" t="str">
        <f>IFERROR(__xludf.DUMMYFUNCTION("""COMPUTED_VALUE"""),"Christian Jones")</f>
        <v>Christian Jones</v>
      </c>
      <c r="B150" s="19" t="str">
        <f>IFERROR(__xludf.DUMMYFUNCTION("""COMPUTED_VALUE"""),"OTB")</f>
        <v>OTB</v>
      </c>
      <c r="C150" s="20">
        <f>IFERROR(__xludf.DUMMYFUNCTION("""COMPUTED_VALUE"""),113.7)</f>
        <v>113.7</v>
      </c>
      <c r="D150" s="21">
        <f>IFERROR(__xludf.DUMMYFUNCTION("""COMPUTED_VALUE"""),-1.38705641669595)</f>
        <v>-1.387056417</v>
      </c>
      <c r="E150" s="21">
        <f>IFERROR(__xludf.DUMMYFUNCTION("""COMPUTED_VALUE"""),1.1770624059118848)</f>
        <v>1.177062406</v>
      </c>
      <c r="F150" s="21">
        <f>IFERROR(__xludf.DUMMYFUNCTION("""COMPUTED_VALUE"""),-0.2099940107840653)</f>
        <v>-0.2099940108</v>
      </c>
      <c r="G150" s="23">
        <f>IFERROR(__xludf.DUMMYFUNCTION("""COMPUTED_VALUE"""),0.061770647931739045)</f>
        <v>0.06177064793</v>
      </c>
      <c r="H150" s="4"/>
      <c r="I150" s="5" t="s">
        <v>3362</v>
      </c>
      <c r="J150" s="5" t="s">
        <v>644</v>
      </c>
      <c r="K150" s="24">
        <v>3.0</v>
      </c>
      <c r="L150" s="5">
        <v>-0.16432</v>
      </c>
      <c r="M150" s="5">
        <v>-0.088385</v>
      </c>
      <c r="N150" s="5">
        <v>-0.252706</v>
      </c>
      <c r="O150" s="5">
        <v>0.001644</v>
      </c>
    </row>
    <row r="151">
      <c r="A151" s="12" t="str">
        <f>IFERROR(__xludf.DUMMYFUNCTION("""COMPUTED_VALUE"""),"Jon Mesghna")</f>
        <v>Jon Mesghna</v>
      </c>
      <c r="B151" s="13" t="str">
        <f>IFERROR(__xludf.DUMMYFUNCTION("""COMPUTED_VALUE"""),"ART")</f>
        <v>ART</v>
      </c>
      <c r="C151" s="14">
        <f>IFERROR(__xludf.DUMMYFUNCTION("""COMPUTED_VALUE"""),84.4)</f>
        <v>84.4</v>
      </c>
      <c r="D151" s="15">
        <f>IFERROR(__xludf.DUMMYFUNCTION("""COMPUTED_VALUE"""),0.5076421281811843)</f>
        <v>0.5076421282</v>
      </c>
      <c r="E151" s="15">
        <f>IFERROR(__xludf.DUMMYFUNCTION("""COMPUTED_VALUE"""),-0.7223671804369249)</f>
        <v>-0.7223671804</v>
      </c>
      <c r="F151" s="15">
        <f>IFERROR(__xludf.DUMMYFUNCTION("""COMPUTED_VALUE"""),-0.21472505225574073)</f>
        <v>-0.2147250523</v>
      </c>
      <c r="G151" s="17">
        <f>IFERROR(__xludf.DUMMYFUNCTION("""COMPUTED_VALUE"""),0.04453051342804948)</f>
        <v>0.04453051343</v>
      </c>
      <c r="H151" s="4"/>
      <c r="I151" s="5" t="s">
        <v>3363</v>
      </c>
      <c r="J151" s="5" t="s">
        <v>3217</v>
      </c>
      <c r="K151" s="24">
        <v>8.0</v>
      </c>
      <c r="L151" s="5">
        <v>-0.039457</v>
      </c>
      <c r="M151" s="5">
        <v>-0.217761</v>
      </c>
      <c r="N151" s="5">
        <v>-0.257217</v>
      </c>
      <c r="O151" s="5">
        <v>0.004144</v>
      </c>
    </row>
    <row r="152">
      <c r="A152" s="18" t="str">
        <f>IFERROR(__xludf.DUMMYFUNCTION("""COMPUTED_VALUE"""),"Soren Queck")</f>
        <v>Soren Queck</v>
      </c>
      <c r="B152" s="19" t="str">
        <f>IFERROR(__xludf.DUMMYFUNCTION("""COMPUTED_VALUE"""),"BAY")</f>
        <v>BAY</v>
      </c>
      <c r="C152" s="20">
        <f>IFERROR(__xludf.DUMMYFUNCTION("""COMPUTED_VALUE"""),3.1)</f>
        <v>3.1</v>
      </c>
      <c r="D152" s="21">
        <f>IFERROR(__xludf.DUMMYFUNCTION("""COMPUTED_VALUE"""),-0.16470625948966597)</f>
        <v>-0.1647062595</v>
      </c>
      <c r="E152" s="21">
        <f>IFERROR(__xludf.DUMMYFUNCTION("""COMPUTED_VALUE"""),-0.08799926769896635)</f>
        <v>-0.0879992677</v>
      </c>
      <c r="F152" s="21">
        <f>IFERROR(__xludf.DUMMYFUNCTION("""COMPUTED_VALUE"""),-0.2527055271886323)</f>
        <v>-0.2527055272</v>
      </c>
      <c r="G152" s="23">
        <f>IFERROR(__xludf.DUMMYFUNCTION("""COMPUTED_VALUE"""),0.001644401212334006)</f>
        <v>0.001644401212</v>
      </c>
      <c r="H152" s="4"/>
      <c r="I152" s="5" t="s">
        <v>3364</v>
      </c>
      <c r="J152" s="5" t="s">
        <v>3263</v>
      </c>
      <c r="K152" s="5">
        <v>11.0</v>
      </c>
      <c r="L152" s="5">
        <v>-0.258202</v>
      </c>
      <c r="M152" s="5">
        <v>5.83E-4</v>
      </c>
      <c r="N152" s="5">
        <v>-0.257619</v>
      </c>
      <c r="O152" s="5">
        <v>0.005865</v>
      </c>
    </row>
    <row r="153">
      <c r="A153" s="12" t="str">
        <f>IFERROR(__xludf.DUMMYFUNCTION("""COMPUTED_VALUE"""),"Jannis Hahn")</f>
        <v>Jannis Hahn</v>
      </c>
      <c r="B153" s="13" t="str">
        <f>IFERROR(__xludf.DUMMYFUNCTION("""COMPUTED_VALUE"""),"GIES")</f>
        <v>GIES</v>
      </c>
      <c r="C153" s="14">
        <f>IFERROR(__xludf.DUMMYFUNCTION("""COMPUTED_VALUE"""),7.9)</f>
        <v>7.9</v>
      </c>
      <c r="D153" s="15">
        <f>IFERROR(__xludf.DUMMYFUNCTION("""COMPUTED_VALUE"""),-0.04044000100563446)</f>
        <v>-0.04044000101</v>
      </c>
      <c r="E153" s="15">
        <f>IFERROR(__xludf.DUMMYFUNCTION("""COMPUTED_VALUE"""),-0.21677749291107626)</f>
        <v>-0.2167774929</v>
      </c>
      <c r="F153" s="15">
        <f>IFERROR(__xludf.DUMMYFUNCTION("""COMPUTED_VALUE"""),-0.2572174939167107)</f>
        <v>-0.2572174939</v>
      </c>
      <c r="G153" s="17">
        <f>IFERROR(__xludf.DUMMYFUNCTION("""COMPUTED_VALUE"""),0.0041436874888817294)</f>
        <v>0.004143687489</v>
      </c>
      <c r="H153" s="4"/>
      <c r="I153" s="5" t="s">
        <v>3365</v>
      </c>
      <c r="J153" s="5" t="s">
        <v>3220</v>
      </c>
      <c r="K153" s="24">
        <v>811.0</v>
      </c>
      <c r="L153" s="5">
        <v>-0.077698</v>
      </c>
      <c r="M153" s="5">
        <v>-0.202854</v>
      </c>
      <c r="N153" s="5">
        <v>-0.280552</v>
      </c>
      <c r="O153" s="5">
        <v>0.427995</v>
      </c>
    </row>
    <row r="154">
      <c r="A154" s="18" t="str">
        <f>IFERROR(__xludf.DUMMYFUNCTION("""COMPUTED_VALUE"""),"Len Schoormann")</f>
        <v>Len Schoormann</v>
      </c>
      <c r="B154" s="19" t="str">
        <f>IFERROR(__xludf.DUMMYFUNCTION("""COMPUTED_VALUE"""),"JR")</f>
        <v>JR</v>
      </c>
      <c r="C154" s="20">
        <f>IFERROR(__xludf.DUMMYFUNCTION("""COMPUTED_VALUE"""),11.2)</f>
        <v>11.2</v>
      </c>
      <c r="D154" s="21">
        <f>IFERROR(__xludf.DUMMYFUNCTION("""COMPUTED_VALUE"""),-0.2595957321772393)</f>
        <v>-0.2595957322</v>
      </c>
      <c r="E154" s="21">
        <f>IFERROR(__xludf.DUMMYFUNCTION("""COMPUTED_VALUE"""),0.0019771134429746318)</f>
        <v>0.001977113443</v>
      </c>
      <c r="F154" s="21">
        <f>IFERROR(__xludf.DUMMYFUNCTION("""COMPUTED_VALUE"""),-0.25761861873426467)</f>
        <v>-0.2576186187</v>
      </c>
      <c r="G154" s="23">
        <f>IFERROR(__xludf.DUMMYFUNCTION("""COMPUTED_VALUE"""),0.005865252627634206)</f>
        <v>0.005865252628</v>
      </c>
      <c r="H154" s="4"/>
      <c r="I154" s="5" t="s">
        <v>3366</v>
      </c>
      <c r="J154" s="5" t="s">
        <v>3278</v>
      </c>
      <c r="K154" s="5">
        <v>8.0</v>
      </c>
      <c r="L154" s="5">
        <v>-0.236755</v>
      </c>
      <c r="M154" s="5">
        <v>-0.048637</v>
      </c>
      <c r="N154" s="5">
        <v>-0.285392</v>
      </c>
      <c r="O154" s="5">
        <v>0.004039</v>
      </c>
    </row>
    <row r="155">
      <c r="A155" s="12" t="str">
        <f>IFERROR(__xludf.DUMMYFUNCTION("""COMPUTED_VALUE"""),"Darian Cardenas Ruda")</f>
        <v>Darian Cardenas Ruda</v>
      </c>
      <c r="B155" s="13" t="str">
        <f>IFERROR(__xludf.DUMMYFUNCTION("""COMPUTED_VALUE"""),"ROST")</f>
        <v>ROST</v>
      </c>
      <c r="C155" s="14">
        <f>IFERROR(__xludf.DUMMYFUNCTION("""COMPUTED_VALUE"""),810.8)</f>
        <v>810.8</v>
      </c>
      <c r="D155" s="15">
        <f>IFERROR(__xludf.DUMMYFUNCTION("""COMPUTED_VALUE"""),-0.11503409425366085)</f>
        <v>-0.1150340943</v>
      </c>
      <c r="E155" s="15">
        <f>IFERROR(__xludf.DUMMYFUNCTION("""COMPUTED_VALUE"""),-0.1655180939917028)</f>
        <v>-0.165518094</v>
      </c>
      <c r="F155" s="15">
        <f>IFERROR(__xludf.DUMMYFUNCTION("""COMPUTED_VALUE"""),-0.28055218824536365)</f>
        <v>-0.2805521882</v>
      </c>
      <c r="G155" s="17">
        <f>IFERROR(__xludf.DUMMYFUNCTION("""COMPUTED_VALUE"""),0.4279949516502796)</f>
        <v>0.4279949517</v>
      </c>
      <c r="H155" s="4"/>
      <c r="I155" s="5" t="s">
        <v>3130</v>
      </c>
      <c r="J155" s="5" t="s">
        <v>3212</v>
      </c>
      <c r="K155" s="5">
        <v>85.0</v>
      </c>
      <c r="L155" s="5">
        <v>-0.755871</v>
      </c>
      <c r="M155" s="5">
        <v>0.469907</v>
      </c>
      <c r="N155" s="5">
        <v>-0.285964</v>
      </c>
      <c r="O155" s="5">
        <v>0.044044</v>
      </c>
    </row>
    <row r="156">
      <c r="A156" s="18" t="str">
        <f>IFERROR(__xludf.DUMMYFUNCTION("""COMPUTED_VALUE"""),"Noah Berge")</f>
        <v>Noah Berge</v>
      </c>
      <c r="B156" s="19" t="str">
        <f>IFERROR(__xludf.DUMMYFUNCTION("""COMPUTED_VALUE"""),"DRE")</f>
        <v>DRE</v>
      </c>
      <c r="C156" s="20">
        <f>IFERROR(__xludf.DUMMYFUNCTION("""COMPUTED_VALUE"""),7.8)</f>
        <v>7.8</v>
      </c>
      <c r="D156" s="21">
        <f>IFERROR(__xludf.DUMMYFUNCTION("""COMPUTED_VALUE"""),-0.2377258193361874)</f>
        <v>-0.2377258193</v>
      </c>
      <c r="E156" s="21">
        <f>IFERROR(__xludf.DUMMYFUNCTION("""COMPUTED_VALUE"""),-0.04766636192226695)</f>
        <v>-0.04766636192</v>
      </c>
      <c r="F156" s="21">
        <f>IFERROR(__xludf.DUMMYFUNCTION("""COMPUTED_VALUE"""),-0.28539218125845434)</f>
        <v>-0.2853921813</v>
      </c>
      <c r="G156" s="23">
        <f>IFERROR(__xludf.DUMMYFUNCTION("""COMPUTED_VALUE"""),0.004038800007303348)</f>
        <v>0.004038800007</v>
      </c>
      <c r="H156" s="4"/>
      <c r="I156" s="5" t="s">
        <v>3193</v>
      </c>
      <c r="J156" s="5" t="s">
        <v>3210</v>
      </c>
      <c r="K156" s="5">
        <v>457.0</v>
      </c>
      <c r="L156" s="5">
        <v>-0.047917</v>
      </c>
      <c r="M156" s="5">
        <v>-0.239113</v>
      </c>
      <c r="N156" s="5">
        <v>-0.28703</v>
      </c>
      <c r="O156" s="5">
        <v>0.235709</v>
      </c>
    </row>
    <row r="157">
      <c r="A157" s="12" t="str">
        <f>IFERROR(__xludf.DUMMYFUNCTION("""COMPUTED_VALUE"""),"Tim Kopple")</f>
        <v>Tim Kopple</v>
      </c>
      <c r="B157" s="13" t="str">
        <f>IFERROR(__xludf.DUMMYFUNCTION("""COMPUTED_VALUE"""),"ELCH")</f>
        <v>ELCH</v>
      </c>
      <c r="C157" s="14">
        <f>IFERROR(__xludf.DUMMYFUNCTION("""COMPUTED_VALUE"""),84.6)</f>
        <v>84.6</v>
      </c>
      <c r="D157" s="15">
        <f>IFERROR(__xludf.DUMMYFUNCTION("""COMPUTED_VALUE"""),-0.7663999599604518)</f>
        <v>-0.76639996</v>
      </c>
      <c r="E157" s="15">
        <f>IFERROR(__xludf.DUMMYFUNCTION("""COMPUTED_VALUE"""),0.4804359810099158)</f>
        <v>0.480435981</v>
      </c>
      <c r="F157" s="15">
        <f>IFERROR(__xludf.DUMMYFUNCTION("""COMPUTED_VALUE"""),-0.28596397895053605)</f>
        <v>-0.285963979</v>
      </c>
      <c r="G157" s="17">
        <f>IFERROR(__xludf.DUMMYFUNCTION("""COMPUTED_VALUE"""),0.04404373542488356)</f>
        <v>0.04404373542</v>
      </c>
      <c r="H157" s="4"/>
      <c r="I157" s="5" t="s">
        <v>3367</v>
      </c>
      <c r="J157" s="5" t="s">
        <v>3251</v>
      </c>
      <c r="K157" s="5">
        <v>11.0</v>
      </c>
      <c r="L157" s="5">
        <v>-0.24745</v>
      </c>
      <c r="M157" s="5">
        <v>-0.058857</v>
      </c>
      <c r="N157" s="5">
        <v>-0.306307</v>
      </c>
      <c r="O157" s="5">
        <v>0.005609</v>
      </c>
    </row>
    <row r="158">
      <c r="A158" s="18" t="str">
        <f>IFERROR(__xludf.DUMMYFUNCTION("""COMPUTED_VALUE"""),"Soren Fritze")</f>
        <v>Soren Fritze</v>
      </c>
      <c r="B158" s="19" t="str">
        <f>IFERROR(__xludf.DUMMYFUNCTION("""COMPUTED_VALUE"""),"ISER")</f>
        <v>ISER</v>
      </c>
      <c r="C158" s="20">
        <f>IFERROR(__xludf.DUMMYFUNCTION("""COMPUTED_VALUE"""),457.3)</f>
        <v>457.3</v>
      </c>
      <c r="D158" s="21">
        <f>IFERROR(__xludf.DUMMYFUNCTION("""COMPUTED_VALUE"""),-0.08525303391905259)</f>
        <v>-0.08525303392</v>
      </c>
      <c r="E158" s="21">
        <f>IFERROR(__xludf.DUMMYFUNCTION("""COMPUTED_VALUE"""),-0.2017768622478987)</f>
        <v>-0.2017768622</v>
      </c>
      <c r="F158" s="21">
        <f>IFERROR(__xludf.DUMMYFUNCTION("""COMPUTED_VALUE"""),-0.2870298961669513)</f>
        <v>-0.2870298962</v>
      </c>
      <c r="G158" s="23">
        <f>IFERROR(__xludf.DUMMYFUNCTION("""COMPUTED_VALUE"""),0.2357088215557473)</f>
        <v>0.2357088216</v>
      </c>
      <c r="H158" s="4"/>
      <c r="I158" s="5" t="s">
        <v>3368</v>
      </c>
      <c r="J158" s="5" t="s">
        <v>2201</v>
      </c>
      <c r="K158" s="5">
        <v>415.0</v>
      </c>
      <c r="L158" s="5">
        <v>0.058384</v>
      </c>
      <c r="M158" s="5">
        <v>-0.369694</v>
      </c>
      <c r="N158" s="5">
        <v>-0.31131</v>
      </c>
      <c r="O158" s="5">
        <v>0.214031</v>
      </c>
    </row>
    <row r="159">
      <c r="A159" s="12" t="str">
        <f>IFERROR(__xludf.DUMMYFUNCTION("""COMPUTED_VALUE"""),"Daniel Eisenhardt")</f>
        <v>Daniel Eisenhardt</v>
      </c>
      <c r="B159" s="13" t="str">
        <f>IFERROR(__xludf.DUMMYFUNCTION("""COMPUTED_VALUE"""),"COBU")</f>
        <v>COBU</v>
      </c>
      <c r="C159" s="14">
        <f>IFERROR(__xludf.DUMMYFUNCTION("""COMPUTED_VALUE"""),10.9)</f>
        <v>10.9</v>
      </c>
      <c r="D159" s="15">
        <f>IFERROR(__xludf.DUMMYFUNCTION("""COMPUTED_VALUE"""),-0.24880663070098494)</f>
        <v>-0.2488066307</v>
      </c>
      <c r="E159" s="15">
        <f>IFERROR(__xludf.DUMMYFUNCTION("""COMPUTED_VALUE"""),-0.057500017450562296)</f>
        <v>-0.05750001745</v>
      </c>
      <c r="F159" s="15">
        <f>IFERROR(__xludf.DUMMYFUNCTION("""COMPUTED_VALUE"""),-0.30630664815154723)</f>
        <v>-0.3063066482</v>
      </c>
      <c r="G159" s="17">
        <f>IFERROR(__xludf.DUMMYFUNCTION("""COMPUTED_VALUE"""),0.0056085019630171765)</f>
        <v>0.005608501963</v>
      </c>
      <c r="H159" s="4"/>
      <c r="I159" s="5" t="s">
        <v>3079</v>
      </c>
      <c r="J159" s="5" t="s">
        <v>3223</v>
      </c>
      <c r="K159" s="5">
        <v>28.0</v>
      </c>
      <c r="L159" s="5">
        <v>-0.240873</v>
      </c>
      <c r="M159" s="5">
        <v>-0.100813</v>
      </c>
      <c r="N159" s="5">
        <v>-0.341686</v>
      </c>
      <c r="O159" s="5">
        <v>0.014112</v>
      </c>
    </row>
    <row r="160">
      <c r="A160" s="18" t="str">
        <f>IFERROR(__xludf.DUMMYFUNCTION("""COMPUTED_VALUE"""),"Tomasz Szewczyk")</f>
        <v>Tomasz Szewczyk</v>
      </c>
      <c r="B160" s="19" t="str">
        <f>IFERROR(__xludf.DUMMYFUNCTION("""COMPUTED_VALUE"""),"SHA")</f>
        <v>SHA</v>
      </c>
      <c r="C160" s="20">
        <f>IFERROR(__xludf.DUMMYFUNCTION("""COMPUTED_VALUE"""),415.0)</f>
        <v>415</v>
      </c>
      <c r="D160" s="21">
        <f>IFERROR(__xludf.DUMMYFUNCTION("""COMPUTED_VALUE"""),0.02104796335826467)</f>
        <v>0.02104796336</v>
      </c>
      <c r="E160" s="21">
        <f>IFERROR(__xludf.DUMMYFUNCTION("""COMPUTED_VALUE"""),-0.3323579662918038)</f>
        <v>-0.3323579663</v>
      </c>
      <c r="F160" s="21">
        <f>IFERROR(__xludf.DUMMYFUNCTION("""COMPUTED_VALUE"""),-0.31131000293353916)</f>
        <v>-0.3113100029</v>
      </c>
      <c r="G160" s="23">
        <f>IFERROR(__xludf.DUMMYFUNCTION("""COMPUTED_VALUE"""),0.21403146005390478)</f>
        <v>0.2140314601</v>
      </c>
      <c r="H160" s="4"/>
      <c r="I160" s="5" t="s">
        <v>3369</v>
      </c>
      <c r="J160" s="5" t="s">
        <v>3331</v>
      </c>
      <c r="K160" s="24">
        <v>584.0</v>
      </c>
      <c r="L160" s="5">
        <v>1.210235</v>
      </c>
      <c r="M160" s="5">
        <v>-1.556802</v>
      </c>
      <c r="N160" s="5">
        <v>-0.346567</v>
      </c>
      <c r="O160" s="5">
        <v>0.293173</v>
      </c>
    </row>
    <row r="161">
      <c r="A161" s="12" t="str">
        <f>IFERROR(__xludf.DUMMYFUNCTION("""COMPUTED_VALUE"""),"Lukas Wank")</f>
        <v>Lukas Wank</v>
      </c>
      <c r="B161" s="13" t="str">
        <f>IFERROR(__xludf.DUMMYFUNCTION("""COMPUTED_VALUE"""),"AKAD")</f>
        <v>AKAD</v>
      </c>
      <c r="C161" s="14">
        <f>IFERROR(__xludf.DUMMYFUNCTION("""COMPUTED_VALUE"""),28.0)</f>
        <v>28</v>
      </c>
      <c r="D161" s="15">
        <f>IFERROR(__xludf.DUMMYFUNCTION("""COMPUTED_VALUE"""),-0.2443580703311292)</f>
        <v>-0.2443580703</v>
      </c>
      <c r="E161" s="15">
        <f>IFERROR(__xludf.DUMMYFUNCTION("""COMPUTED_VALUE"""),-0.09732802104577828)</f>
        <v>-0.09732802105</v>
      </c>
      <c r="F161" s="15">
        <f>IFERROR(__xludf.DUMMYFUNCTION("""COMPUTED_VALUE"""),-0.3416860913769075)</f>
        <v>-0.3416860914</v>
      </c>
      <c r="G161" s="17">
        <f>IFERROR(__xludf.DUMMYFUNCTION("""COMPUTED_VALUE"""),0.014111735081674608)</f>
        <v>0.01411173508</v>
      </c>
      <c r="H161" s="4"/>
      <c r="I161" s="5" t="s">
        <v>3370</v>
      </c>
      <c r="J161" s="5" t="s">
        <v>644</v>
      </c>
      <c r="K161" s="5">
        <v>527.0</v>
      </c>
      <c r="L161" s="5">
        <v>2.778987</v>
      </c>
      <c r="M161" s="5">
        <v>-3.143447</v>
      </c>
      <c r="N161" s="5">
        <v>-0.364459</v>
      </c>
      <c r="O161" s="5">
        <v>0.261718</v>
      </c>
    </row>
    <row r="162">
      <c r="A162" s="18" t="str">
        <f>IFERROR(__xludf.DUMMYFUNCTION("""COMPUTED_VALUE"""),"Marcel Davis")</f>
        <v>Marcel Davis</v>
      </c>
      <c r="B162" s="19" t="str">
        <f>IFERROR(__xludf.DUMMYFUNCTION("""COMPUTED_VALUE"""),"KIT")</f>
        <v>KIT</v>
      </c>
      <c r="C162" s="20">
        <f>IFERROR(__xludf.DUMMYFUNCTION("""COMPUTED_VALUE"""),584.2)</f>
        <v>584.2</v>
      </c>
      <c r="D162" s="21">
        <f>IFERROR(__xludf.DUMMYFUNCTION("""COMPUTED_VALUE"""),1.1728988672956242)</f>
        <v>1.172898867</v>
      </c>
      <c r="E162" s="21">
        <f>IFERROR(__xludf.DUMMYFUNCTION("""COMPUTED_VALUE"""),-1.5194655971455042)</f>
        <v>-1.519465597</v>
      </c>
      <c r="F162" s="21">
        <f>IFERROR(__xludf.DUMMYFUNCTION("""COMPUTED_VALUE"""),-0.34656672984988)</f>
        <v>-0.3465667298</v>
      </c>
      <c r="G162" s="23">
        <f>IFERROR(__xludf.DUMMYFUNCTION("""COMPUTED_VALUE"""),0.29317331654557544)</f>
        <v>0.2931733165</v>
      </c>
      <c r="H162" s="4"/>
      <c r="I162" s="5" t="s">
        <v>3371</v>
      </c>
      <c r="J162" s="5" t="s">
        <v>3237</v>
      </c>
      <c r="K162" s="24">
        <v>9.0</v>
      </c>
      <c r="L162" s="5">
        <v>0.088565</v>
      </c>
      <c r="M162" s="5">
        <v>-0.460218</v>
      </c>
      <c r="N162" s="5">
        <v>-0.371652</v>
      </c>
      <c r="O162" s="5">
        <v>0.004834</v>
      </c>
    </row>
    <row r="163">
      <c r="A163" s="12" t="str">
        <f>IFERROR(__xludf.DUMMYFUNCTION("""COMPUTED_VALUE"""),"Tim Schonborn")</f>
        <v>Tim Schonborn</v>
      </c>
      <c r="B163" s="13" t="str">
        <f>IFERROR(__xludf.DUMMYFUNCTION("""COMPUTED_VALUE"""),"BAY")</f>
        <v>BAY</v>
      </c>
      <c r="C163" s="14">
        <f>IFERROR(__xludf.DUMMYFUNCTION("""COMPUTED_VALUE"""),527.1)</f>
        <v>527.1</v>
      </c>
      <c r="D163" s="15">
        <f>IFERROR(__xludf.DUMMYFUNCTION("""COMPUTED_VALUE"""),2.741651316548053)</f>
        <v>2.741651317</v>
      </c>
      <c r="E163" s="15">
        <f>IFERROR(__xludf.DUMMYFUNCTION("""COMPUTED_VALUE"""),-3.1061106302494554)</f>
        <v>-3.10611063</v>
      </c>
      <c r="F163" s="15">
        <f>IFERROR(__xludf.DUMMYFUNCTION("""COMPUTED_VALUE"""),-0.3644593137014025)</f>
        <v>-0.3644593137</v>
      </c>
      <c r="G163" s="17">
        <f>IFERROR(__xludf.DUMMYFUNCTION("""COMPUTED_VALUE"""),0.26171846220102085)</f>
        <v>0.2617184622</v>
      </c>
      <c r="H163" s="4"/>
      <c r="I163" s="5" t="s">
        <v>3372</v>
      </c>
      <c r="J163" s="5" t="s">
        <v>3240</v>
      </c>
      <c r="K163" s="5">
        <v>73.0</v>
      </c>
      <c r="L163" s="5">
        <v>-0.806155</v>
      </c>
      <c r="M163" s="5">
        <v>0.427757</v>
      </c>
      <c r="N163" s="5">
        <v>-0.378399</v>
      </c>
      <c r="O163" s="5">
        <v>0.036247</v>
      </c>
    </row>
    <row r="164">
      <c r="A164" s="18" t="str">
        <f>IFERROR(__xludf.DUMMYFUNCTION("""COMPUTED_VALUE"""),"Yannik Kairies")</f>
        <v>Yannik Kairies</v>
      </c>
      <c r="B164" s="19" t="str">
        <f>IFERROR(__xludf.DUMMYFUNCTION("""COMPUTED_VALUE"""),"CUX")</f>
        <v>CUX</v>
      </c>
      <c r="C164" s="20">
        <f>IFERROR(__xludf.DUMMYFUNCTION("""COMPUTED_VALUE"""),8.8)</f>
        <v>8.8</v>
      </c>
      <c r="D164" s="21">
        <f>IFERROR(__xludf.DUMMYFUNCTION("""COMPUTED_VALUE"""),0.08747007609992326)</f>
        <v>0.0874700761</v>
      </c>
      <c r="E164" s="21">
        <f>IFERROR(__xludf.DUMMYFUNCTION("""COMPUTED_VALUE"""),-0.4591224791947554)</f>
        <v>-0.4591224792</v>
      </c>
      <c r="F164" s="21">
        <f>IFERROR(__xludf.DUMMYFUNCTION("""COMPUTED_VALUE"""),-0.37165240309483216)</f>
        <v>-0.3716524031</v>
      </c>
      <c r="G164" s="23">
        <f>IFERROR(__xludf.DUMMYFUNCTION("""COMPUTED_VALUE"""),0.004834488637214502)</f>
        <v>0.004834488637</v>
      </c>
      <c r="H164" s="4"/>
      <c r="I164" s="5" t="s">
        <v>3373</v>
      </c>
      <c r="J164" s="5" t="s">
        <v>3283</v>
      </c>
      <c r="K164" s="24">
        <v>5.0</v>
      </c>
      <c r="L164" s="5">
        <v>-0.276599</v>
      </c>
      <c r="M164" s="5">
        <v>-0.123603</v>
      </c>
      <c r="N164" s="5">
        <v>-0.400202</v>
      </c>
      <c r="O164" s="5">
        <v>0.002187</v>
      </c>
    </row>
    <row r="165">
      <c r="A165" s="12" t="str">
        <f>IFERROR(__xludf.DUMMYFUNCTION("""COMPUTED_VALUE"""),"Niklas Kropp")</f>
        <v>Niklas Kropp</v>
      </c>
      <c r="B165" s="13" t="str">
        <f>IFERROR(__xludf.DUMMYFUNCTION("""COMPUTED_VALUE"""),"MUNII")</f>
        <v>MUNII</v>
      </c>
      <c r="C165" s="14">
        <f>IFERROR(__xludf.DUMMYFUNCTION("""COMPUTED_VALUE"""),73.3)</f>
        <v>73.3</v>
      </c>
      <c r="D165" s="15">
        <f>IFERROR(__xludf.DUMMYFUNCTION("""COMPUTED_VALUE"""),-0.8152778278358898)</f>
        <v>-0.8152778278</v>
      </c>
      <c r="E165" s="15">
        <f>IFERROR(__xludf.DUMMYFUNCTION("""COMPUTED_VALUE"""),0.4368793048128995)</f>
        <v>0.4368793048</v>
      </c>
      <c r="F165" s="15">
        <f>IFERROR(__xludf.DUMMYFUNCTION("""COMPUTED_VALUE"""),-0.37839852302299026)</f>
        <v>-0.378398523</v>
      </c>
      <c r="G165" s="17">
        <f>IFERROR(__xludf.DUMMYFUNCTION("""COMPUTED_VALUE"""),0.03624660501452854)</f>
        <v>0.03624660501</v>
      </c>
      <c r="H165" s="4"/>
      <c r="I165" s="5" t="s">
        <v>3374</v>
      </c>
      <c r="J165" s="5" t="s">
        <v>2838</v>
      </c>
      <c r="K165" s="5">
        <v>10.0</v>
      </c>
      <c r="L165" s="5">
        <v>-0.343351</v>
      </c>
      <c r="M165" s="5">
        <v>-0.078729</v>
      </c>
      <c r="N165" s="5">
        <v>-0.42208</v>
      </c>
      <c r="O165" s="5">
        <v>0.004538</v>
      </c>
    </row>
    <row r="166">
      <c r="A166" s="18" t="str">
        <f>IFERROR(__xludf.DUMMYFUNCTION("""COMPUTED_VALUE"""),"Niko Schumann")</f>
        <v>Niko Schumann</v>
      </c>
      <c r="B166" s="19" t="str">
        <f>IFERROR(__xludf.DUMMYFUNCTION("""COMPUTED_VALUE"""),"RSV")</f>
        <v>RSV</v>
      </c>
      <c r="C166" s="20">
        <f>IFERROR(__xludf.DUMMYFUNCTION("""COMPUTED_VALUE"""),4.5)</f>
        <v>4.5</v>
      </c>
      <c r="D166" s="21">
        <f>IFERROR(__xludf.DUMMYFUNCTION("""COMPUTED_VALUE"""),-0.2771586502669216)</f>
        <v>-0.2771586503</v>
      </c>
      <c r="E166" s="21">
        <f>IFERROR(__xludf.DUMMYFUNCTION("""COMPUTED_VALUE"""),-0.12304306068283366)</f>
        <v>-0.1230430607</v>
      </c>
      <c r="F166" s="21">
        <f>IFERROR(__xludf.DUMMYFUNCTION("""COMPUTED_VALUE"""),-0.40020171094975526)</f>
        <v>-0.4002017109</v>
      </c>
      <c r="G166" s="23">
        <f>IFERROR(__xludf.DUMMYFUNCTION("""COMPUTED_VALUE"""),0.0021871900484663745)</f>
        <v>0.002187190048</v>
      </c>
      <c r="H166" s="4"/>
      <c r="I166" s="5" t="s">
        <v>3375</v>
      </c>
      <c r="J166" s="5" t="s">
        <v>3203</v>
      </c>
      <c r="K166" s="5">
        <v>650.0</v>
      </c>
      <c r="L166" s="5">
        <v>0.803708</v>
      </c>
      <c r="M166" s="5">
        <v>-1.242739</v>
      </c>
      <c r="N166" s="5">
        <v>-0.43903</v>
      </c>
      <c r="O166" s="5">
        <v>0.307868</v>
      </c>
    </row>
    <row r="167">
      <c r="A167" s="12" t="str">
        <f>IFERROR(__xludf.DUMMYFUNCTION("""COMPUTED_VALUE"""),"Jari Beckmann")</f>
        <v>Jari Beckmann</v>
      </c>
      <c r="B167" s="13" t="str">
        <f>IFERROR(__xludf.DUMMYFUNCTION("""COMPUTED_VALUE"""),"AST")</f>
        <v>AST</v>
      </c>
      <c r="C167" s="14">
        <f>IFERROR(__xludf.DUMMYFUNCTION("""COMPUTED_VALUE"""),9.6)</f>
        <v>9.6</v>
      </c>
      <c r="D167" s="15">
        <f>IFERROR(__xludf.DUMMYFUNCTION("""COMPUTED_VALUE"""),-0.3445456427361865)</f>
        <v>-0.3445456427</v>
      </c>
      <c r="E167" s="15">
        <f>IFERROR(__xludf.DUMMYFUNCTION("""COMPUTED_VALUE"""),-0.07753425211948389)</f>
        <v>-0.07753425212</v>
      </c>
      <c r="F167" s="15">
        <f>IFERROR(__xludf.DUMMYFUNCTION("""COMPUTED_VALUE"""),-0.4220798948556704)</f>
        <v>-0.4220798949</v>
      </c>
      <c r="G167" s="17">
        <f>IFERROR(__xludf.DUMMYFUNCTION("""COMPUTED_VALUE"""),0.004538076045249657)</f>
        <v>0.004538076045</v>
      </c>
      <c r="H167" s="4"/>
      <c r="I167" s="5" t="s">
        <v>3376</v>
      </c>
      <c r="J167" s="5" t="s">
        <v>644</v>
      </c>
      <c r="K167" s="5">
        <v>3.0</v>
      </c>
      <c r="L167" s="5">
        <v>-0.317082</v>
      </c>
      <c r="M167" s="5">
        <v>-0.125032</v>
      </c>
      <c r="N167" s="5">
        <v>-0.442114</v>
      </c>
      <c r="O167" s="5">
        <v>0.001182</v>
      </c>
    </row>
    <row r="168">
      <c r="A168" s="18" t="str">
        <f>IFERROR(__xludf.DUMMYFUNCTION("""COMPUTED_VALUE"""),"Thomas Michel")</f>
        <v>Thomas Michel</v>
      </c>
      <c r="B168" s="19" t="str">
        <f>IFERROR(__xludf.DUMMYFUNCTION("""COMPUTED_VALUE"""),"DRAG")</f>
        <v>DRAG</v>
      </c>
      <c r="C168" s="20">
        <f>IFERROR(__xludf.DUMMYFUNCTION("""COMPUTED_VALUE"""),650.4)</f>
        <v>650.4</v>
      </c>
      <c r="D168" s="21">
        <f>IFERROR(__xludf.DUMMYFUNCTION("""COMPUTED_VALUE"""),0.766372203034164)</f>
        <v>0.766372203</v>
      </c>
      <c r="E168" s="21">
        <f>IFERROR(__xludf.DUMMYFUNCTION("""COMPUTED_VALUE"""),-1.2054026895833705)</f>
        <v>-1.20540269</v>
      </c>
      <c r="F168" s="21">
        <f>IFERROR(__xludf.DUMMYFUNCTION("""COMPUTED_VALUE"""),-0.4390304865492065)</f>
        <v>-0.4390304865</v>
      </c>
      <c r="G168" s="23">
        <f>IFERROR(__xludf.DUMMYFUNCTION("""COMPUTED_VALUE"""),0.3078676303669568)</f>
        <v>0.3078676304</v>
      </c>
      <c r="H168" s="4"/>
      <c r="I168" s="5" t="s">
        <v>3377</v>
      </c>
      <c r="J168" s="5" t="s">
        <v>3223</v>
      </c>
      <c r="K168" s="5">
        <v>10.0</v>
      </c>
      <c r="L168" s="5">
        <v>-0.485909</v>
      </c>
      <c r="M168" s="5">
        <v>0.020034</v>
      </c>
      <c r="N168" s="5">
        <v>-0.465875</v>
      </c>
      <c r="O168" s="5">
        <v>0.004662</v>
      </c>
    </row>
    <row r="169">
      <c r="A169" s="12" t="str">
        <f>IFERROR(__xludf.DUMMYFUNCTION("""COMPUTED_VALUE"""),"Dzemal Selimovic")</f>
        <v>Dzemal Selimovic</v>
      </c>
      <c r="B169" s="13" t="str">
        <f>IFERROR(__xludf.DUMMYFUNCTION("""COMPUTED_VALUE"""),"BAY")</f>
        <v>BAY</v>
      </c>
      <c r="C169" s="14">
        <f>IFERROR(__xludf.DUMMYFUNCTION("""COMPUTED_VALUE"""),2.5)</f>
        <v>2.5</v>
      </c>
      <c r="D169" s="15">
        <f>IFERROR(__xludf.DUMMYFUNCTION("""COMPUTED_VALUE"""),-0.3173934614753417)</f>
        <v>-0.3173934615</v>
      </c>
      <c r="E169" s="15">
        <f>IFERROR(__xludf.DUMMYFUNCTION("""COMPUTED_VALUE"""),-0.12472082057679612)</f>
        <v>-0.1247208206</v>
      </c>
      <c r="F169" s="15">
        <f>IFERROR(__xludf.DUMMYFUNCTION("""COMPUTED_VALUE"""),-0.4421142820521378)</f>
        <v>-0.4421142821</v>
      </c>
      <c r="G169" s="17">
        <f>IFERROR(__xludf.DUMMYFUNCTION("""COMPUTED_VALUE"""),0.0011823759731317924)</f>
        <v>0.001182375973</v>
      </c>
      <c r="H169" s="4"/>
      <c r="I169" s="5" t="s">
        <v>3378</v>
      </c>
      <c r="J169" s="5" t="s">
        <v>3210</v>
      </c>
      <c r="K169" s="5">
        <v>84.0</v>
      </c>
      <c r="L169" s="5">
        <v>-0.678753</v>
      </c>
      <c r="M169" s="5">
        <v>0.150786</v>
      </c>
      <c r="N169" s="5">
        <v>-0.527967</v>
      </c>
      <c r="O169" s="5">
        <v>0.037295</v>
      </c>
    </row>
    <row r="170">
      <c r="A170" s="18" t="str">
        <f>IFERROR(__xludf.DUMMYFUNCTION("""COMPUTED_VALUE"""),"Gilles Dierickx")</f>
        <v>Gilles Dierickx</v>
      </c>
      <c r="B170" s="19" t="str">
        <f>IFERROR(__xludf.DUMMYFUNCTION("""COMPUTED_VALUE"""),"ART")</f>
        <v>ART</v>
      </c>
      <c r="C170" s="20">
        <f>IFERROR(__xludf.DUMMYFUNCTION("""COMPUTED_VALUE"""),191.7)</f>
        <v>191.7</v>
      </c>
      <c r="D170" s="21">
        <f>IFERROR(__xludf.DUMMYFUNCTION("""COMPUTED_VALUE"""),-2.346013342510674)</f>
        <v>-2.346013343</v>
      </c>
      <c r="E170" s="21">
        <f>IFERROR(__xludf.DUMMYFUNCTION("""COMPUTED_VALUE"""),1.880318590254962)</f>
        <v>1.88031859</v>
      </c>
      <c r="F170" s="21">
        <f>IFERROR(__xludf.DUMMYFUNCTION("""COMPUTED_VALUE"""),-0.4656947522557123)</f>
        <v>-0.4656947523</v>
      </c>
      <c r="G170" s="23">
        <f>IFERROR(__xludf.DUMMYFUNCTION("""COMPUTED_VALUE"""),0.08692486572602712)</f>
        <v>0.08692486573</v>
      </c>
      <c r="H170" s="4"/>
      <c r="I170" s="5" t="s">
        <v>3379</v>
      </c>
      <c r="J170" s="5" t="s">
        <v>3240</v>
      </c>
      <c r="K170" s="5">
        <v>16.0</v>
      </c>
      <c r="L170" s="5">
        <v>-0.671469</v>
      </c>
      <c r="M170" s="5">
        <v>0.116782</v>
      </c>
      <c r="N170" s="5">
        <v>-0.554687</v>
      </c>
      <c r="O170" s="5">
        <v>0.006964</v>
      </c>
    </row>
    <row r="171">
      <c r="A171" s="12" t="str">
        <f>IFERROR(__xludf.DUMMYFUNCTION("""COMPUTED_VALUE"""),"Daniel Urbano")</f>
        <v>Daniel Urbano</v>
      </c>
      <c r="B171" s="13" t="str">
        <f>IFERROR(__xludf.DUMMYFUNCTION("""COMPUTED_VALUE"""),"AKAD")</f>
        <v>AKAD</v>
      </c>
      <c r="C171" s="14">
        <f>IFERROR(__xludf.DUMMYFUNCTION("""COMPUTED_VALUE"""),10.0)</f>
        <v>10</v>
      </c>
      <c r="D171" s="15">
        <f>IFERROR(__xludf.DUMMYFUNCTION("""COMPUTED_VALUE"""),-0.48715311610372114)</f>
        <v>-0.4871531161</v>
      </c>
      <c r="E171" s="15">
        <f>IFERROR(__xludf.DUMMYFUNCTION("""COMPUTED_VALUE"""),0.021278187855417352)</f>
        <v>0.02127818786</v>
      </c>
      <c r="F171" s="15">
        <f>IFERROR(__xludf.DUMMYFUNCTION("""COMPUTED_VALUE"""),-0.4658749282483038)</f>
        <v>-0.4658749282</v>
      </c>
      <c r="G171" s="17">
        <f>IFERROR(__xludf.DUMMYFUNCTION("""COMPUTED_VALUE"""),0.004662473836945627)</f>
        <v>0.004662473837</v>
      </c>
      <c r="H171" s="4"/>
      <c r="I171" s="5" t="s">
        <v>3380</v>
      </c>
      <c r="J171" s="5" t="s">
        <v>3226</v>
      </c>
      <c r="K171" s="5">
        <v>425.0</v>
      </c>
      <c r="L171" s="5">
        <v>-2.975299</v>
      </c>
      <c r="M171" s="5">
        <v>2.392324</v>
      </c>
      <c r="N171" s="5">
        <v>-0.582976</v>
      </c>
      <c r="O171" s="5">
        <v>0.183592</v>
      </c>
    </row>
    <row r="172">
      <c r="A172" s="18" t="str">
        <f>IFERROR(__xludf.DUMMYFUNCTION("""COMPUTED_VALUE"""),"Viktor Ziring")</f>
        <v>Viktor Ziring</v>
      </c>
      <c r="B172" s="19" t="str">
        <f>IFERROR(__xludf.DUMMYFUNCTION("""COMPUTED_VALUE"""),"ISER")</f>
        <v>ISER</v>
      </c>
      <c r="C172" s="20">
        <f>IFERROR(__xludf.DUMMYFUNCTION("""COMPUTED_VALUE"""),84.2)</f>
        <v>84.2</v>
      </c>
      <c r="D172" s="21">
        <f>IFERROR(__xludf.DUMMYFUNCTION("""COMPUTED_VALUE"""),-0.6892324451051534)</f>
        <v>-0.6892324451</v>
      </c>
      <c r="E172" s="21">
        <f>IFERROR(__xludf.DUMMYFUNCTION("""COMPUTED_VALUE"""),0.16126511550397638)</f>
        <v>0.1612651155</v>
      </c>
      <c r="F172" s="21">
        <f>IFERROR(__xludf.DUMMYFUNCTION("""COMPUTED_VALUE"""),-0.527967329601177)</f>
        <v>-0.5279673296</v>
      </c>
      <c r="G172" s="23">
        <f>IFERROR(__xludf.DUMMYFUNCTION("""COMPUTED_VALUE"""),0.03729532467021444)</f>
        <v>0.03729532467</v>
      </c>
      <c r="H172" s="4"/>
      <c r="I172" s="5" t="s">
        <v>3381</v>
      </c>
      <c r="J172" s="5" t="s">
        <v>3281</v>
      </c>
      <c r="K172" s="5">
        <v>380.0</v>
      </c>
      <c r="L172" s="5">
        <v>-1.179694</v>
      </c>
      <c r="M172" s="5">
        <v>0.572275</v>
      </c>
      <c r="N172" s="5">
        <v>-0.607419</v>
      </c>
      <c r="O172" s="5">
        <v>0.161517</v>
      </c>
    </row>
    <row r="173">
      <c r="A173" s="12" t="str">
        <f>IFERROR(__xludf.DUMMYFUNCTION("""COMPUTED_VALUE"""),"Jim Gietz")</f>
        <v>Jim Gietz</v>
      </c>
      <c r="B173" s="13" t="str">
        <f>IFERROR(__xludf.DUMMYFUNCTION("""COMPUTED_VALUE"""),"MUNII")</f>
        <v>MUNII</v>
      </c>
      <c r="C173" s="14">
        <f>IFERROR(__xludf.DUMMYFUNCTION("""COMPUTED_VALUE"""),15.8)</f>
        <v>15.8</v>
      </c>
      <c r="D173" s="15">
        <f>IFERROR(__xludf.DUMMYFUNCTION("""COMPUTED_VALUE"""),-0.6734349179780799)</f>
        <v>-0.673434918</v>
      </c>
      <c r="E173" s="15">
        <f>IFERROR(__xludf.DUMMYFUNCTION("""COMPUTED_VALUE"""),0.11874836786856513)</f>
        <v>0.1187483679</v>
      </c>
      <c r="F173" s="15">
        <f>IFERROR(__xludf.DUMMYFUNCTION("""COMPUTED_VALUE"""),-0.5546865501095147)</f>
        <v>-0.5546865501</v>
      </c>
      <c r="G173" s="17">
        <f>IFERROR(__xludf.DUMMYFUNCTION("""COMPUTED_VALUE"""),0.0069636728583776526)</f>
        <v>0.006963672858</v>
      </c>
      <c r="H173" s="4"/>
      <c r="I173" s="5" t="s">
        <v>3382</v>
      </c>
      <c r="J173" s="5" t="s">
        <v>3217</v>
      </c>
      <c r="K173" s="5">
        <v>29.0</v>
      </c>
      <c r="L173" s="5">
        <v>-0.435694</v>
      </c>
      <c r="M173" s="5">
        <v>-0.175182</v>
      </c>
      <c r="N173" s="5">
        <v>-0.610877</v>
      </c>
      <c r="O173" s="5">
        <v>0.012082</v>
      </c>
    </row>
    <row r="174">
      <c r="A174" s="18" t="str">
        <f>IFERROR(__xludf.DUMMYFUNCTION("""COMPUTED_VALUE"""),"Kory Brown")</f>
        <v>Kory Brown</v>
      </c>
      <c r="B174" s="19" t="str">
        <f>IFERROR(__xludf.DUMMYFUNCTION("""COMPUTED_VALUE"""),"SSV")</f>
        <v>SSV</v>
      </c>
      <c r="C174" s="20">
        <f>IFERROR(__xludf.DUMMYFUNCTION("""COMPUTED_VALUE"""),424.6)</f>
        <v>424.6</v>
      </c>
      <c r="D174" s="21">
        <f>IFERROR(__xludf.DUMMYFUNCTION("""COMPUTED_VALUE"""),-3.0126351773152154)</f>
        <v>-3.012635177</v>
      </c>
      <c r="E174" s="21">
        <f>IFERROR(__xludf.DUMMYFUNCTION("""COMPUTED_VALUE"""),2.429659627148882)</f>
        <v>2.429659627</v>
      </c>
      <c r="F174" s="21">
        <f>IFERROR(__xludf.DUMMYFUNCTION("""COMPUTED_VALUE"""),-0.5829755501663332)</f>
        <v>-0.5829755502</v>
      </c>
      <c r="G174" s="23">
        <f>IFERROR(__xludf.DUMMYFUNCTION("""COMPUTED_VALUE"""),0.18359236158508613)</f>
        <v>0.1835923616</v>
      </c>
      <c r="H174" s="4"/>
      <c r="I174" s="5" t="s">
        <v>3383</v>
      </c>
      <c r="J174" s="5" t="s">
        <v>3281</v>
      </c>
      <c r="K174" s="5">
        <v>373.0</v>
      </c>
      <c r="L174" s="5">
        <v>-0.621654</v>
      </c>
      <c r="M174" s="5">
        <v>0.007196</v>
      </c>
      <c r="N174" s="5">
        <v>-0.614458</v>
      </c>
      <c r="O174" s="5">
        <v>0.157406</v>
      </c>
    </row>
    <row r="175">
      <c r="A175" s="12" t="str">
        <f>IFERROR(__xludf.DUMMYFUNCTION("""COMPUTED_VALUE"""),"Fabian Strauss")</f>
        <v>Fabian Strauss</v>
      </c>
      <c r="B175" s="13" t="str">
        <f>IFERROR(__xludf.DUMMYFUNCTION("""COMPUTED_VALUE"""),"RIST")</f>
        <v>RIST</v>
      </c>
      <c r="C175" s="14">
        <f>IFERROR(__xludf.DUMMYFUNCTION("""COMPUTED_VALUE"""),380.4)</f>
        <v>380.4</v>
      </c>
      <c r="D175" s="15">
        <f>IFERROR(__xludf.DUMMYFUNCTION("""COMPUTED_VALUE"""),-1.2170300979073443)</f>
        <v>-1.217030098</v>
      </c>
      <c r="E175" s="15">
        <f>IFERROR(__xludf.DUMMYFUNCTION("""COMPUTED_VALUE"""),0.6096109770640274)</f>
        <v>0.6096109771</v>
      </c>
      <c r="F175" s="15">
        <f>IFERROR(__xludf.DUMMYFUNCTION("""COMPUTED_VALUE"""),-0.6074191208433168)</f>
        <v>-0.6074191208</v>
      </c>
      <c r="G175" s="17">
        <f>IFERROR(__xludf.DUMMYFUNCTION("""COMPUTED_VALUE"""),0.16151738084531175)</f>
        <v>0.1615173808</v>
      </c>
      <c r="H175" s="4"/>
      <c r="I175" s="5" t="s">
        <v>3384</v>
      </c>
      <c r="J175" s="5" t="s">
        <v>3220</v>
      </c>
      <c r="K175" s="24">
        <v>43.0</v>
      </c>
      <c r="L175" s="5">
        <v>0.00717</v>
      </c>
      <c r="M175" s="5">
        <v>-0.62762</v>
      </c>
      <c r="N175" s="5">
        <v>-0.62045</v>
      </c>
      <c r="O175" s="5">
        <v>0.018211</v>
      </c>
    </row>
    <row r="176">
      <c r="A176" s="18" t="str">
        <f>IFERROR(__xludf.DUMMYFUNCTION("""COMPUTED_VALUE"""),"Tim Kordyaka")</f>
        <v>Tim Kordyaka</v>
      </c>
      <c r="B176" s="19" t="str">
        <f>IFERROR(__xludf.DUMMYFUNCTION("""COMPUTED_VALUE"""),"GIES")</f>
        <v>GIES</v>
      </c>
      <c r="C176" s="20">
        <f>IFERROR(__xludf.DUMMYFUNCTION("""COMPUTED_VALUE"""),28.9)</f>
        <v>28.9</v>
      </c>
      <c r="D176" s="21">
        <f>IFERROR(__xludf.DUMMYFUNCTION("""COMPUTED_VALUE"""),-0.43929116692308556)</f>
        <v>-0.4392911669</v>
      </c>
      <c r="E176" s="21">
        <f>IFERROR(__xludf.DUMMYFUNCTION("""COMPUTED_VALUE"""),-0.17158551419980628)</f>
        <v>-0.1715855142</v>
      </c>
      <c r="F176" s="21">
        <f>IFERROR(__xludf.DUMMYFUNCTION("""COMPUTED_VALUE"""),-0.6108766811228918)</f>
        <v>-0.6108766811</v>
      </c>
      <c r="G176" s="23">
        <f>IFERROR(__xludf.DUMMYFUNCTION("""COMPUTED_VALUE"""),0.012082459705399451)</f>
        <v>0.01208245971</v>
      </c>
      <c r="H176" s="4"/>
      <c r="I176" s="5" t="s">
        <v>3385</v>
      </c>
      <c r="J176" s="5" t="s">
        <v>3203</v>
      </c>
      <c r="K176" s="5">
        <v>17.0</v>
      </c>
      <c r="L176" s="5">
        <v>-0.45183</v>
      </c>
      <c r="M176" s="5">
        <v>-0.207793</v>
      </c>
      <c r="N176" s="5">
        <v>-0.659623</v>
      </c>
      <c r="O176" s="5">
        <v>0.006747</v>
      </c>
    </row>
    <row r="177">
      <c r="A177" s="12" t="str">
        <f>IFERROR(__xludf.DUMMYFUNCTION("""COMPUTED_VALUE"""),"Damien Cortes")</f>
        <v>Damien Cortes</v>
      </c>
      <c r="B177" s="13" t="str">
        <f>IFERROR(__xludf.DUMMYFUNCTION("""COMPUTED_VALUE"""),"RIST")</f>
        <v>RIST</v>
      </c>
      <c r="C177" s="14">
        <f>IFERROR(__xludf.DUMMYFUNCTION("""COMPUTED_VALUE"""),372.6)</f>
        <v>372.6</v>
      </c>
      <c r="D177" s="15">
        <f>IFERROR(__xludf.DUMMYFUNCTION("""COMPUTED_VALUE"""),-0.6589897475286335)</f>
        <v>-0.6589897475</v>
      </c>
      <c r="E177" s="15">
        <f>IFERROR(__xludf.DUMMYFUNCTION("""COMPUTED_VALUE"""),0.04453160363845432)</f>
        <v>0.04453160364</v>
      </c>
      <c r="F177" s="15">
        <f>IFERROR(__xludf.DUMMYFUNCTION("""COMPUTED_VALUE"""),-0.6144581438901792)</f>
        <v>-0.6144581439</v>
      </c>
      <c r="G177" s="17">
        <f>IFERROR(__xludf.DUMMYFUNCTION("""COMPUTED_VALUE"""),0.15740583517518936)</f>
        <v>0.1574058352</v>
      </c>
      <c r="H177" s="4"/>
      <c r="I177" s="5" t="s">
        <v>3386</v>
      </c>
      <c r="J177" s="5" t="s">
        <v>3226</v>
      </c>
      <c r="K177" s="24">
        <v>53.0</v>
      </c>
      <c r="L177" s="5">
        <v>-1.124436</v>
      </c>
      <c r="M177" s="5">
        <v>0.457689</v>
      </c>
      <c r="N177" s="5">
        <v>-0.666747</v>
      </c>
      <c r="O177" s="5">
        <v>0.02148</v>
      </c>
    </row>
    <row r="178">
      <c r="A178" s="18" t="str">
        <f>IFERROR(__xludf.DUMMYFUNCTION("""COMPUTED_VALUE"""),"Frieder Diestelhorst")</f>
        <v>Frieder Diestelhorst</v>
      </c>
      <c r="B178" s="19" t="str">
        <f>IFERROR(__xludf.DUMMYFUNCTION("""COMPUTED_VALUE"""),"ROST")</f>
        <v>ROST</v>
      </c>
      <c r="C178" s="20">
        <f>IFERROR(__xludf.DUMMYFUNCTION("""COMPUTED_VALUE"""),43.0)</f>
        <v>43</v>
      </c>
      <c r="D178" s="21">
        <f>IFERROR(__xludf.DUMMYFUNCTION("""COMPUTED_VALUE"""),0.0018184069688185862)</f>
        <v>0.001818406969</v>
      </c>
      <c r="E178" s="21">
        <f>IFERROR(__xludf.DUMMYFUNCTION("""COMPUTED_VALUE"""),-0.6222688654254738)</f>
        <v>-0.6222688654</v>
      </c>
      <c r="F178" s="21">
        <f>IFERROR(__xludf.DUMMYFUNCTION("""COMPUTED_VALUE"""),-0.6204504584566551)</f>
        <v>-0.6204504585</v>
      </c>
      <c r="G178" s="23">
        <f>IFERROR(__xludf.DUMMYFUNCTION("""COMPUTED_VALUE"""),0.0182113300120309)</f>
        <v>0.01821133001</v>
      </c>
      <c r="H178" s="4"/>
      <c r="I178" s="5" t="s">
        <v>3387</v>
      </c>
      <c r="J178" s="5" t="s">
        <v>3278</v>
      </c>
      <c r="K178" s="5">
        <v>267.0</v>
      </c>
      <c r="L178" s="5">
        <v>0.792143</v>
      </c>
      <c r="M178" s="5">
        <v>-1.464885</v>
      </c>
      <c r="N178" s="5">
        <v>-0.672742</v>
      </c>
      <c r="O178" s="5">
        <v>0.106939</v>
      </c>
    </row>
    <row r="179">
      <c r="A179" s="12" t="str">
        <f>IFERROR(__xludf.DUMMYFUNCTION("""COMPUTED_VALUE"""),"Karl Mamady Dia")</f>
        <v>Karl Mamady Dia</v>
      </c>
      <c r="B179" s="13" t="str">
        <f>IFERROR(__xludf.DUMMYFUNCTION("""COMPUTED_VALUE"""),"DRAG")</f>
        <v>DRAG</v>
      </c>
      <c r="C179" s="14">
        <f>IFERROR(__xludf.DUMMYFUNCTION("""COMPUTED_VALUE"""),16.6)</f>
        <v>16.6</v>
      </c>
      <c r="D179" s="15">
        <f>IFERROR(__xludf.DUMMYFUNCTION("""COMPUTED_VALUE"""),-0.45389542682775574)</f>
        <v>-0.4538954268</v>
      </c>
      <c r="E179" s="15">
        <f>IFERROR(__xludf.DUMMYFUNCTION("""COMPUTED_VALUE"""),-0.20572727191429696)</f>
        <v>-0.2057272719</v>
      </c>
      <c r="F179" s="15">
        <f>IFERROR(__xludf.DUMMYFUNCTION("""COMPUTED_VALUE"""),-0.6596226987420527)</f>
        <v>-0.6596226987</v>
      </c>
      <c r="G179" s="17">
        <f>IFERROR(__xludf.DUMMYFUNCTION("""COMPUTED_VALUE"""),0.006747210008864342)</f>
        <v>0.006747210009</v>
      </c>
      <c r="H179" s="4"/>
      <c r="I179" s="5" t="s">
        <v>3388</v>
      </c>
      <c r="J179" s="5" t="s">
        <v>644</v>
      </c>
      <c r="K179" s="5">
        <v>253.0</v>
      </c>
      <c r="L179" s="5">
        <v>-1.658229</v>
      </c>
      <c r="M179" s="5">
        <v>0.976332</v>
      </c>
      <c r="N179" s="5">
        <v>-0.681897</v>
      </c>
      <c r="O179" s="5">
        <v>0.101239</v>
      </c>
    </row>
    <row r="180">
      <c r="A180" s="18" t="str">
        <f>IFERROR(__xludf.DUMMYFUNCTION("""COMPUTED_VALUE"""),"Malte Delow")</f>
        <v>Malte Delow</v>
      </c>
      <c r="B180" s="19" t="str">
        <f>IFERROR(__xludf.DUMMYFUNCTION("""COMPUTED_VALUE"""),"SSV")</f>
        <v>SSV</v>
      </c>
      <c r="C180" s="20">
        <f>IFERROR(__xludf.DUMMYFUNCTION("""COMPUTED_VALUE"""),52.8)</f>
        <v>52.8</v>
      </c>
      <c r="D180" s="21">
        <f>IFERROR(__xludf.DUMMYFUNCTION("""COMPUTED_VALUE"""),-1.131007228846473)</f>
        <v>-1.131007229</v>
      </c>
      <c r="E180" s="21">
        <f>IFERROR(__xludf.DUMMYFUNCTION("""COMPUTED_VALUE"""),0.4642599212332683)</f>
        <v>0.4642599212</v>
      </c>
      <c r="F180" s="21">
        <f>IFERROR(__xludf.DUMMYFUNCTION("""COMPUTED_VALUE"""),-0.6667473076132047)</f>
        <v>-0.6667473076</v>
      </c>
      <c r="G180" s="23">
        <f>IFERROR(__xludf.DUMMYFUNCTION("""COMPUTED_VALUE"""),0.021480464408274384)</f>
        <v>0.02148046441</v>
      </c>
      <c r="H180" s="4"/>
      <c r="I180" s="5" t="s">
        <v>3389</v>
      </c>
      <c r="J180" s="5" t="s">
        <v>3240</v>
      </c>
      <c r="K180" s="5">
        <v>682.0</v>
      </c>
      <c r="L180" s="5">
        <v>0.445729</v>
      </c>
      <c r="M180" s="5">
        <v>-1.132658</v>
      </c>
      <c r="N180" s="5">
        <v>-0.686929</v>
      </c>
      <c r="O180" s="5">
        <v>0.273201</v>
      </c>
    </row>
    <row r="181">
      <c r="A181" s="12" t="str">
        <f>IFERROR(__xludf.DUMMYFUNCTION("""COMPUTED_VALUE"""),"Willie Mangum")</f>
        <v>Willie Mangum</v>
      </c>
      <c r="B181" s="13" t="str">
        <f>IFERROR(__xludf.DUMMYFUNCTION("""COMPUTED_VALUE"""),"DRE")</f>
        <v>DRE</v>
      </c>
      <c r="C181" s="14">
        <f>IFERROR(__xludf.DUMMYFUNCTION("""COMPUTED_VALUE"""),266.8)</f>
        <v>266.8</v>
      </c>
      <c r="D181" s="15">
        <f>IFERROR(__xludf.DUMMYFUNCTION("""COMPUTED_VALUE"""),0.7589383662191322)</f>
        <v>0.7589383662</v>
      </c>
      <c r="E181" s="15">
        <f>IFERROR(__xludf.DUMMYFUNCTION("""COMPUTED_VALUE"""),-1.4316803676236112)</f>
        <v>-1.431680368</v>
      </c>
      <c r="F181" s="15">
        <f>IFERROR(__xludf.DUMMYFUNCTION("""COMPUTED_VALUE"""),-0.6727420014044789)</f>
        <v>-0.6727420014</v>
      </c>
      <c r="G181" s="17">
        <f>IFERROR(__xludf.DUMMYFUNCTION("""COMPUTED_VALUE"""),0.1069385084475088)</f>
        <v>0.1069385084</v>
      </c>
      <c r="H181" s="4"/>
      <c r="I181" s="5" t="s">
        <v>3390</v>
      </c>
      <c r="J181" s="5" t="s">
        <v>3283</v>
      </c>
      <c r="K181" s="5">
        <v>15.0</v>
      </c>
      <c r="L181" s="5">
        <v>-0.470273</v>
      </c>
      <c r="M181" s="5">
        <v>-0.239655</v>
      </c>
      <c r="N181" s="5">
        <v>-0.709928</v>
      </c>
      <c r="O181" s="5">
        <v>0.005801</v>
      </c>
    </row>
    <row r="182">
      <c r="A182" s="18" t="str">
        <f>IFERROR(__xludf.DUMMYFUNCTION("""COMPUTED_VALUE"""),"Benjamin Nick")</f>
        <v>Benjamin Nick</v>
      </c>
      <c r="B182" s="19" t="str">
        <f>IFERROR(__xludf.DUMMYFUNCTION("""COMPUTED_VALUE"""),"BAY")</f>
        <v>BAY</v>
      </c>
      <c r="C182" s="20">
        <f>IFERROR(__xludf.DUMMYFUNCTION("""COMPUTED_VALUE"""),253.0)</f>
        <v>253</v>
      </c>
      <c r="D182" s="21">
        <f>IFERROR(__xludf.DUMMYFUNCTION("""COMPUTED_VALUE"""),-1.6897157361099944)</f>
        <v>-1.689715736</v>
      </c>
      <c r="E182" s="21">
        <f>IFERROR(__xludf.DUMMYFUNCTION("""COMPUTED_VALUE"""),1.0078184109044797)</f>
        <v>1.007818411</v>
      </c>
      <c r="F182" s="21">
        <f>IFERROR(__xludf.DUMMYFUNCTION("""COMPUTED_VALUE"""),-0.6818973252055148)</f>
        <v>-0.6818973252</v>
      </c>
      <c r="G182" s="23">
        <f>IFERROR(__xludf.DUMMYFUNCTION("""COMPUTED_VALUE"""),0.10123944457677513)</f>
        <v>0.1012394446</v>
      </c>
      <c r="H182" s="4"/>
      <c r="I182" s="5" t="s">
        <v>3391</v>
      </c>
      <c r="J182" s="5" t="s">
        <v>3256</v>
      </c>
      <c r="K182" s="5">
        <v>81.0</v>
      </c>
      <c r="L182" s="5">
        <v>-0.770181</v>
      </c>
      <c r="M182" s="5">
        <v>0.043169</v>
      </c>
      <c r="N182" s="5">
        <v>-0.727012</v>
      </c>
      <c r="O182" s="5">
        <v>0.031218</v>
      </c>
    </row>
    <row r="183">
      <c r="A183" s="12" t="str">
        <f>IFERROR(__xludf.DUMMYFUNCTION("""COMPUTED_VALUE"""),"Nelson Weidemann")</f>
        <v>Nelson Weidemann</v>
      </c>
      <c r="B183" s="13" t="str">
        <f>IFERROR(__xludf.DUMMYFUNCTION("""COMPUTED_VALUE"""),"MUNII")</f>
        <v>MUNII</v>
      </c>
      <c r="C183" s="14">
        <f>IFERROR(__xludf.DUMMYFUNCTION("""COMPUTED_VALUE"""),682.3)</f>
        <v>682.3</v>
      </c>
      <c r="D183" s="15">
        <f>IFERROR(__xludf.DUMMYFUNCTION("""COMPUTED_VALUE"""),0.4083931278777373)</f>
        <v>0.4083931279</v>
      </c>
      <c r="E183" s="15">
        <f>IFERROR(__xludf.DUMMYFUNCTION("""COMPUTED_VALUE"""),-1.0953216347221635)</f>
        <v>-1.095321635</v>
      </c>
      <c r="F183" s="15">
        <f>IFERROR(__xludf.DUMMYFUNCTION("""COMPUTED_VALUE"""),-0.6869285068444262)</f>
        <v>-0.6869285068</v>
      </c>
      <c r="G183" s="17">
        <f>IFERROR(__xludf.DUMMYFUNCTION("""COMPUTED_VALUE"""),0.2732014333411313)</f>
        <v>0.2732014333</v>
      </c>
      <c r="H183" s="4"/>
      <c r="I183" s="5" t="s">
        <v>3392</v>
      </c>
      <c r="J183" s="5" t="s">
        <v>3205</v>
      </c>
      <c r="K183" s="5">
        <v>621.0</v>
      </c>
      <c r="L183" s="5">
        <v>-0.669208</v>
      </c>
      <c r="M183" s="5">
        <v>-0.058883</v>
      </c>
      <c r="N183" s="5">
        <v>-0.728091</v>
      </c>
      <c r="O183" s="5">
        <v>0.239726</v>
      </c>
    </row>
    <row r="184">
      <c r="A184" s="18" t="str">
        <f>IFERROR(__xludf.DUMMYFUNCTION("""COMPUTED_VALUE"""),"Marc Liyanage")</f>
        <v>Marc Liyanage</v>
      </c>
      <c r="B184" s="19" t="str">
        <f>IFERROR(__xludf.DUMMYFUNCTION("""COMPUTED_VALUE"""),"ART")</f>
        <v>ART</v>
      </c>
      <c r="C184" s="20">
        <f>IFERROR(__xludf.DUMMYFUNCTION("""COMPUTED_VALUE"""),224.2)</f>
        <v>224.2</v>
      </c>
      <c r="D184" s="21">
        <f>IFERROR(__xludf.DUMMYFUNCTION("""COMPUTED_VALUE"""),-0.8485566702965648)</f>
        <v>-0.8485566703</v>
      </c>
      <c r="E184" s="21">
        <f>IFERROR(__xludf.DUMMYFUNCTION("""COMPUTED_VALUE"""),0.1453166081571392)</f>
        <v>0.1453166082</v>
      </c>
      <c r="F184" s="21">
        <f>IFERROR(__xludf.DUMMYFUNCTION("""COMPUTED_VALUE"""),-0.7032400621394256)</f>
        <v>-0.7032400621</v>
      </c>
      <c r="G184" s="23">
        <f>IFERROR(__xludf.DUMMYFUNCTION("""COMPUTED_VALUE"""),0.08592219009833683)</f>
        <v>0.0859221901</v>
      </c>
      <c r="H184" s="4"/>
      <c r="I184" s="5" t="s">
        <v>3393</v>
      </c>
      <c r="J184" s="5" t="s">
        <v>3281</v>
      </c>
      <c r="K184" s="5">
        <v>87.0</v>
      </c>
      <c r="L184" s="5">
        <v>-1.159717</v>
      </c>
      <c r="M184" s="5">
        <v>0.423817</v>
      </c>
      <c r="N184" s="5">
        <v>-0.735899</v>
      </c>
      <c r="O184" s="5">
        <v>0.033609</v>
      </c>
    </row>
    <row r="185">
      <c r="A185" s="12" t="str">
        <f>IFERROR(__xludf.DUMMYFUNCTION("""COMPUTED_VALUE"""),"Jonas Wagner")</f>
        <v>Jonas Wagner</v>
      </c>
      <c r="B185" s="13" t="str">
        <f>IFERROR(__xludf.DUMMYFUNCTION("""COMPUTED_VALUE"""),"RSV")</f>
        <v>RSV</v>
      </c>
      <c r="C185" s="14">
        <f>IFERROR(__xludf.DUMMYFUNCTION("""COMPUTED_VALUE"""),14.8)</f>
        <v>14.8</v>
      </c>
      <c r="D185" s="15">
        <f>IFERROR(__xludf.DUMMYFUNCTION("""COMPUTED_VALUE"""),-0.47211510010658664)</f>
        <v>-0.4721151001</v>
      </c>
      <c r="E185" s="15">
        <f>IFERROR(__xludf.DUMMYFUNCTION("""COMPUTED_VALUE"""),-0.23781329953271102)</f>
        <v>-0.2378132995</v>
      </c>
      <c r="F185" s="15">
        <f>IFERROR(__xludf.DUMMYFUNCTION("""COMPUTED_VALUE"""),-0.7099283996392977)</f>
        <v>-0.7099283996</v>
      </c>
      <c r="G185" s="17">
        <f>IFERROR(__xludf.DUMMYFUNCTION("""COMPUTED_VALUE"""),0.005800752149591792)</f>
        <v>0.00580075215</v>
      </c>
      <c r="H185" s="4"/>
      <c r="I185" s="5" t="s">
        <v>3394</v>
      </c>
      <c r="J185" s="5" t="s">
        <v>3278</v>
      </c>
      <c r="K185" s="24">
        <v>20.0</v>
      </c>
      <c r="L185" s="5">
        <v>-0.905808</v>
      </c>
      <c r="M185" s="5">
        <v>0.163242</v>
      </c>
      <c r="N185" s="5">
        <v>-0.742566</v>
      </c>
      <c r="O185" s="5">
        <v>0.007405</v>
      </c>
    </row>
    <row r="186">
      <c r="A186" s="18" t="str">
        <f>IFERROR(__xludf.DUMMYFUNCTION("""COMPUTED_VALUE"""),"Janek Meyer")</f>
        <v>Janek Meyer</v>
      </c>
      <c r="B186" s="19" t="str">
        <f>IFERROR(__xludf.DUMMYFUNCTION("""COMPUTED_VALUE"""),"OTB")</f>
        <v>OTB</v>
      </c>
      <c r="C186" s="20">
        <f>IFERROR(__xludf.DUMMYFUNCTION("""COMPUTED_VALUE"""),80.8)</f>
        <v>80.8</v>
      </c>
      <c r="D186" s="21">
        <f>IFERROR(__xludf.DUMMYFUNCTION("""COMPUTED_VALUE"""),-0.7802370480959561)</f>
        <v>-0.7802370481</v>
      </c>
      <c r="E186" s="21">
        <f>IFERROR(__xludf.DUMMYFUNCTION("""COMPUTED_VALUE"""),0.05322507010009936)</f>
        <v>0.0532250701</v>
      </c>
      <c r="F186" s="21">
        <f>IFERROR(__xludf.DUMMYFUNCTION("""COMPUTED_VALUE"""),-0.7270119779958567)</f>
        <v>-0.727011978</v>
      </c>
      <c r="G186" s="23">
        <f>IFERROR(__xludf.DUMMYFUNCTION("""COMPUTED_VALUE"""),0.031217842561732292)</f>
        <v>0.03121784256</v>
      </c>
      <c r="H186" s="4"/>
      <c r="I186" s="5" t="s">
        <v>3395</v>
      </c>
      <c r="J186" s="5" t="s">
        <v>3233</v>
      </c>
      <c r="K186" s="5">
        <v>84.0</v>
      </c>
      <c r="L186" s="5">
        <v>0.266053</v>
      </c>
      <c r="M186" s="5">
        <v>-1.014186</v>
      </c>
      <c r="N186" s="5">
        <v>-0.748133</v>
      </c>
      <c r="O186" s="5">
        <v>0.031226</v>
      </c>
    </row>
    <row r="187">
      <c r="A187" s="12" t="str">
        <f>IFERROR(__xludf.DUMMYFUNCTION("""COMPUTED_VALUE"""),"Mathias Perl")</f>
        <v>Mathias Perl</v>
      </c>
      <c r="B187" s="13" t="str">
        <f>IFERROR(__xludf.DUMMYFUNCTION("""COMPUTED_VALUE"""),"SCHW")</f>
        <v>SCHW</v>
      </c>
      <c r="C187" s="14">
        <f>IFERROR(__xludf.DUMMYFUNCTION("""COMPUTED_VALUE"""),621.4)</f>
        <v>621.4</v>
      </c>
      <c r="D187" s="15">
        <f>IFERROR(__xludf.DUMMYFUNCTION("""COMPUTED_VALUE"""),-0.706543523652182)</f>
        <v>-0.7065435237</v>
      </c>
      <c r="E187" s="15">
        <f>IFERROR(__xludf.DUMMYFUNCTION("""COMPUTED_VALUE"""),-0.02154715857134404)</f>
        <v>-0.02154715857</v>
      </c>
      <c r="F187" s="15">
        <f>IFERROR(__xludf.DUMMYFUNCTION("""COMPUTED_VALUE"""),-0.728090682223526)</f>
        <v>-0.7280906822</v>
      </c>
      <c r="G187" s="17">
        <f>IFERROR(__xludf.DUMMYFUNCTION("""COMPUTED_VALUE"""),0.2397261860669976)</f>
        <v>0.2397261861</v>
      </c>
      <c r="H187" s="4"/>
      <c r="I187" s="5" t="s">
        <v>945</v>
      </c>
      <c r="J187" s="5" t="s">
        <v>3226</v>
      </c>
      <c r="K187" s="5">
        <v>68.0</v>
      </c>
      <c r="L187" s="5">
        <v>-0.892872</v>
      </c>
      <c r="M187" s="5">
        <v>0.119832</v>
      </c>
      <c r="N187" s="5">
        <v>-0.773039</v>
      </c>
      <c r="O187" s="5">
        <v>0.025346</v>
      </c>
    </row>
    <row r="188">
      <c r="A188" s="18" t="str">
        <f>IFERROR(__xludf.DUMMYFUNCTION("""COMPUTED_VALUE"""),"Tobias Moller Opdahl")</f>
        <v>Tobias Moller Opdahl</v>
      </c>
      <c r="B188" s="19" t="str">
        <f>IFERROR(__xludf.DUMMYFUNCTION("""COMPUTED_VALUE"""),"RIST")</f>
        <v>RIST</v>
      </c>
      <c r="C188" s="20">
        <f>IFERROR(__xludf.DUMMYFUNCTION("""COMPUTED_VALUE"""),87.2)</f>
        <v>87.2</v>
      </c>
      <c r="D188" s="21">
        <f>IFERROR(__xludf.DUMMYFUNCTION("""COMPUTED_VALUE"""),-1.1705689360210711)</f>
        <v>-1.170568936</v>
      </c>
      <c r="E188" s="21">
        <f>IFERROR(__xludf.DUMMYFUNCTION("""COMPUTED_VALUE"""),0.43466966526907413)</f>
        <v>0.4346696653</v>
      </c>
      <c r="F188" s="21">
        <f>IFERROR(__xludf.DUMMYFUNCTION("""COMPUTED_VALUE"""),-0.735899270751997)</f>
        <v>-0.7358992708</v>
      </c>
      <c r="G188" s="23">
        <f>IFERROR(__xludf.DUMMYFUNCTION("""COMPUTED_VALUE"""),0.0336090699236698)</f>
        <v>0.03360906992</v>
      </c>
      <c r="H188" s="4"/>
      <c r="I188" s="5" t="s">
        <v>1202</v>
      </c>
      <c r="J188" s="5" t="s">
        <v>3263</v>
      </c>
      <c r="K188" s="5">
        <v>31.0</v>
      </c>
      <c r="L188" s="5">
        <v>-0.773589</v>
      </c>
      <c r="M188" s="5">
        <v>-0.003118</v>
      </c>
      <c r="N188" s="5">
        <v>-0.776707</v>
      </c>
      <c r="O188" s="5">
        <v>0.011398</v>
      </c>
    </row>
    <row r="189">
      <c r="A189" s="12" t="str">
        <f>IFERROR(__xludf.DUMMYFUNCTION("""COMPUTED_VALUE"""),"Nils Niendorf")</f>
        <v>Nils Niendorf</v>
      </c>
      <c r="B189" s="13" t="str">
        <f>IFERROR(__xludf.DUMMYFUNCTION("""COMPUTED_VALUE"""),"DRE")</f>
        <v>DRE</v>
      </c>
      <c r="C189" s="14">
        <f>IFERROR(__xludf.DUMMYFUNCTION("""COMPUTED_VALUE"""),19.5)</f>
        <v>19.5</v>
      </c>
      <c r="D189" s="15">
        <f>IFERROR(__xludf.DUMMYFUNCTION("""COMPUTED_VALUE"""),-0.9082343824624378)</f>
        <v>-0.9082343825</v>
      </c>
      <c r="E189" s="15">
        <f>IFERROR(__xludf.DUMMYFUNCTION("""COMPUTED_VALUE"""),0.1656684917884763)</f>
        <v>0.1656684918</v>
      </c>
      <c r="F189" s="15">
        <f>IFERROR(__xludf.DUMMYFUNCTION("""COMPUTED_VALUE"""),-0.7425658906739615)</f>
        <v>-0.7425658907</v>
      </c>
      <c r="G189" s="17">
        <f>IFERROR(__xludf.DUMMYFUNCTION("""COMPUTED_VALUE"""),0.007404790813413123)</f>
        <v>0.007404790813</v>
      </c>
      <c r="H189" s="4"/>
      <c r="I189" s="5" t="s">
        <v>3396</v>
      </c>
      <c r="J189" s="5" t="s">
        <v>3240</v>
      </c>
      <c r="K189" s="5">
        <v>21.0</v>
      </c>
      <c r="L189" s="5">
        <v>-0.653261</v>
      </c>
      <c r="M189" s="5">
        <v>-0.149143</v>
      </c>
      <c r="N189" s="5">
        <v>-0.802404</v>
      </c>
      <c r="O189" s="5">
        <v>0.007487</v>
      </c>
    </row>
    <row r="190">
      <c r="A190" s="18" t="str">
        <f>IFERROR(__xludf.DUMMYFUNCTION("""COMPUTED_VALUE"""),"Kresimir Nikic")</f>
        <v>Kresimir Nikic</v>
      </c>
      <c r="B190" s="19" t="str">
        <f>IFERROR(__xludf.DUMMYFUNCTION("""COMPUTED_VALUE"""),"SSV")</f>
        <v>SSV</v>
      </c>
      <c r="C190" s="20">
        <f>IFERROR(__xludf.DUMMYFUNCTION("""COMPUTED_VALUE"""),67.7)</f>
        <v>67.7</v>
      </c>
      <c r="D190" s="21">
        <f>IFERROR(__xludf.DUMMYFUNCTION("""COMPUTED_VALUE"""),-0.9012971711394965)</f>
        <v>-0.9012971711</v>
      </c>
      <c r="E190" s="21">
        <f>IFERROR(__xludf.DUMMYFUNCTION("""COMPUTED_VALUE"""),0.12825795878705104)</f>
        <v>0.1282579588</v>
      </c>
      <c r="F190" s="21">
        <f>IFERROR(__xludf.DUMMYFUNCTION("""COMPUTED_VALUE"""),-0.7730392123524454)</f>
        <v>-0.7730392124</v>
      </c>
      <c r="G190" s="23">
        <f>IFERROR(__xludf.DUMMYFUNCTION("""COMPUTED_VALUE"""),0.0253464199828429)</f>
        <v>0.02534641998</v>
      </c>
      <c r="H190" s="4"/>
      <c r="I190" s="5" t="s">
        <v>3397</v>
      </c>
      <c r="J190" s="5" t="s">
        <v>3237</v>
      </c>
      <c r="K190" s="5">
        <v>909.0</v>
      </c>
      <c r="L190" s="5">
        <v>-0.035343</v>
      </c>
      <c r="M190" s="5">
        <v>-0.813236</v>
      </c>
      <c r="N190" s="5">
        <v>-0.848578</v>
      </c>
      <c r="O190" s="5">
        <v>0.353117</v>
      </c>
    </row>
    <row r="191">
      <c r="A191" s="12" t="str">
        <f>IFERROR(__xludf.DUMMYFUNCTION("""COMPUTED_VALUE"""),"Marco Voeller")</f>
        <v>Marco Voeller</v>
      </c>
      <c r="B191" s="13" t="str">
        <f>IFERROR(__xludf.DUMMYFUNCTION("""COMPUTED_VALUE"""),"JR")</f>
        <v>JR</v>
      </c>
      <c r="C191" s="14">
        <f>IFERROR(__xludf.DUMMYFUNCTION("""COMPUTED_VALUE"""),31.0)</f>
        <v>31</v>
      </c>
      <c r="D191" s="15">
        <f>IFERROR(__xludf.DUMMYFUNCTION("""COMPUTED_VALUE"""),-0.7774467430056845)</f>
        <v>-0.777446743</v>
      </c>
      <c r="E191" s="15">
        <f>IFERROR(__xludf.DUMMYFUNCTION("""COMPUTED_VALUE"""),7.396501529823851E-4)</f>
        <v>0.000739650153</v>
      </c>
      <c r="F191" s="15">
        <f>IFERROR(__xludf.DUMMYFUNCTION("""COMPUTED_VALUE"""),-0.7767070928527021)</f>
        <v>-0.7767070929</v>
      </c>
      <c r="G191" s="17">
        <f>IFERROR(__xludf.DUMMYFUNCTION("""COMPUTED_VALUE"""),0.011397710713105977)</f>
        <v>0.01139771071</v>
      </c>
      <c r="H191" s="4"/>
      <c r="I191" s="5" t="s">
        <v>3398</v>
      </c>
      <c r="J191" s="5" t="s">
        <v>3240</v>
      </c>
      <c r="K191" s="5">
        <v>83.0</v>
      </c>
      <c r="L191" s="5">
        <v>-1.075652</v>
      </c>
      <c r="M191" s="5">
        <v>0.209736</v>
      </c>
      <c r="N191" s="5">
        <v>-0.865916</v>
      </c>
      <c r="O191" s="5">
        <v>0.028635</v>
      </c>
    </row>
    <row r="192">
      <c r="A192" s="18" t="str">
        <f>IFERROR(__xludf.DUMMYFUNCTION("""COMPUTED_VALUE"""),"Erol Ersek")</f>
        <v>Erol Ersek</v>
      </c>
      <c r="B192" s="19" t="str">
        <f>IFERROR(__xludf.DUMMYFUNCTION("""COMPUTED_VALUE"""),"MUNII")</f>
        <v>MUNII</v>
      </c>
      <c r="C192" s="20">
        <f>IFERROR(__xludf.DUMMYFUNCTION("""COMPUTED_VALUE"""),20.5)</f>
        <v>20.5</v>
      </c>
      <c r="D192" s="21">
        <f>IFERROR(__xludf.DUMMYFUNCTION("""COMPUTED_VALUE"""),-0.6558126057022053)</f>
        <v>-0.6558126057</v>
      </c>
      <c r="E192" s="21">
        <f>IFERROR(__xludf.DUMMYFUNCTION("""COMPUTED_VALUE"""),-0.14659124927402234)</f>
        <v>-0.1465912493</v>
      </c>
      <c r="F192" s="21">
        <f>IFERROR(__xludf.DUMMYFUNCTION("""COMPUTED_VALUE"""),-0.8024038549762277)</f>
        <v>-0.802403855</v>
      </c>
      <c r="G192" s="23">
        <f>IFERROR(__xludf.DUMMYFUNCTION("""COMPUTED_VALUE"""),0.007486580173578632)</f>
        <v>0.007486580174</v>
      </c>
      <c r="H192" s="4"/>
      <c r="I192" s="5" t="s">
        <v>3399</v>
      </c>
      <c r="J192" s="5" t="s">
        <v>3205</v>
      </c>
      <c r="K192" s="5">
        <v>65.0</v>
      </c>
      <c r="L192" s="5">
        <v>-0.342678</v>
      </c>
      <c r="M192" s="5">
        <v>-0.539997</v>
      </c>
      <c r="N192" s="5">
        <v>-0.882675</v>
      </c>
      <c r="O192" s="5">
        <v>0.02213</v>
      </c>
    </row>
    <row r="193">
      <c r="A193" s="12" t="str">
        <f>IFERROR(__xludf.DUMMYFUNCTION("""COMPUTED_VALUE"""),"Moritz Hubner")</f>
        <v>Moritz Hubner</v>
      </c>
      <c r="B193" s="13" t="str">
        <f>IFERROR(__xludf.DUMMYFUNCTION("""COMPUTED_VALUE"""),"CUX")</f>
        <v>CUX</v>
      </c>
      <c r="C193" s="14">
        <f>IFERROR(__xludf.DUMMYFUNCTION("""COMPUTED_VALUE"""),909.0)</f>
        <v>909</v>
      </c>
      <c r="D193" s="15">
        <f>IFERROR(__xludf.DUMMYFUNCTION("""COMPUTED_VALUE"""),-0.07267860672735785)</f>
        <v>-0.07267860673</v>
      </c>
      <c r="E193" s="15">
        <f>IFERROR(__xludf.DUMMYFUNCTION("""COMPUTED_VALUE"""),-0.7758995618076718)</f>
        <v>-0.7758995618</v>
      </c>
      <c r="F193" s="15">
        <f>IFERROR(__xludf.DUMMYFUNCTION("""COMPUTED_VALUE"""),-0.8485781685350297)</f>
        <v>-0.8485781685</v>
      </c>
      <c r="G193" s="17">
        <f>IFERROR(__xludf.DUMMYFUNCTION("""COMPUTED_VALUE"""),0.3531173827714704)</f>
        <v>0.3531173828</v>
      </c>
      <c r="H193" s="4"/>
      <c r="I193" s="5" t="s">
        <v>3400</v>
      </c>
      <c r="J193" s="5" t="s">
        <v>3212</v>
      </c>
      <c r="K193" s="5">
        <v>162.0</v>
      </c>
      <c r="L193" s="5">
        <v>-2.121096</v>
      </c>
      <c r="M193" s="5">
        <v>1.234322</v>
      </c>
      <c r="N193" s="5">
        <v>-0.886774</v>
      </c>
      <c r="O193" s="5">
        <v>0.054607</v>
      </c>
    </row>
    <row r="194">
      <c r="A194" s="18" t="str">
        <f>IFERROR(__xludf.DUMMYFUNCTION("""COMPUTED_VALUE"""),"Kilian Binapfl")</f>
        <v>Kilian Binapfl</v>
      </c>
      <c r="B194" s="19" t="str">
        <f>IFERROR(__xludf.DUMMYFUNCTION("""COMPUTED_VALUE"""),"MUNII")</f>
        <v>MUNII</v>
      </c>
      <c r="C194" s="20">
        <f>IFERROR(__xludf.DUMMYFUNCTION("""COMPUTED_VALUE"""),82.8)</f>
        <v>82.8</v>
      </c>
      <c r="D194" s="21">
        <f>IFERROR(__xludf.DUMMYFUNCTION("""COMPUTED_VALUE"""),-1.085957088787952)</f>
        <v>-1.085957089</v>
      </c>
      <c r="E194" s="21">
        <f>IFERROR(__xludf.DUMMYFUNCTION("""COMPUTED_VALUE"""),0.22004073324136575)</f>
        <v>0.2200407332</v>
      </c>
      <c r="F194" s="21">
        <f>IFERROR(__xludf.DUMMYFUNCTION("""COMPUTED_VALUE"""),-0.8659163555465862)</f>
        <v>-0.8659163555</v>
      </c>
      <c r="G194" s="23">
        <f>IFERROR(__xludf.DUMMYFUNCTION("""COMPUTED_VALUE"""),0.02863483291389961)</f>
        <v>0.02863483291</v>
      </c>
      <c r="H194" s="4"/>
      <c r="I194" s="5" t="s">
        <v>3401</v>
      </c>
      <c r="J194" s="5" t="s">
        <v>3331</v>
      </c>
      <c r="K194" s="5">
        <v>15.0</v>
      </c>
      <c r="L194" s="5">
        <v>-0.575761</v>
      </c>
      <c r="M194" s="5">
        <v>-0.313557</v>
      </c>
      <c r="N194" s="5">
        <v>-0.889318</v>
      </c>
      <c r="O194" s="5">
        <v>0.004955</v>
      </c>
    </row>
    <row r="195">
      <c r="A195" s="12" t="str">
        <f>IFERROR(__xludf.DUMMYFUNCTION("""COMPUTED_VALUE"""),"Mirko Krieger")</f>
        <v>Mirko Krieger</v>
      </c>
      <c r="B195" s="13" t="str">
        <f>IFERROR(__xludf.DUMMYFUNCTION("""COMPUTED_VALUE"""),"SCHW")</f>
        <v>SCHW</v>
      </c>
      <c r="C195" s="14">
        <f>IFERROR(__xludf.DUMMYFUNCTION("""COMPUTED_VALUE"""),65.3)</f>
        <v>65.3</v>
      </c>
      <c r="D195" s="15">
        <f>IFERROR(__xludf.DUMMYFUNCTION("""COMPUTED_VALUE"""),-0.35080508834143925)</f>
        <v>-0.3508050883</v>
      </c>
      <c r="E195" s="15">
        <f>IFERROR(__xludf.DUMMYFUNCTION("""COMPUTED_VALUE"""),-0.5318700123420779)</f>
        <v>-0.5318700123</v>
      </c>
      <c r="F195" s="15">
        <f>IFERROR(__xludf.DUMMYFUNCTION("""COMPUTED_VALUE"""),-0.8826751006835171)</f>
        <v>-0.8826751007</v>
      </c>
      <c r="G195" s="17">
        <f>IFERROR(__xludf.DUMMYFUNCTION("""COMPUTED_VALUE"""),0.022129965480798295)</f>
        <v>0.02212996548</v>
      </c>
      <c r="H195" s="4"/>
      <c r="I195" s="5" t="s">
        <v>3402</v>
      </c>
      <c r="J195" s="5" t="s">
        <v>2838</v>
      </c>
      <c r="K195" s="5">
        <v>18.0</v>
      </c>
      <c r="L195" s="5">
        <v>-0.525235</v>
      </c>
      <c r="M195" s="5">
        <v>-0.378052</v>
      </c>
      <c r="N195" s="5">
        <v>-0.903287</v>
      </c>
      <c r="O195" s="5">
        <v>0.00598</v>
      </c>
    </row>
    <row r="196">
      <c r="A196" s="18" t="str">
        <f>IFERROR(__xludf.DUMMYFUNCTION("""COMPUTED_VALUE"""),"Kevin Wysocki")</f>
        <v>Kevin Wysocki</v>
      </c>
      <c r="B196" s="19" t="str">
        <f>IFERROR(__xludf.DUMMYFUNCTION("""COMPUTED_VALUE"""),"ELCH")</f>
        <v>ELCH</v>
      </c>
      <c r="C196" s="20">
        <f>IFERROR(__xludf.DUMMYFUNCTION("""COMPUTED_VALUE"""),161.5)</f>
        <v>161.5</v>
      </c>
      <c r="D196" s="21">
        <f>IFERROR(__xludf.DUMMYFUNCTION("""COMPUTED_VALUE"""),-2.141195327764861)</f>
        <v>-2.141195328</v>
      </c>
      <c r="E196" s="21">
        <f>IFERROR(__xludf.DUMMYFUNCTION("""COMPUTED_VALUE"""),1.2544210370192816)</f>
        <v>1.254421037</v>
      </c>
      <c r="F196" s="21">
        <f>IFERROR(__xludf.DUMMYFUNCTION("""COMPUTED_VALUE"""),-0.8867742907455795)</f>
        <v>-0.8867742907</v>
      </c>
      <c r="G196" s="23">
        <f>IFERROR(__xludf.DUMMYFUNCTION("""COMPUTED_VALUE"""),0.05460716016998153)</f>
        <v>0.05460716017</v>
      </c>
      <c r="H196" s="4"/>
      <c r="I196" s="5" t="s">
        <v>3403</v>
      </c>
      <c r="J196" s="5" t="s">
        <v>3220</v>
      </c>
      <c r="K196" s="5">
        <v>25.0</v>
      </c>
      <c r="L196" s="5">
        <v>-0.652833</v>
      </c>
      <c r="M196" s="5">
        <v>-0.290432</v>
      </c>
      <c r="N196" s="5">
        <v>-0.943265</v>
      </c>
      <c r="O196" s="5">
        <v>0.008143</v>
      </c>
    </row>
    <row r="197">
      <c r="A197" s="12" t="str">
        <f>IFERROR(__xludf.DUMMYFUNCTION("""COMPUTED_VALUE"""),"John-Robert Stark")</f>
        <v>John-Robert Stark</v>
      </c>
      <c r="B197" s="13" t="str">
        <f>IFERROR(__xludf.DUMMYFUNCTION("""COMPUTED_VALUE"""),"KIT")</f>
        <v>KIT</v>
      </c>
      <c r="C197" s="14">
        <f>IFERROR(__xludf.DUMMYFUNCTION("""COMPUTED_VALUE"""),14.7)</f>
        <v>14.7</v>
      </c>
      <c r="D197" s="15">
        <f>IFERROR(__xludf.DUMMYFUNCTION("""COMPUTED_VALUE"""),-0.5775899939186313)</f>
        <v>-0.5775899939</v>
      </c>
      <c r="E197" s="15">
        <f>IFERROR(__xludf.DUMMYFUNCTION("""COMPUTED_VALUE"""),-0.3117279105915841)</f>
        <v>-0.3117279106</v>
      </c>
      <c r="F197" s="15">
        <f>IFERROR(__xludf.DUMMYFUNCTION("""COMPUTED_VALUE"""),-0.8893179045102154)</f>
        <v>-0.8893179045</v>
      </c>
      <c r="G197" s="17">
        <f>IFERROR(__xludf.DUMMYFUNCTION("""COMPUTED_VALUE"""),0.004955452537878278)</f>
        <v>0.004955452538</v>
      </c>
      <c r="H197" s="4"/>
      <c r="I197" s="5" t="s">
        <v>3404</v>
      </c>
      <c r="J197" s="5" t="s">
        <v>644</v>
      </c>
      <c r="K197" s="24">
        <v>20.0</v>
      </c>
      <c r="L197" s="5">
        <v>-0.394647</v>
      </c>
      <c r="M197" s="5">
        <v>-0.565924</v>
      </c>
      <c r="N197" s="5">
        <v>-0.960571</v>
      </c>
      <c r="O197" s="5">
        <v>0.00628</v>
      </c>
    </row>
    <row r="198">
      <c r="A198" s="18" t="str">
        <f>IFERROR(__xludf.DUMMYFUNCTION("""COMPUTED_VALUE"""),"David Feldmann")</f>
        <v>David Feldmann</v>
      </c>
      <c r="B198" s="19" t="str">
        <f>IFERROR(__xludf.DUMMYFUNCTION("""COMPUTED_VALUE"""),"AST")</f>
        <v>AST</v>
      </c>
      <c r="C198" s="20">
        <f>IFERROR(__xludf.DUMMYFUNCTION("""COMPUTED_VALUE"""),18.2)</f>
        <v>18.2</v>
      </c>
      <c r="D198" s="21">
        <f>IFERROR(__xludf.DUMMYFUNCTION("""COMPUTED_VALUE"""),-0.52750029488646)</f>
        <v>-0.5275002949</v>
      </c>
      <c r="E198" s="21">
        <f>IFERROR(__xludf.DUMMYFUNCTION("""COMPUTED_VALUE"""),-0.3757869090743795)</f>
        <v>-0.3757869091</v>
      </c>
      <c r="F198" s="21">
        <f>IFERROR(__xludf.DUMMYFUNCTION("""COMPUTED_VALUE"""),-0.9032872039608395)</f>
        <v>-0.903287204</v>
      </c>
      <c r="G198" s="23">
        <f>IFERROR(__xludf.DUMMYFUNCTION("""COMPUTED_VALUE"""),0.005979705905417257)</f>
        <v>0.005979705905</v>
      </c>
      <c r="H198" s="4"/>
      <c r="I198" s="5" t="s">
        <v>3405</v>
      </c>
      <c r="J198" s="5" t="s">
        <v>3223</v>
      </c>
      <c r="K198" s="24">
        <v>78.0</v>
      </c>
      <c r="L198" s="5">
        <v>-0.988511</v>
      </c>
      <c r="M198" s="5">
        <v>0.027867</v>
      </c>
      <c r="N198" s="5">
        <v>-0.960644</v>
      </c>
      <c r="O198" s="5">
        <v>0.024607</v>
      </c>
    </row>
    <row r="199">
      <c r="A199" s="12" t="str">
        <f>IFERROR(__xludf.DUMMYFUNCTION("""COMPUTED_VALUE"""),"Paulius Poska")</f>
        <v>Paulius Poska</v>
      </c>
      <c r="B199" s="13" t="str">
        <f>IFERROR(__xludf.DUMMYFUNCTION("""COMPUTED_VALUE"""),"ART")</f>
        <v>ART</v>
      </c>
      <c r="C199" s="14">
        <f>IFERROR(__xludf.DUMMYFUNCTION("""COMPUTED_VALUE"""),13.1)</f>
        <v>13.1</v>
      </c>
      <c r="D199" s="15">
        <f>IFERROR(__xludf.DUMMYFUNCTION("""COMPUTED_VALUE"""),-0.5911606189430468)</f>
        <v>-0.5911606189</v>
      </c>
      <c r="E199" s="15">
        <f>IFERROR(__xludf.DUMMYFUNCTION("""COMPUTED_VALUE"""),-0.3187387218393144)</f>
        <v>-0.3187387218</v>
      </c>
      <c r="F199" s="15">
        <f>IFERROR(__xludf.DUMMYFUNCTION("""COMPUTED_VALUE"""),-0.9098993407823612)</f>
        <v>-0.9098993408</v>
      </c>
      <c r="G199" s="17">
        <f>IFERROR(__xludf.DUMMYFUNCTION("""COMPUTED_VALUE"""),0.004220345859732114)</f>
        <v>0.00422034586</v>
      </c>
      <c r="H199" s="4"/>
      <c r="I199" s="5" t="s">
        <v>3406</v>
      </c>
      <c r="J199" s="5" t="s">
        <v>3240</v>
      </c>
      <c r="K199" s="5">
        <v>16.0</v>
      </c>
      <c r="L199" s="5">
        <v>-0.562825</v>
      </c>
      <c r="M199" s="5">
        <v>-0.422769</v>
      </c>
      <c r="N199" s="5">
        <v>-0.985595</v>
      </c>
      <c r="O199" s="5">
        <v>0.004826</v>
      </c>
    </row>
    <row r="200">
      <c r="A200" s="18" t="str">
        <f>IFERROR(__xludf.DUMMYFUNCTION("""COMPUTED_VALUE"""),"Ivo Slavchev")</f>
        <v>Ivo Slavchev</v>
      </c>
      <c r="B200" s="19" t="str">
        <f>IFERROR(__xludf.DUMMYFUNCTION("""COMPUTED_VALUE"""),"ROST")</f>
        <v>ROST</v>
      </c>
      <c r="C200" s="20">
        <f>IFERROR(__xludf.DUMMYFUNCTION("""COMPUTED_VALUE"""),25.1)</f>
        <v>25.1</v>
      </c>
      <c r="D200" s="21">
        <f>IFERROR(__xludf.DUMMYFUNCTION("""COMPUTED_VALUE"""),-0.655956712070268)</f>
        <v>-0.6559567121</v>
      </c>
      <c r="E200" s="21">
        <f>IFERROR(__xludf.DUMMYFUNCTION("""COMPUTED_VALUE"""),-0.28730813211886985)</f>
        <v>-0.2873081321</v>
      </c>
      <c r="F200" s="21">
        <f>IFERROR(__xludf.DUMMYFUNCTION("""COMPUTED_VALUE"""),-0.9432648441891378)</f>
        <v>-0.9432648442</v>
      </c>
      <c r="G200" s="23">
        <f>IFERROR(__xludf.DUMMYFUNCTION("""COMPUTED_VALUE"""),0.008142837818455857)</f>
        <v>0.008142837818</v>
      </c>
      <c r="H200" s="4"/>
      <c r="I200" s="5" t="s">
        <v>3407</v>
      </c>
      <c r="J200" s="5" t="s">
        <v>3233</v>
      </c>
      <c r="K200" s="5">
        <v>13.0</v>
      </c>
      <c r="L200" s="5">
        <v>-0.628658</v>
      </c>
      <c r="M200" s="5">
        <v>-0.364033</v>
      </c>
      <c r="N200" s="5">
        <v>-0.992691</v>
      </c>
      <c r="O200" s="5">
        <v>0.0039</v>
      </c>
    </row>
    <row r="201">
      <c r="A201" s="12" t="str">
        <f>IFERROR(__xludf.DUMMYFUNCTION("""COMPUTED_VALUE"""),"Jacob Engelhardt")</f>
        <v>Jacob Engelhardt</v>
      </c>
      <c r="B201" s="13" t="str">
        <f>IFERROR(__xludf.DUMMYFUNCTION("""COMPUTED_VALUE"""),"BAY")</f>
        <v>BAY</v>
      </c>
      <c r="C201" s="14">
        <f>IFERROR(__xludf.DUMMYFUNCTION("""COMPUTED_VALUE"""),19.9)</f>
        <v>19.9</v>
      </c>
      <c r="D201" s="15">
        <f>IFERROR(__xludf.DUMMYFUNCTION("""COMPUTED_VALUE"""),-0.39712364714927867)</f>
        <v>-0.3971236471</v>
      </c>
      <c r="E201" s="15">
        <f>IFERROR(__xludf.DUMMYFUNCTION("""COMPUTED_VALUE"""),-0.56344742766424)</f>
        <v>-0.5634474277</v>
      </c>
      <c r="F201" s="15">
        <f>IFERROR(__xludf.DUMMYFUNCTION("""COMPUTED_VALUE"""),-0.9605710748135188)</f>
        <v>-0.9605710748</v>
      </c>
      <c r="G201" s="17">
        <f>IFERROR(__xludf.DUMMYFUNCTION("""COMPUTED_VALUE"""),0.00627954050234142)</f>
        <v>0.006279540502</v>
      </c>
      <c r="H201" s="4"/>
      <c r="I201" s="5" t="s">
        <v>3408</v>
      </c>
      <c r="J201" s="5" t="s">
        <v>3215</v>
      </c>
      <c r="K201" s="5">
        <v>21.0</v>
      </c>
      <c r="L201" s="5">
        <v>-0.599524</v>
      </c>
      <c r="M201" s="5">
        <v>-0.411439</v>
      </c>
      <c r="N201" s="5">
        <v>-1.010962</v>
      </c>
      <c r="O201" s="5">
        <v>0.006157</v>
      </c>
    </row>
    <row r="202">
      <c r="A202" s="18" t="str">
        <f>IFERROR(__xludf.DUMMYFUNCTION("""COMPUTED_VALUE"""),"Tilman Buschbeck")</f>
        <v>Tilman Buschbeck</v>
      </c>
      <c r="B202" s="19" t="str">
        <f>IFERROR(__xludf.DUMMYFUNCTION("""COMPUTED_VALUE"""),"AKAD")</f>
        <v>AKAD</v>
      </c>
      <c r="C202" s="20">
        <f>IFERROR(__xludf.DUMMYFUNCTION("""COMPUTED_VALUE"""),77.9)</f>
        <v>77.9</v>
      </c>
      <c r="D202" s="21">
        <f>IFERROR(__xludf.DUMMYFUNCTION("""COMPUTED_VALUE"""),-0.9982057227233658)</f>
        <v>-0.9982057227</v>
      </c>
      <c r="E202" s="21">
        <f>IFERROR(__xludf.DUMMYFUNCTION("""COMPUTED_VALUE"""),0.03756159289455985)</f>
        <v>0.03756159289</v>
      </c>
      <c r="F202" s="21">
        <f>IFERROR(__xludf.DUMMYFUNCTION("""COMPUTED_VALUE"""),-0.960644129828806)</f>
        <v>-0.9606441298</v>
      </c>
      <c r="G202" s="23">
        <f>IFERROR(__xludf.DUMMYFUNCTION("""COMPUTED_VALUE"""),0.02460692645259961)</f>
        <v>0.02460692645</v>
      </c>
      <c r="H202" s="4"/>
      <c r="I202" s="5" t="s">
        <v>3409</v>
      </c>
      <c r="J202" s="5" t="s">
        <v>3281</v>
      </c>
      <c r="K202" s="5">
        <v>147.0</v>
      </c>
      <c r="L202" s="5">
        <v>-2.057113</v>
      </c>
      <c r="M202" s="5">
        <v>1.019109</v>
      </c>
      <c r="N202" s="5">
        <v>-1.038004</v>
      </c>
      <c r="O202" s="5">
        <v>0.04297</v>
      </c>
    </row>
    <row r="203">
      <c r="A203" s="12" t="str">
        <f>IFERROR(__xludf.DUMMYFUNCTION("""COMPUTED_VALUE"""),"Daniel Zdravevski")</f>
        <v>Daniel Zdravevski</v>
      </c>
      <c r="B203" s="13" t="str">
        <f>IFERROR(__xludf.DUMMYFUNCTION("""COMPUTED_VALUE"""),"MUNII")</f>
        <v>MUNII</v>
      </c>
      <c r="C203" s="14">
        <f>IFERROR(__xludf.DUMMYFUNCTION("""COMPUTED_VALUE"""),15.6)</f>
        <v>15.6</v>
      </c>
      <c r="D203" s="15">
        <f>IFERROR(__xludf.DUMMYFUNCTION("""COMPUTED_VALUE"""),-0.564766823559732)</f>
        <v>-0.5647668236</v>
      </c>
      <c r="E203" s="15">
        <f>IFERROR(__xludf.DUMMYFUNCTION("""COMPUTED_VALUE"""),-0.4208278801866573)</f>
        <v>-0.4208278802</v>
      </c>
      <c r="F203" s="15">
        <f>IFERROR(__xludf.DUMMYFUNCTION("""COMPUTED_VALUE"""),-0.9855947037463892)</f>
        <v>-0.9855947037</v>
      </c>
      <c r="G203" s="17">
        <f>IFERROR(__xludf.DUMMYFUNCTION("""COMPUTED_VALUE"""),0.0048256446220572655)</f>
        <v>0.004825644622</v>
      </c>
      <c r="H203" s="4"/>
      <c r="I203" s="5" t="s">
        <v>3410</v>
      </c>
      <c r="J203" s="5" t="s">
        <v>3263</v>
      </c>
      <c r="K203" s="5">
        <v>344.0</v>
      </c>
      <c r="L203" s="5">
        <v>-1.929005</v>
      </c>
      <c r="M203" s="5">
        <v>0.861375</v>
      </c>
      <c r="N203" s="5">
        <v>-1.06763</v>
      </c>
      <c r="O203" s="5">
        <v>0.096483</v>
      </c>
    </row>
    <row r="204">
      <c r="A204" s="18" t="str">
        <f>IFERROR(__xludf.DUMMYFUNCTION("""COMPUTED_VALUE"""),"Kai Globig")</f>
        <v>Kai Globig</v>
      </c>
      <c r="B204" s="19" t="str">
        <f>IFERROR(__xludf.DUMMYFUNCTION("""COMPUTED_VALUE"""),"WOLF")</f>
        <v>WOLF</v>
      </c>
      <c r="C204" s="20">
        <f>IFERROR(__xludf.DUMMYFUNCTION("""COMPUTED_VALUE"""),20.5)</f>
        <v>20.5</v>
      </c>
      <c r="D204" s="21">
        <f>IFERROR(__xludf.DUMMYFUNCTION("""COMPUTED_VALUE"""),-0.6020749604263342)</f>
        <v>-0.6020749604</v>
      </c>
      <c r="E204" s="21">
        <f>IFERROR(__xludf.DUMMYFUNCTION("""COMPUTED_VALUE"""),-0.40888744990350956)</f>
        <v>-0.4088874499</v>
      </c>
      <c r="F204" s="21">
        <f>IFERROR(__xludf.DUMMYFUNCTION("""COMPUTED_VALUE"""),-1.0109624103298438)</f>
        <v>-1.01096241</v>
      </c>
      <c r="G204" s="23">
        <f>IFERROR(__xludf.DUMMYFUNCTION("""COMPUTED_VALUE"""),0.006156516839367707)</f>
        <v>0.006156516839</v>
      </c>
      <c r="H204" s="4"/>
      <c r="I204" s="5" t="s">
        <v>3411</v>
      </c>
      <c r="J204" s="5" t="s">
        <v>3233</v>
      </c>
      <c r="K204" s="5">
        <v>192.0</v>
      </c>
      <c r="L204" s="5">
        <v>-2.585039</v>
      </c>
      <c r="M204" s="5">
        <v>1.512624</v>
      </c>
      <c r="N204" s="5">
        <v>-1.072415</v>
      </c>
      <c r="O204" s="5">
        <v>0.052552</v>
      </c>
    </row>
    <row r="205">
      <c r="A205" s="12" t="str">
        <f>IFERROR(__xludf.DUMMYFUNCTION("""COMPUTED_VALUE"""),"Justus Hollatz")</f>
        <v>Justus Hollatz</v>
      </c>
      <c r="B205" s="13" t="str">
        <f>IFERROR(__xludf.DUMMYFUNCTION("""COMPUTED_VALUE"""),"RIST")</f>
        <v>RIST</v>
      </c>
      <c r="C205" s="14">
        <f>IFERROR(__xludf.DUMMYFUNCTION("""COMPUTED_VALUE"""),146.5)</f>
        <v>146.5</v>
      </c>
      <c r="D205" s="15">
        <f>IFERROR(__xludf.DUMMYFUNCTION("""COMPUTED_VALUE"""),-2.075345106874914)</f>
        <v>-2.075345107</v>
      </c>
      <c r="E205" s="15">
        <f>IFERROR(__xludf.DUMMYFUNCTION("""COMPUTED_VALUE"""),1.0373410873524749)</f>
        <v>1.037341087</v>
      </c>
      <c r="F205" s="15">
        <f>IFERROR(__xludf.DUMMYFUNCTION("""COMPUTED_VALUE"""),-1.038004019522439)</f>
        <v>-1.03800402</v>
      </c>
      <c r="G205" s="17">
        <f>IFERROR(__xludf.DUMMYFUNCTION("""COMPUTED_VALUE"""),0.04297038150950424)</f>
        <v>0.04297038151</v>
      </c>
      <c r="H205" s="4"/>
      <c r="I205" s="5" t="s">
        <v>3412</v>
      </c>
      <c r="J205" s="5" t="s">
        <v>3251</v>
      </c>
      <c r="K205" s="5">
        <v>26.0</v>
      </c>
      <c r="L205" s="5">
        <v>-1.060091</v>
      </c>
      <c r="M205" s="5">
        <v>-0.034929</v>
      </c>
      <c r="N205" s="5">
        <v>-1.095019</v>
      </c>
      <c r="O205" s="5">
        <v>0.007176</v>
      </c>
    </row>
    <row r="206">
      <c r="A206" s="18" t="str">
        <f>IFERROR(__xludf.DUMMYFUNCTION("""COMPUTED_VALUE"""),"Tobias Jahn")</f>
        <v>Tobias Jahn</v>
      </c>
      <c r="B206" s="19" t="str">
        <f>IFERROR(__xludf.DUMMYFUNCTION("""COMPUTED_VALUE"""),"JR")</f>
        <v>JR</v>
      </c>
      <c r="C206" s="20">
        <f>IFERROR(__xludf.DUMMYFUNCTION("""COMPUTED_VALUE"""),344.3)</f>
        <v>344.3</v>
      </c>
      <c r="D206" s="21">
        <f>IFERROR(__xludf.DUMMYFUNCTION("""COMPUTED_VALUE"""),-1.966340548268339)</f>
        <v>-1.966340548</v>
      </c>
      <c r="E206" s="21">
        <f>IFERROR(__xludf.DUMMYFUNCTION("""COMPUTED_VALUE"""),0.8987110025761094)</f>
        <v>0.8987110026</v>
      </c>
      <c r="F206" s="21">
        <f>IFERROR(__xludf.DUMMYFUNCTION("""COMPUTED_VALUE"""),-1.0676295456922296)</f>
        <v>-1.067629546</v>
      </c>
      <c r="G206" s="23">
        <f>IFERROR(__xludf.DUMMYFUNCTION("""COMPUTED_VALUE"""),0.09648304557841335)</f>
        <v>0.09648304558</v>
      </c>
      <c r="H206" s="4"/>
      <c r="I206" s="5" t="s">
        <v>3413</v>
      </c>
      <c r="J206" s="5" t="s">
        <v>3240</v>
      </c>
      <c r="K206" s="24">
        <v>25.0</v>
      </c>
      <c r="L206" s="5">
        <v>-0.565951</v>
      </c>
      <c r="M206" s="5">
        <v>-0.576498</v>
      </c>
      <c r="N206" s="5">
        <v>-1.142449</v>
      </c>
      <c r="O206" s="5">
        <v>0.006642</v>
      </c>
    </row>
    <row r="207">
      <c r="A207" s="12" t="str">
        <f>IFERROR(__xludf.DUMMYFUNCTION("""COMPUTED_VALUE"""),"Sinan Ozdil")</f>
        <v>Sinan Ozdil</v>
      </c>
      <c r="B207" s="13" t="str">
        <f>IFERROR(__xludf.DUMMYFUNCTION("""COMPUTED_VALUE"""),"COBU")</f>
        <v>COBU</v>
      </c>
      <c r="C207" s="14">
        <f>IFERROR(__xludf.DUMMYFUNCTION("""COMPUTED_VALUE"""),26.1)</f>
        <v>26.1</v>
      </c>
      <c r="D207" s="15">
        <f>IFERROR(__xludf.DUMMYFUNCTION("""COMPUTED_VALUE"""),-1.0633390426153702)</f>
        <v>-1.063339043</v>
      </c>
      <c r="E207" s="15">
        <f>IFERROR(__xludf.DUMMYFUNCTION("""COMPUTED_VALUE"""),-0.03168041559181556)</f>
        <v>-0.03168041559</v>
      </c>
      <c r="F207" s="15">
        <f>IFERROR(__xludf.DUMMYFUNCTION("""COMPUTED_VALUE"""),-1.0950194582071857)</f>
        <v>-1.095019458</v>
      </c>
      <c r="G207" s="17">
        <f>IFERROR(__xludf.DUMMYFUNCTION("""COMPUTED_VALUE"""),0.007175717690729988)</f>
        <v>0.007175717691</v>
      </c>
      <c r="H207" s="4"/>
      <c r="I207" s="5" t="s">
        <v>3414</v>
      </c>
      <c r="J207" s="5" t="s">
        <v>3331</v>
      </c>
      <c r="K207" s="24">
        <v>783.0</v>
      </c>
      <c r="L207" s="5">
        <v>0.206832</v>
      </c>
      <c r="M207" s="5">
        <v>-1.352003</v>
      </c>
      <c r="N207" s="5">
        <v>-1.145171</v>
      </c>
      <c r="O207" s="5">
        <v>0.203098</v>
      </c>
    </row>
    <row r="208">
      <c r="A208" s="18" t="str">
        <f>IFERROR(__xludf.DUMMYFUNCTION("""COMPUTED_VALUE"""),"Danileious Laverivociuous")</f>
        <v>Danileious Laverivociuous</v>
      </c>
      <c r="B208" s="19" t="str">
        <f>IFERROR(__xludf.DUMMYFUNCTION("""COMPUTED_VALUE"""),"ART")</f>
        <v>ART</v>
      </c>
      <c r="C208" s="20">
        <f>IFERROR(__xludf.DUMMYFUNCTION("""COMPUTED_VALUE"""),270.6)</f>
        <v>270.6</v>
      </c>
      <c r="D208" s="21">
        <f>IFERROR(__xludf.DUMMYFUNCTION("""COMPUTED_VALUE"""),-0.8360173021716102)</f>
        <v>-0.8360173022</v>
      </c>
      <c r="E208" s="21">
        <f>IFERROR(__xludf.DUMMYFUNCTION("""COMPUTED_VALUE"""),-0.2902520127852535)</f>
        <v>-0.2902520128</v>
      </c>
      <c r="F208" s="21">
        <f>IFERROR(__xludf.DUMMYFUNCTION("""COMPUTED_VALUE"""),-1.1262693149568637)</f>
        <v>-1.126269315</v>
      </c>
      <c r="G208" s="23">
        <f>IFERROR(__xludf.DUMMYFUNCTION("""COMPUTED_VALUE"""),0.06987398714465279)</f>
        <v>0.06987398714</v>
      </c>
      <c r="H208" s="4"/>
      <c r="I208" s="5" t="s">
        <v>3415</v>
      </c>
      <c r="J208" s="5" t="s">
        <v>3205</v>
      </c>
      <c r="K208" s="5">
        <v>454.0</v>
      </c>
      <c r="L208" s="5">
        <v>-0.006266</v>
      </c>
      <c r="M208" s="5">
        <v>-1.15705</v>
      </c>
      <c r="N208" s="5">
        <v>-1.163316</v>
      </c>
      <c r="O208" s="5">
        <v>0.11529</v>
      </c>
    </row>
    <row r="209">
      <c r="A209" s="12" t="str">
        <f>IFERROR(__xludf.DUMMYFUNCTION("""COMPUTED_VALUE"""),"Hendrik Prasuhn")</f>
        <v>Hendrik Prasuhn</v>
      </c>
      <c r="B209" s="13" t="str">
        <f>IFERROR(__xludf.DUMMYFUNCTION("""COMPUTED_VALUE"""),"ART")</f>
        <v>ART</v>
      </c>
      <c r="C209" s="14">
        <f>IFERROR(__xludf.DUMMYFUNCTION("""COMPUTED_VALUE"""),45.1)</f>
        <v>45.1</v>
      </c>
      <c r="D209" s="15">
        <f>IFERROR(__xludf.DUMMYFUNCTION("""COMPUTED_VALUE"""),-1.0051786097594488)</f>
        <v>-1.00517861</v>
      </c>
      <c r="E209" s="15">
        <f>IFERROR(__xludf.DUMMYFUNCTION("""COMPUTED_VALUE"""),-0.13239732436540774)</f>
        <v>-0.1323973244</v>
      </c>
      <c r="F209" s="15">
        <f>IFERROR(__xludf.DUMMYFUNCTION("""COMPUTED_VALUE"""),-1.1375759341248566)</f>
        <v>-1.137575934</v>
      </c>
      <c r="G209" s="17">
        <f>IFERROR(__xludf.DUMMYFUNCTION("""COMPUTED_VALUE"""),0.011494962372992516)</f>
        <v>0.01149496237</v>
      </c>
      <c r="H209" s="4"/>
      <c r="I209" s="5" t="s">
        <v>3416</v>
      </c>
      <c r="J209" s="5" t="s">
        <v>3263</v>
      </c>
      <c r="K209" s="5">
        <v>82.0</v>
      </c>
      <c r="L209" s="5">
        <v>-0.768175</v>
      </c>
      <c r="M209" s="5">
        <v>-0.433616</v>
      </c>
      <c r="N209" s="5">
        <v>-1.201791</v>
      </c>
      <c r="O209" s="5">
        <v>0.0196</v>
      </c>
    </row>
    <row r="210">
      <c r="A210" s="18" t="str">
        <f>IFERROR(__xludf.DUMMYFUNCTION("""COMPUTED_VALUE"""),"Matej Rudan")</f>
        <v>Matej Rudan</v>
      </c>
      <c r="B210" s="19" t="str">
        <f>IFERROR(__xludf.DUMMYFUNCTION("""COMPUTED_VALUE"""),"MUNII")</f>
        <v>MUNII</v>
      </c>
      <c r="C210" s="20">
        <f>IFERROR(__xludf.DUMMYFUNCTION("""COMPUTED_VALUE"""),25.4)</f>
        <v>25.4</v>
      </c>
      <c r="D210" s="21">
        <f>IFERROR(__xludf.DUMMYFUNCTION("""COMPUTED_VALUE"""),-0.5691121368391221)</f>
        <v>-0.5691121368</v>
      </c>
      <c r="E210" s="21">
        <f>IFERROR(__xludf.DUMMYFUNCTION("""COMPUTED_VALUE"""),-0.5733370096505652)</f>
        <v>-0.5733370097</v>
      </c>
      <c r="F210" s="21">
        <f>IFERROR(__xludf.DUMMYFUNCTION("""COMPUTED_VALUE"""),-1.1424491464896873)</f>
        <v>-1.142449146</v>
      </c>
      <c r="G210" s="23">
        <f>IFERROR(__xludf.DUMMYFUNCTION("""COMPUTED_VALUE"""),0.006642213477545433)</f>
        <v>0.006642213478</v>
      </c>
      <c r="H210" s="4"/>
      <c r="I210" s="5" t="s">
        <v>3417</v>
      </c>
      <c r="J210" s="5" t="s">
        <v>2838</v>
      </c>
      <c r="K210" s="5">
        <v>329.0</v>
      </c>
      <c r="L210" s="5">
        <v>1.609448</v>
      </c>
      <c r="M210" s="5">
        <v>-2.82442</v>
      </c>
      <c r="N210" s="5">
        <v>-1.214972</v>
      </c>
      <c r="O210" s="5">
        <v>0.077351</v>
      </c>
    </row>
    <row r="211">
      <c r="A211" s="12" t="str">
        <f>IFERROR(__xludf.DUMMYFUNCTION("""COMPUTED_VALUE"""),"Aaron Schmitz")</f>
        <v>Aaron Schmitz</v>
      </c>
      <c r="B211" s="13" t="str">
        <f>IFERROR(__xludf.DUMMYFUNCTION("""COMPUTED_VALUE"""),"KIT")</f>
        <v>KIT</v>
      </c>
      <c r="C211" s="14">
        <f>IFERROR(__xludf.DUMMYFUNCTION("""COMPUTED_VALUE"""),782.8)</f>
        <v>782.8</v>
      </c>
      <c r="D211" s="15">
        <f>IFERROR(__xludf.DUMMYFUNCTION("""COMPUTED_VALUE"""),0.16949593085771564)</f>
        <v>0.1694959309</v>
      </c>
      <c r="E211" s="15">
        <f>IFERROR(__xludf.DUMMYFUNCTION("""COMPUTED_VALUE"""),-1.3146671736222637)</f>
        <v>-1.314667174</v>
      </c>
      <c r="F211" s="15">
        <f>IFERROR(__xludf.DUMMYFUNCTION("""COMPUTED_VALUE"""),-1.145171242764548)</f>
        <v>-1.145171243</v>
      </c>
      <c r="G211" s="17">
        <f>IFERROR(__xludf.DUMMYFUNCTION("""COMPUTED_VALUE"""),0.2030982381611747)</f>
        <v>0.2030982382</v>
      </c>
      <c r="H211" s="4"/>
      <c r="I211" s="5" t="s">
        <v>3418</v>
      </c>
      <c r="J211" s="5" t="s">
        <v>3203</v>
      </c>
      <c r="K211" s="5">
        <v>258.0</v>
      </c>
      <c r="L211" s="5">
        <v>-0.418633</v>
      </c>
      <c r="M211" s="5">
        <v>-0.810679</v>
      </c>
      <c r="N211" s="5">
        <v>-1.229311</v>
      </c>
      <c r="O211" s="5">
        <v>0.060202</v>
      </c>
    </row>
    <row r="212">
      <c r="A212" s="18" t="str">
        <f>IFERROR(__xludf.DUMMYFUNCTION("""COMPUTED_VALUE"""),"Sebastian Schroter")</f>
        <v>Sebastian Schroter</v>
      </c>
      <c r="B212" s="19" t="str">
        <f>IFERROR(__xludf.DUMMYFUNCTION("""COMPUTED_VALUE"""),"SCHW")</f>
        <v>SCHW</v>
      </c>
      <c r="C212" s="20">
        <f>IFERROR(__xludf.DUMMYFUNCTION("""COMPUTED_VALUE"""),454.3)</f>
        <v>454.3</v>
      </c>
      <c r="D212" s="21">
        <f>IFERROR(__xludf.DUMMYFUNCTION("""COMPUTED_VALUE"""),-0.04360229315995506)</f>
        <v>-0.04360229316</v>
      </c>
      <c r="E212" s="21">
        <f>IFERROR(__xludf.DUMMYFUNCTION("""COMPUTED_VALUE"""),-1.1197141897956906)</f>
        <v>-1.11971419</v>
      </c>
      <c r="F212" s="21">
        <f>IFERROR(__xludf.DUMMYFUNCTION("""COMPUTED_VALUE"""),-1.1633164829556457)</f>
        <v>-1.163316483</v>
      </c>
      <c r="G212" s="23">
        <f>IFERROR(__xludf.DUMMYFUNCTION("""COMPUTED_VALUE"""),0.11529010330565963)</f>
        <v>0.1152901033</v>
      </c>
      <c r="H212" s="4"/>
      <c r="I212" s="5" t="s">
        <v>3419</v>
      </c>
      <c r="J212" s="5" t="s">
        <v>3220</v>
      </c>
      <c r="K212" s="5">
        <v>316.0</v>
      </c>
      <c r="L212" s="5">
        <v>-0.122936</v>
      </c>
      <c r="M212" s="5">
        <v>-1.133769</v>
      </c>
      <c r="N212" s="5">
        <v>-1.256705</v>
      </c>
      <c r="O212" s="5">
        <v>0.071994</v>
      </c>
    </row>
    <row r="213">
      <c r="A213" s="12" t="str">
        <f>IFERROR(__xludf.DUMMYFUNCTION("""COMPUTED_VALUE"""),"Jamin Knothe")</f>
        <v>Jamin Knothe</v>
      </c>
      <c r="B213" s="13" t="str">
        <f>IFERROR(__xludf.DUMMYFUNCTION("""COMPUTED_VALUE"""),"JR")</f>
        <v>JR</v>
      </c>
      <c r="C213" s="14">
        <f>IFERROR(__xludf.DUMMYFUNCTION("""COMPUTED_VALUE"""),81.7)</f>
        <v>81.7</v>
      </c>
      <c r="D213" s="15">
        <f>IFERROR(__xludf.DUMMYFUNCTION("""COMPUTED_VALUE"""),-0.7783423634252253)</f>
        <v>-0.7783423634</v>
      </c>
      <c r="E213" s="15">
        <f>IFERROR(__xludf.DUMMYFUNCTION("""COMPUTED_VALUE"""),-0.4234484775639744)</f>
        <v>-0.4234484776</v>
      </c>
      <c r="F213" s="15">
        <f>IFERROR(__xludf.DUMMYFUNCTION("""COMPUTED_VALUE"""),-1.2017908409891997)</f>
        <v>-1.201790841</v>
      </c>
      <c r="G213" s="17">
        <f>IFERROR(__xludf.DUMMYFUNCTION("""COMPUTED_VALUE"""),0.019600368737548685)</f>
        <v>0.01960036874</v>
      </c>
      <c r="H213" s="4"/>
      <c r="I213" s="5" t="s">
        <v>3420</v>
      </c>
      <c r="J213" s="5" t="s">
        <v>3215</v>
      </c>
      <c r="K213" s="5">
        <v>63.0</v>
      </c>
      <c r="L213" s="5">
        <v>-0.9899</v>
      </c>
      <c r="M213" s="5">
        <v>-0.271581</v>
      </c>
      <c r="N213" s="5">
        <v>-1.261481</v>
      </c>
      <c r="O213" s="5">
        <v>0.01415</v>
      </c>
    </row>
    <row r="214">
      <c r="A214" s="18" t="str">
        <f>IFERROR(__xludf.DUMMYFUNCTION("""COMPUTED_VALUE"""),"Philipp Lieser")</f>
        <v>Philipp Lieser</v>
      </c>
      <c r="B214" s="19" t="str">
        <f>IFERROR(__xludf.DUMMYFUNCTION("""COMPUTED_VALUE"""),"ART")</f>
        <v>ART</v>
      </c>
      <c r="C214" s="20">
        <f>IFERROR(__xludf.DUMMYFUNCTION("""COMPUTED_VALUE"""),532.3)</f>
        <v>532.3</v>
      </c>
      <c r="D214" s="21">
        <f>IFERROR(__xludf.DUMMYFUNCTION("""COMPUTED_VALUE"""),-0.8766340751025228)</f>
        <v>-0.8766340751</v>
      </c>
      <c r="E214" s="21">
        <f>IFERROR(__xludf.DUMMYFUNCTION("""COMPUTED_VALUE"""),-0.3299234880766482)</f>
        <v>-0.3299234881</v>
      </c>
      <c r="F214" s="21">
        <f>IFERROR(__xludf.DUMMYFUNCTION("""COMPUTED_VALUE"""),-1.206557563179171)</f>
        <v>-1.206557563</v>
      </c>
      <c r="G214" s="23">
        <f>IFERROR(__xludf.DUMMYFUNCTION("""COMPUTED_VALUE"""),0.12481938432916473)</f>
        <v>0.1248193843</v>
      </c>
      <c r="H214" s="4"/>
      <c r="I214" s="5" t="s">
        <v>3421</v>
      </c>
      <c r="J214" s="5" t="s">
        <v>3223</v>
      </c>
      <c r="K214" s="5">
        <v>514.0</v>
      </c>
      <c r="L214" s="5">
        <v>-2.397411</v>
      </c>
      <c r="M214" s="5">
        <v>1.109743</v>
      </c>
      <c r="N214" s="5">
        <v>-1.287668</v>
      </c>
      <c r="O214" s="5">
        <v>0.111319</v>
      </c>
    </row>
    <row r="215">
      <c r="A215" s="12" t="str">
        <f>IFERROR(__xludf.DUMMYFUNCTION("""COMPUTED_VALUE"""),"Niklas Meesmann")</f>
        <v>Niklas Meesmann</v>
      </c>
      <c r="B215" s="13" t="str">
        <f>IFERROR(__xludf.DUMMYFUNCTION("""COMPUTED_VALUE"""),"AST")</f>
        <v>AST</v>
      </c>
      <c r="C215" s="14">
        <f>IFERROR(__xludf.DUMMYFUNCTION("""COMPUTED_VALUE"""),328.9)</f>
        <v>328.9</v>
      </c>
      <c r="D215" s="15">
        <f>IFERROR(__xludf.DUMMYFUNCTION("""COMPUTED_VALUE"""),1.572111836170079)</f>
        <v>1.572111836</v>
      </c>
      <c r="E215" s="15">
        <f>IFERROR(__xludf.DUMMYFUNCTION("""COMPUTED_VALUE"""),-2.7870842982194386)</f>
        <v>-2.787084298</v>
      </c>
      <c r="F215" s="15">
        <f>IFERROR(__xludf.DUMMYFUNCTION("""COMPUTED_VALUE"""),-1.2149724620493594)</f>
        <v>-1.214972462</v>
      </c>
      <c r="G215" s="17">
        <f>IFERROR(__xludf.DUMMYFUNCTION("""COMPUTED_VALUE"""),0.07735070768186803)</f>
        <v>0.07735070768</v>
      </c>
      <c r="H215" s="4"/>
      <c r="I215" s="5" t="s">
        <v>3422</v>
      </c>
      <c r="J215" s="5" t="s">
        <v>3229</v>
      </c>
      <c r="K215" s="5">
        <v>25.0</v>
      </c>
      <c r="L215" s="5">
        <v>-0.86279</v>
      </c>
      <c r="M215" s="5">
        <v>-0.43882</v>
      </c>
      <c r="N215" s="5">
        <v>-1.301609</v>
      </c>
      <c r="O215" s="5">
        <v>0.005517</v>
      </c>
    </row>
    <row r="216">
      <c r="A216" s="18" t="str">
        <f>IFERROR(__xludf.DUMMYFUNCTION("""COMPUTED_VALUE"""),"Patrick Reusch")</f>
        <v>Patrick Reusch</v>
      </c>
      <c r="B216" s="19" t="str">
        <f>IFERROR(__xludf.DUMMYFUNCTION("""COMPUTED_VALUE"""),"DRAG")</f>
        <v>DRAG</v>
      </c>
      <c r="C216" s="20">
        <f>IFERROR(__xludf.DUMMYFUNCTION("""COMPUTED_VALUE"""),257.6)</f>
        <v>257.6</v>
      </c>
      <c r="D216" s="21">
        <f>IFERROR(__xludf.DUMMYFUNCTION("""COMPUTED_VALUE"""),-0.4506918475698033)</f>
        <v>-0.4506918476</v>
      </c>
      <c r="E216" s="21">
        <f>IFERROR(__xludf.DUMMYFUNCTION("""COMPUTED_VALUE"""),-0.7786195997904809)</f>
        <v>-0.7786195998</v>
      </c>
      <c r="F216" s="21">
        <f>IFERROR(__xludf.DUMMYFUNCTION("""COMPUTED_VALUE"""),-1.2293114473602842)</f>
        <v>-1.229311447</v>
      </c>
      <c r="G216" s="23">
        <f>IFERROR(__xludf.DUMMYFUNCTION("""COMPUTED_VALUE"""),0.060202405160364125)</f>
        <v>0.06020240516</v>
      </c>
      <c r="H216" s="4"/>
      <c r="I216" s="5" t="s">
        <v>1182</v>
      </c>
      <c r="J216" s="5" t="s">
        <v>3217</v>
      </c>
      <c r="K216" s="5">
        <v>714.0</v>
      </c>
      <c r="L216" s="5">
        <v>-0.609627</v>
      </c>
      <c r="M216" s="5">
        <v>-0.764987</v>
      </c>
      <c r="N216" s="5">
        <v>-1.374615</v>
      </c>
      <c r="O216" s="5">
        <v>0.134407</v>
      </c>
    </row>
    <row r="217">
      <c r="A217" s="12" t="str">
        <f>IFERROR(__xludf.DUMMYFUNCTION("""COMPUTED_VALUE"""),"Dino Butorac")</f>
        <v>Dino Butorac</v>
      </c>
      <c r="B217" s="13" t="str">
        <f>IFERROR(__xludf.DUMMYFUNCTION("""COMPUTED_VALUE"""),"ROST")</f>
        <v>ROST</v>
      </c>
      <c r="C217" s="14">
        <f>IFERROR(__xludf.DUMMYFUNCTION("""COMPUTED_VALUE"""),315.5)</f>
        <v>315.5</v>
      </c>
      <c r="D217" s="15">
        <f>IFERROR(__xludf.DUMMYFUNCTION("""COMPUTED_VALUE"""),-0.16027213432452114)</f>
        <v>-0.1602721343</v>
      </c>
      <c r="E217" s="15">
        <f>IFERROR(__xludf.DUMMYFUNCTION("""COMPUTED_VALUE"""),-1.096432815194765)</f>
        <v>-1.096432815</v>
      </c>
      <c r="F217" s="15">
        <f>IFERROR(__xludf.DUMMYFUNCTION("""COMPUTED_VALUE"""),-1.2567049495192861)</f>
        <v>-1.25670495</v>
      </c>
      <c r="G217" s="17">
        <f>IFERROR(__xludf.DUMMYFUNCTION("""COMPUTED_VALUE"""),0.07199403454088495)</f>
        <v>0.07199403454</v>
      </c>
      <c r="H217" s="4"/>
      <c r="I217" s="5" t="s">
        <v>3423</v>
      </c>
      <c r="J217" s="5" t="s">
        <v>3207</v>
      </c>
      <c r="K217" s="5">
        <v>437.0</v>
      </c>
      <c r="L217" s="5">
        <v>-2.8372</v>
      </c>
      <c r="M217" s="5">
        <v>1.431985</v>
      </c>
      <c r="N217" s="5">
        <v>-1.405215</v>
      </c>
      <c r="O217" s="5">
        <v>0.077575</v>
      </c>
    </row>
    <row r="218">
      <c r="A218" s="18" t="str">
        <f>IFERROR(__xludf.DUMMYFUNCTION("""COMPUTED_VALUE"""),"Marek Mboya Kotieno")</f>
        <v>Marek Mboya Kotieno</v>
      </c>
      <c r="B218" s="19" t="str">
        <f>IFERROR(__xludf.DUMMYFUNCTION("""COMPUTED_VALUE"""),"WOLF")</f>
        <v>WOLF</v>
      </c>
      <c r="C218" s="20">
        <f>IFERROR(__xludf.DUMMYFUNCTION("""COMPUTED_VALUE"""),63.1)</f>
        <v>63.1</v>
      </c>
      <c r="D218" s="21">
        <f>IFERROR(__xludf.DUMMYFUNCTION("""COMPUTED_VALUE"""),-0.9977527062044754)</f>
        <v>-0.9977527062</v>
      </c>
      <c r="E218" s="21">
        <f>IFERROR(__xludf.DUMMYFUNCTION("""COMPUTED_VALUE"""),-0.2637280138513688)</f>
        <v>-0.2637280139</v>
      </c>
      <c r="F218" s="21">
        <f>IFERROR(__xludf.DUMMYFUNCTION("""COMPUTED_VALUE"""),-1.2614807200558442)</f>
        <v>-1.26148072</v>
      </c>
      <c r="G218" s="23">
        <f>IFERROR(__xludf.DUMMYFUNCTION("""COMPUTED_VALUE"""),0.014150103276288913)</f>
        <v>0.01415010328</v>
      </c>
      <c r="H218" s="4"/>
      <c r="I218" s="5" t="s">
        <v>3424</v>
      </c>
      <c r="J218" s="5" t="s">
        <v>3233</v>
      </c>
      <c r="K218" s="5">
        <v>45.0</v>
      </c>
      <c r="L218" s="5">
        <v>-1.134274</v>
      </c>
      <c r="M218" s="5">
        <v>-0.288334</v>
      </c>
      <c r="N218" s="5">
        <v>-1.422608</v>
      </c>
      <c r="O218" s="5">
        <v>0.007696</v>
      </c>
    </row>
    <row r="219">
      <c r="A219" s="12" t="str">
        <f>IFERROR(__xludf.DUMMYFUNCTION("""COMPUTED_VALUE"""),"Tobias Weigl")</f>
        <v>Tobias Weigl</v>
      </c>
      <c r="B219" s="13" t="str">
        <f>IFERROR(__xludf.DUMMYFUNCTION("""COMPUTED_VALUE"""),"AKAD")</f>
        <v>AKAD</v>
      </c>
      <c r="C219" s="14">
        <f>IFERROR(__xludf.DUMMYFUNCTION("""COMPUTED_VALUE"""),514.2)</f>
        <v>514.2</v>
      </c>
      <c r="D219" s="15">
        <f>IFERROR(__xludf.DUMMYFUNCTION("""COMPUTED_VALUE"""),-2.4347471944880983)</f>
        <v>-2.434747194</v>
      </c>
      <c r="E219" s="15">
        <f>IFERROR(__xludf.DUMMYFUNCTION("""COMPUTED_VALUE"""),1.1470791762339334)</f>
        <v>1.147079176</v>
      </c>
      <c r="F219" s="15">
        <f>IFERROR(__xludf.DUMMYFUNCTION("""COMPUTED_VALUE"""),-1.2876680182541649)</f>
        <v>-1.287668018</v>
      </c>
      <c r="G219" s="17">
        <f>IFERROR(__xludf.DUMMYFUNCTION("""COMPUTED_VALUE"""),0.11131922035170018)</f>
        <v>0.1113192204</v>
      </c>
      <c r="H219" s="4"/>
      <c r="I219" s="5" t="s">
        <v>3425</v>
      </c>
      <c r="J219" s="5" t="s">
        <v>3205</v>
      </c>
      <c r="K219" s="5">
        <v>102.0</v>
      </c>
      <c r="L219" s="5">
        <v>0.466139</v>
      </c>
      <c r="M219" s="5">
        <v>-1.903523</v>
      </c>
      <c r="N219" s="5">
        <v>-1.437385</v>
      </c>
      <c r="O219" s="5">
        <v>0.017406</v>
      </c>
    </row>
    <row r="220">
      <c r="A220" s="18" t="str">
        <f>IFERROR(__xludf.DUMMYFUNCTION("""COMPUTED_VALUE"""),"Phillip Von-Quenaudon")</f>
        <v>Phillip Von-Quenaudon</v>
      </c>
      <c r="B220" s="19" t="str">
        <f>IFERROR(__xludf.DUMMYFUNCTION("""COMPUTED_VALUE"""),"ETB")</f>
        <v>ETB</v>
      </c>
      <c r="C220" s="20">
        <f>IFERROR(__xludf.DUMMYFUNCTION("""COMPUTED_VALUE"""),25.0)</f>
        <v>25</v>
      </c>
      <c r="D220" s="21">
        <f>IFERROR(__xludf.DUMMYFUNCTION("""COMPUTED_VALUE"""),-0.8659009968923399)</f>
        <v>-0.8659009969</v>
      </c>
      <c r="E220" s="21">
        <f>IFERROR(__xludf.DUMMYFUNCTION("""COMPUTED_VALUE"""),-0.4357083431477562)</f>
        <v>-0.4357083431</v>
      </c>
      <c r="F220" s="21">
        <f>IFERROR(__xludf.DUMMYFUNCTION("""COMPUTED_VALUE"""),-1.301609340040096)</f>
        <v>-1.30160934</v>
      </c>
      <c r="G220" s="23">
        <f>IFERROR(__xludf.DUMMYFUNCTION("""COMPUTED_VALUE"""),0.005517012308325497)</f>
        <v>0.005517012308</v>
      </c>
      <c r="H220" s="4"/>
      <c r="I220" s="5" t="s">
        <v>3426</v>
      </c>
      <c r="J220" s="5" t="s">
        <v>3205</v>
      </c>
      <c r="K220" s="5">
        <v>555.0</v>
      </c>
      <c r="L220" s="5">
        <v>0.185051</v>
      </c>
      <c r="M220" s="5">
        <v>-1.643163</v>
      </c>
      <c r="N220" s="5">
        <v>-1.458112</v>
      </c>
      <c r="O220" s="5">
        <v>0.091154</v>
      </c>
    </row>
    <row r="221">
      <c r="A221" s="12" t="str">
        <f>IFERROR(__xludf.DUMMYFUNCTION("""COMPUTED_VALUE"""),"Bjarne Kraushaar")</f>
        <v>Bjarne Kraushaar</v>
      </c>
      <c r="B221" s="13" t="str">
        <f>IFERROR(__xludf.DUMMYFUNCTION("""COMPUTED_VALUE"""),"GIES")</f>
        <v>GIES</v>
      </c>
      <c r="C221" s="14">
        <f>IFERROR(__xludf.DUMMYFUNCTION("""COMPUTED_VALUE"""),714.1)</f>
        <v>714.1</v>
      </c>
      <c r="D221" s="15">
        <f>IFERROR(__xludf.DUMMYFUNCTION("""COMPUTED_VALUE"""),-0.6469634663579892)</f>
        <v>-0.6469634664</v>
      </c>
      <c r="E221" s="15">
        <f>IFERROR(__xludf.DUMMYFUNCTION("""COMPUTED_VALUE"""),-0.7276512512491237)</f>
        <v>-0.7276512512</v>
      </c>
      <c r="F221" s="15">
        <f>IFERROR(__xludf.DUMMYFUNCTION("""COMPUTED_VALUE"""),-1.3746147176071128)</f>
        <v>-1.374614718</v>
      </c>
      <c r="G221" s="17">
        <f>IFERROR(__xludf.DUMMYFUNCTION("""COMPUTED_VALUE"""),0.13440746820502997)</f>
        <v>0.1344074682</v>
      </c>
      <c r="H221" s="4"/>
      <c r="I221" s="5" t="s">
        <v>3427</v>
      </c>
      <c r="J221" s="5" t="s">
        <v>2201</v>
      </c>
      <c r="K221" s="5">
        <v>185.0</v>
      </c>
      <c r="L221" s="5">
        <v>-2.143103</v>
      </c>
      <c r="M221" s="5">
        <v>0.673756</v>
      </c>
      <c r="N221" s="5">
        <v>-1.469347</v>
      </c>
      <c r="O221" s="5">
        <v>0.030047</v>
      </c>
    </row>
    <row r="222">
      <c r="A222" s="18" t="str">
        <f>IFERROR(__xludf.DUMMYFUNCTION("""COMPUTED_VALUE"""),"Nelson Kahler")</f>
        <v>Nelson Kahler</v>
      </c>
      <c r="B222" s="19" t="str">
        <f>IFERROR(__xludf.DUMMYFUNCTION("""COMPUTED_VALUE"""),"ITZ")</f>
        <v>ITZ</v>
      </c>
      <c r="C222" s="20">
        <f>IFERROR(__xludf.DUMMYFUNCTION("""COMPUTED_VALUE"""),437.4)</f>
        <v>437.4</v>
      </c>
      <c r="D222" s="21">
        <f>IFERROR(__xludf.DUMMYFUNCTION("""COMPUTED_VALUE"""),-2.8745361661377022)</f>
        <v>-2.874536166</v>
      </c>
      <c r="E222" s="21">
        <f>IFERROR(__xludf.DUMMYFUNCTION("""COMPUTED_VALUE"""),1.4693211051311161)</f>
        <v>1.469321105</v>
      </c>
      <c r="F222" s="21">
        <f>IFERROR(__xludf.DUMMYFUNCTION("""COMPUTED_VALUE"""),-1.405215061006586)</f>
        <v>-1.405215061</v>
      </c>
      <c r="G222" s="23">
        <f>IFERROR(__xludf.DUMMYFUNCTION("""COMPUTED_VALUE"""),0.07757534282608346)</f>
        <v>0.07757534283</v>
      </c>
      <c r="H222" s="4"/>
      <c r="I222" s="5" t="s">
        <v>3428</v>
      </c>
      <c r="J222" s="5" t="s">
        <v>644</v>
      </c>
      <c r="K222" s="5">
        <v>670.0</v>
      </c>
      <c r="L222" s="5">
        <v>-0.946641</v>
      </c>
      <c r="M222" s="5">
        <v>-0.529658</v>
      </c>
      <c r="N222" s="5">
        <v>-1.476299</v>
      </c>
      <c r="O222" s="5">
        <v>0.106569</v>
      </c>
    </row>
    <row r="223">
      <c r="A223" s="12" t="str">
        <f>IFERROR(__xludf.DUMMYFUNCTION("""COMPUTED_VALUE"""),"David Hicks")</f>
        <v>David Hicks</v>
      </c>
      <c r="B223" s="13" t="str">
        <f>IFERROR(__xludf.DUMMYFUNCTION("""COMPUTED_VALUE"""),"SCHW")</f>
        <v>SCHW</v>
      </c>
      <c r="C223" s="14">
        <f>IFERROR(__xludf.DUMMYFUNCTION("""COMPUTED_VALUE"""),102.0)</f>
        <v>102</v>
      </c>
      <c r="D223" s="15">
        <f>IFERROR(__xludf.DUMMYFUNCTION("""COMPUTED_VALUE"""),0.45344432538258367)</f>
        <v>0.4534443254</v>
      </c>
      <c r="E223" s="15">
        <f>IFERROR(__xludf.DUMMYFUNCTION("""COMPUTED_VALUE"""),-1.8908290004269703)</f>
        <v>-1.890829</v>
      </c>
      <c r="F223" s="15">
        <f>IFERROR(__xludf.DUMMYFUNCTION("""COMPUTED_VALUE"""),-1.4373846750443866)</f>
        <v>-1.437384675</v>
      </c>
      <c r="G223" s="17">
        <f>IFERROR(__xludf.DUMMYFUNCTION("""COMPUTED_VALUE"""),0.017406033202075625)</f>
        <v>0.0174060332</v>
      </c>
      <c r="H223" s="4"/>
      <c r="I223" s="5" t="s">
        <v>3429</v>
      </c>
      <c r="J223" s="5" t="s">
        <v>3331</v>
      </c>
      <c r="K223" s="5">
        <v>437.0</v>
      </c>
      <c r="L223" s="5">
        <v>-0.929777</v>
      </c>
      <c r="M223" s="5">
        <v>-0.558018</v>
      </c>
      <c r="N223" s="5">
        <v>-1.487795</v>
      </c>
      <c r="O223" s="5">
        <v>0.067921</v>
      </c>
    </row>
    <row r="224">
      <c r="A224" s="18" t="str">
        <f>IFERROR(__xludf.DUMMYFUNCTION("""COMPUTED_VALUE"""),"Marley Jean-Louis")</f>
        <v>Marley Jean-Louis</v>
      </c>
      <c r="B224" s="19" t="str">
        <f>IFERROR(__xludf.DUMMYFUNCTION("""COMPUTED_VALUE"""),"SCHW")</f>
        <v>SCHW</v>
      </c>
      <c r="C224" s="20">
        <f>IFERROR(__xludf.DUMMYFUNCTION("""COMPUTED_VALUE"""),554.6)</f>
        <v>554.6</v>
      </c>
      <c r="D224" s="21">
        <f>IFERROR(__xludf.DUMMYFUNCTION("""COMPUTED_VALUE"""),0.1477147954100781)</f>
        <v>0.1477147954</v>
      </c>
      <c r="E224" s="21">
        <f>IFERROR(__xludf.DUMMYFUNCTION("""COMPUTED_VALUE"""),-1.6058271636299823)</f>
        <v>-1.605827164</v>
      </c>
      <c r="F224" s="21">
        <f>IFERROR(__xludf.DUMMYFUNCTION("""COMPUTED_VALUE"""),-1.4581123682199042)</f>
        <v>-1.458112368</v>
      </c>
      <c r="G224" s="23">
        <f>IFERROR(__xludf.DUMMYFUNCTION("""COMPUTED_VALUE"""),0.09115430456419508)</f>
        <v>0.09115430456</v>
      </c>
      <c r="H224" s="4"/>
      <c r="I224" s="5" t="s">
        <v>942</v>
      </c>
      <c r="J224" s="5" t="s">
        <v>3237</v>
      </c>
      <c r="K224" s="5">
        <v>692.0</v>
      </c>
      <c r="L224" s="5">
        <v>0.18515</v>
      </c>
      <c r="M224" s="5">
        <v>-1.711086</v>
      </c>
      <c r="N224" s="5">
        <v>-1.525936</v>
      </c>
      <c r="O224" s="5">
        <v>0.110743</v>
      </c>
    </row>
    <row r="225">
      <c r="A225" s="12" t="str">
        <f>IFERROR(__xludf.DUMMYFUNCTION("""COMPUTED_VALUE"""),"Coheen Kalondji")</f>
        <v>Coheen Kalondji</v>
      </c>
      <c r="B225" s="13" t="str">
        <f>IFERROR(__xludf.DUMMYFUNCTION("""COMPUTED_VALUE"""),"SHA")</f>
        <v>SHA</v>
      </c>
      <c r="C225" s="14">
        <f>IFERROR(__xludf.DUMMYFUNCTION("""COMPUTED_VALUE"""),185.4)</f>
        <v>185.4</v>
      </c>
      <c r="D225" s="15">
        <f>IFERROR(__xludf.DUMMYFUNCTION("""COMPUTED_VALUE"""),-2.166176676219845)</f>
        <v>-2.166176676</v>
      </c>
      <c r="E225" s="15">
        <f>IFERROR(__xludf.DUMMYFUNCTION("""COMPUTED_VALUE"""),0.6968292228014306)</f>
        <v>0.6968292228</v>
      </c>
      <c r="F225" s="15">
        <f>IFERROR(__xludf.DUMMYFUNCTION("""COMPUTED_VALUE"""),-1.4693474534184146)</f>
        <v>-1.469347453</v>
      </c>
      <c r="G225" s="17">
        <f>IFERROR(__xludf.DUMMYFUNCTION("""COMPUTED_VALUE"""),0.03004689290793858)</f>
        <v>0.03004689291</v>
      </c>
      <c r="H225" s="4"/>
      <c r="I225" s="5" t="s">
        <v>3430</v>
      </c>
      <c r="J225" s="5" t="s">
        <v>3283</v>
      </c>
      <c r="K225" s="5">
        <v>181.0</v>
      </c>
      <c r="L225" s="5">
        <v>-0.180683</v>
      </c>
      <c r="M225" s="5">
        <v>-1.368194</v>
      </c>
      <c r="N225" s="5">
        <v>-1.548877</v>
      </c>
      <c r="O225" s="5">
        <v>0.024862</v>
      </c>
    </row>
    <row r="226">
      <c r="A226" s="18" t="str">
        <f>IFERROR(__xludf.DUMMYFUNCTION("""COMPUTED_VALUE"""),"Thorben Doding")</f>
        <v>Thorben Doding</v>
      </c>
      <c r="B226" s="19" t="str">
        <f>IFERROR(__xludf.DUMMYFUNCTION("""COMPUTED_VALUE"""),"ART")</f>
        <v>ART</v>
      </c>
      <c r="C226" s="20">
        <f>IFERROR(__xludf.DUMMYFUNCTION("""COMPUTED_VALUE"""),253.3)</f>
        <v>253.3</v>
      </c>
      <c r="D226" s="21">
        <f>IFERROR(__xludf.DUMMYFUNCTION("""COMPUTED_VALUE"""),-1.9220618191600785)</f>
        <v>-1.922061819</v>
      </c>
      <c r="E226" s="21">
        <f>IFERROR(__xludf.DUMMYFUNCTION("""COMPUTED_VALUE"""),0.44805326796370415)</f>
        <v>0.448053268</v>
      </c>
      <c r="F226" s="21">
        <f>IFERROR(__xludf.DUMMYFUNCTION("""COMPUTED_VALUE"""),-1.4740085511963743)</f>
        <v>-1.474008551</v>
      </c>
      <c r="G226" s="23">
        <f>IFERROR(__xludf.DUMMYFUNCTION("""COMPUTED_VALUE"""),0.039375312967114925)</f>
        <v>0.03937531297</v>
      </c>
      <c r="H226" s="4"/>
      <c r="I226" s="5" t="s">
        <v>3431</v>
      </c>
      <c r="J226" s="5" t="s">
        <v>3226</v>
      </c>
      <c r="K226" s="5">
        <v>416.0</v>
      </c>
      <c r="L226" s="5">
        <v>-0.941768</v>
      </c>
      <c r="M226" s="5">
        <v>-0.635026</v>
      </c>
      <c r="N226" s="5">
        <v>-1.576794</v>
      </c>
      <c r="O226" s="5">
        <v>0.053669</v>
      </c>
    </row>
    <row r="227">
      <c r="A227" s="12" t="str">
        <f>IFERROR(__xludf.DUMMYFUNCTION("""COMPUTED_VALUE"""),"Bruce Beckford")</f>
        <v>Bruce Beckford</v>
      </c>
      <c r="B227" s="13" t="str">
        <f>IFERROR(__xludf.DUMMYFUNCTION("""COMPUTED_VALUE"""),"BAY")</f>
        <v>BAY</v>
      </c>
      <c r="C227" s="14">
        <f>IFERROR(__xludf.DUMMYFUNCTION("""COMPUTED_VALUE"""),670.3)</f>
        <v>670.3</v>
      </c>
      <c r="D227" s="15">
        <f>IFERROR(__xludf.DUMMYFUNCTION("""COMPUTED_VALUE"""),-0.9839770818183173)</f>
        <v>-0.9839770818</v>
      </c>
      <c r="E227" s="15">
        <f>IFERROR(__xludf.DUMMYFUNCTION("""COMPUTED_VALUE"""),-0.4923216171955376)</f>
        <v>-0.4923216172</v>
      </c>
      <c r="F227" s="15">
        <f>IFERROR(__xludf.DUMMYFUNCTION("""COMPUTED_VALUE"""),-1.476298699013855)</f>
        <v>-1.476298699</v>
      </c>
      <c r="G227" s="17">
        <f>IFERROR(__xludf.DUMMYFUNCTION("""COMPUTED_VALUE"""),0.10656948413508849)</f>
        <v>0.1065694841</v>
      </c>
      <c r="H227" s="4"/>
      <c r="I227" s="5" t="s">
        <v>3432</v>
      </c>
      <c r="J227" s="5" t="s">
        <v>2201</v>
      </c>
      <c r="K227" s="24">
        <v>221.0</v>
      </c>
      <c r="L227" s="5">
        <v>-3.002004</v>
      </c>
      <c r="M227" s="5">
        <v>1.420141</v>
      </c>
      <c r="N227" s="5">
        <v>-1.581863</v>
      </c>
      <c r="O227" s="5">
        <v>0.028184</v>
      </c>
    </row>
    <row r="228">
      <c r="A228" s="18" t="str">
        <f>IFERROR(__xludf.DUMMYFUNCTION("""COMPUTED_VALUE"""),"Eyke Prahst")</f>
        <v>Eyke Prahst</v>
      </c>
      <c r="B228" s="19" t="str">
        <f>IFERROR(__xludf.DUMMYFUNCTION("""COMPUTED_VALUE"""),"KIT")</f>
        <v>KIT</v>
      </c>
      <c r="C228" s="20">
        <f>IFERROR(__xludf.DUMMYFUNCTION("""COMPUTED_VALUE"""),436.9)</f>
        <v>436.9</v>
      </c>
      <c r="D228" s="21">
        <f>IFERROR(__xludf.DUMMYFUNCTION("""COMPUTED_VALUE"""),-0.9671134901117091)</f>
        <v>-0.9671134901</v>
      </c>
      <c r="E228" s="21">
        <f>IFERROR(__xludf.DUMMYFUNCTION("""COMPUTED_VALUE"""),-0.5206817849106637)</f>
        <v>-0.5206817849</v>
      </c>
      <c r="F228" s="21">
        <f>IFERROR(__xludf.DUMMYFUNCTION("""COMPUTED_VALUE"""),-1.4877952750223729)</f>
        <v>-1.487795275</v>
      </c>
      <c r="G228" s="23">
        <f>IFERROR(__xludf.DUMMYFUNCTION("""COMPUTED_VALUE"""),0.06792065107708159)</f>
        <v>0.06792065108</v>
      </c>
      <c r="H228" s="4"/>
      <c r="I228" s="5" t="s">
        <v>949</v>
      </c>
      <c r="J228" s="5" t="s">
        <v>3217</v>
      </c>
      <c r="K228" s="5">
        <v>173.0</v>
      </c>
      <c r="L228" s="5">
        <v>-2.031342</v>
      </c>
      <c r="M228" s="5">
        <v>0.427901</v>
      </c>
      <c r="N228" s="5">
        <v>-1.603441</v>
      </c>
      <c r="O228" s="5">
        <v>0.020636</v>
      </c>
    </row>
    <row r="229">
      <c r="A229" s="12" t="str">
        <f>IFERROR(__xludf.DUMMYFUNCTION("""COMPUTED_VALUE"""),"Jannes Hundt")</f>
        <v>Jannes Hundt</v>
      </c>
      <c r="B229" s="13" t="str">
        <f>IFERROR(__xludf.DUMMYFUNCTION("""COMPUTED_VALUE"""),"CUX")</f>
        <v>CUX</v>
      </c>
      <c r="C229" s="14">
        <f>IFERROR(__xludf.DUMMYFUNCTION("""COMPUTED_VALUE"""),692.4)</f>
        <v>692.4</v>
      </c>
      <c r="D229" s="15">
        <f>IFERROR(__xludf.DUMMYFUNCTION("""COMPUTED_VALUE"""),0.14781392791080214)</f>
        <v>0.1478139279</v>
      </c>
      <c r="E229" s="15">
        <f>IFERROR(__xludf.DUMMYFUNCTION("""COMPUTED_VALUE"""),-1.6737502868965337)</f>
        <v>-1.673750287</v>
      </c>
      <c r="F229" s="15">
        <f>IFERROR(__xludf.DUMMYFUNCTION("""COMPUTED_VALUE"""),-1.5259363589857315)</f>
        <v>-1.525936359</v>
      </c>
      <c r="G229" s="17">
        <f>IFERROR(__xludf.DUMMYFUNCTION("""COMPUTED_VALUE"""),0.11074253509452488)</f>
        <v>0.1107425351</v>
      </c>
      <c r="H229" s="4"/>
      <c r="I229" s="5" t="s">
        <v>3433</v>
      </c>
      <c r="J229" s="5" t="s">
        <v>3283</v>
      </c>
      <c r="K229" s="24">
        <v>381.0</v>
      </c>
      <c r="L229" s="5">
        <v>0.651514</v>
      </c>
      <c r="M229" s="5">
        <v>-2.266925</v>
      </c>
      <c r="N229" s="5">
        <v>-1.615411</v>
      </c>
      <c r="O229" s="5">
        <v>0.044529</v>
      </c>
    </row>
    <row r="230">
      <c r="A230" s="18" t="str">
        <f>IFERROR(__xludf.DUMMYFUNCTION("""COMPUTED_VALUE"""),"Yannick Hildebrandt")</f>
        <v>Yannick Hildebrandt</v>
      </c>
      <c r="B230" s="19" t="str">
        <f>IFERROR(__xludf.DUMMYFUNCTION("""COMPUTED_VALUE"""),"RSV")</f>
        <v>RSV</v>
      </c>
      <c r="C230" s="20">
        <f>IFERROR(__xludf.DUMMYFUNCTION("""COMPUTED_VALUE"""),181.4)</f>
        <v>181.4</v>
      </c>
      <c r="D230" s="21">
        <f>IFERROR(__xludf.DUMMYFUNCTION("""COMPUTED_VALUE"""),-0.20325880958658069)</f>
        <v>-0.2032588096</v>
      </c>
      <c r="E230" s="21">
        <f>IFERROR(__xludf.DUMMYFUNCTION("""COMPUTED_VALUE"""),-1.3456182701555808)</f>
        <v>-1.34561827</v>
      </c>
      <c r="F230" s="21">
        <f>IFERROR(__xludf.DUMMYFUNCTION("""COMPUTED_VALUE"""),-1.5488770797421614)</f>
        <v>-1.54887708</v>
      </c>
      <c r="G230" s="23">
        <f>IFERROR(__xludf.DUMMYFUNCTION("""COMPUTED_VALUE"""),0.024862280109486285)</f>
        <v>0.02486228011</v>
      </c>
      <c r="H230" s="4"/>
      <c r="I230" s="5" t="s">
        <v>3434</v>
      </c>
      <c r="J230" s="5" t="s">
        <v>3215</v>
      </c>
      <c r="K230" s="24">
        <v>46.0</v>
      </c>
      <c r="L230" s="5">
        <v>-1.436566</v>
      </c>
      <c r="M230" s="5">
        <v>-0.185182</v>
      </c>
      <c r="N230" s="5">
        <v>-1.621747</v>
      </c>
      <c r="O230" s="5">
        <v>0.005283</v>
      </c>
    </row>
    <row r="231">
      <c r="A231" s="12" t="str">
        <f>IFERROR(__xludf.DUMMYFUNCTION("""COMPUTED_VALUE"""),"Sebastian Fulle")</f>
        <v>Sebastian Fulle</v>
      </c>
      <c r="B231" s="13" t="str">
        <f>IFERROR(__xludf.DUMMYFUNCTION("""COMPUTED_VALUE"""),"SSV")</f>
        <v>SSV</v>
      </c>
      <c r="C231" s="14">
        <f>IFERROR(__xludf.DUMMYFUNCTION("""COMPUTED_VALUE"""),415.6)</f>
        <v>415.6</v>
      </c>
      <c r="D231" s="15">
        <f>IFERROR(__xludf.DUMMYFUNCTION("""COMPUTED_VALUE"""),-0.9791035729443737)</f>
        <v>-0.9791035729</v>
      </c>
      <c r="E231" s="15">
        <f>IFERROR(__xludf.DUMMYFUNCTION("""COMPUTED_VALUE"""),-0.5976900537032516)</f>
        <v>-0.5976900537</v>
      </c>
      <c r="F231" s="15">
        <f>IFERROR(__xludf.DUMMYFUNCTION("""COMPUTED_VALUE"""),-1.5767936266476252)</f>
        <v>-1.576793627</v>
      </c>
      <c r="G231" s="17">
        <f>IFERROR(__xludf.DUMMYFUNCTION("""COMPUTED_VALUE"""),0.05366918656593776)</f>
        <v>0.05366918657</v>
      </c>
      <c r="H231" s="4"/>
      <c r="I231" s="5" t="s">
        <v>3435</v>
      </c>
      <c r="J231" s="5" t="s">
        <v>3229</v>
      </c>
      <c r="K231" s="5">
        <v>63.0</v>
      </c>
      <c r="L231" s="5">
        <v>-0.136159</v>
      </c>
      <c r="M231" s="5">
        <v>-1.506286</v>
      </c>
      <c r="N231" s="5">
        <v>-1.642445</v>
      </c>
      <c r="O231" s="5">
        <v>0.007152</v>
      </c>
    </row>
    <row r="232">
      <c r="A232" s="18" t="str">
        <f>IFERROR(__xludf.DUMMYFUNCTION("""COMPUTED_VALUE"""),"Michael Agyapong")</f>
        <v>Michael Agyapong</v>
      </c>
      <c r="B232" s="19" t="str">
        <f>IFERROR(__xludf.DUMMYFUNCTION("""COMPUTED_VALUE"""),"SHA")</f>
        <v>SHA</v>
      </c>
      <c r="C232" s="20">
        <f>IFERROR(__xludf.DUMMYFUNCTION("""COMPUTED_VALUE"""),220.7)</f>
        <v>220.7</v>
      </c>
      <c r="D232" s="21">
        <f>IFERROR(__xludf.DUMMYFUNCTION("""COMPUTED_VALUE"""),-3.029470383769121)</f>
        <v>-3.029470384</v>
      </c>
      <c r="E232" s="21">
        <f>IFERROR(__xludf.DUMMYFUNCTION("""COMPUTED_VALUE"""),1.4476077441340431)</f>
        <v>1.447607744</v>
      </c>
      <c r="F232" s="21">
        <f>IFERROR(__xludf.DUMMYFUNCTION("""COMPUTED_VALUE"""),-1.5818626396350777)</f>
        <v>-1.58186264</v>
      </c>
      <c r="G232" s="23">
        <f>IFERROR(__xludf.DUMMYFUNCTION("""COMPUTED_VALUE"""),0.028183887264104847)</f>
        <v>0.02818388726</v>
      </c>
      <c r="H232" s="4"/>
      <c r="I232" s="5" t="s">
        <v>3436</v>
      </c>
      <c r="J232" s="5" t="s">
        <v>3237</v>
      </c>
      <c r="K232" s="5">
        <v>260.0</v>
      </c>
      <c r="L232" s="5">
        <v>0.831814</v>
      </c>
      <c r="M232" s="5">
        <v>-2.486188</v>
      </c>
      <c r="N232" s="5">
        <v>-1.654373</v>
      </c>
      <c r="O232" s="5">
        <v>0.03033</v>
      </c>
    </row>
    <row r="233">
      <c r="A233" s="12" t="str">
        <f>IFERROR(__xludf.DUMMYFUNCTION("""COMPUTED_VALUE"""),"Anthony Okao")</f>
        <v>Anthony Okao</v>
      </c>
      <c r="B233" s="13" t="str">
        <f>IFERROR(__xludf.DUMMYFUNCTION("""COMPUTED_VALUE"""),"GIES")</f>
        <v>GIES</v>
      </c>
      <c r="C233" s="14">
        <f>IFERROR(__xludf.DUMMYFUNCTION("""COMPUTED_VALUE"""),172.9)</f>
        <v>172.9</v>
      </c>
      <c r="D233" s="15">
        <f>IFERROR(__xludf.DUMMYFUNCTION("""COMPUTED_VALUE"""),-2.052859630774587)</f>
        <v>-2.052859631</v>
      </c>
      <c r="E233" s="15">
        <f>IFERROR(__xludf.DUMMYFUNCTION("""COMPUTED_VALUE"""),0.44941889477477703)</f>
        <v>0.4494188948</v>
      </c>
      <c r="F233" s="15">
        <f>IFERROR(__xludf.DUMMYFUNCTION("""COMPUTED_VALUE"""),-1.60344073599981)</f>
        <v>-1.603440736</v>
      </c>
      <c r="G233" s="17">
        <f>IFERROR(__xludf.DUMMYFUNCTION("""COMPUTED_VALUE"""),0.020635728440527072)</f>
        <v>0.02063572844</v>
      </c>
      <c r="H233" s="4"/>
      <c r="I233" s="5" t="s">
        <v>3437</v>
      </c>
      <c r="J233" s="5" t="s">
        <v>3207</v>
      </c>
      <c r="K233" s="24">
        <v>86.0</v>
      </c>
      <c r="L233" s="5">
        <v>-0.88667</v>
      </c>
      <c r="M233" s="5">
        <v>-0.805056</v>
      </c>
      <c r="N233" s="5">
        <v>-1.691726</v>
      </c>
      <c r="O233" s="5">
        <v>0.007924</v>
      </c>
    </row>
    <row r="234">
      <c r="A234" s="18" t="str">
        <f>IFERROR(__xludf.DUMMYFUNCTION("""COMPUTED_VALUE"""),"Luka Kamber")</f>
        <v>Luka Kamber</v>
      </c>
      <c r="B234" s="19" t="str">
        <f>IFERROR(__xludf.DUMMYFUNCTION("""COMPUTED_VALUE"""),"RSV")</f>
        <v>RSV</v>
      </c>
      <c r="C234" s="20">
        <f>IFERROR(__xludf.DUMMYFUNCTION("""COMPUTED_VALUE"""),381.1)</f>
        <v>381.1</v>
      </c>
      <c r="D234" s="21">
        <f>IFERROR(__xludf.DUMMYFUNCTION("""COMPUTED_VALUE"""),0.6141778429869077)</f>
        <v>0.614177843</v>
      </c>
      <c r="E234" s="21">
        <f>IFERROR(__xludf.DUMMYFUNCTION("""COMPUTED_VALUE"""),-2.229589132094495)</f>
        <v>-2.229589132</v>
      </c>
      <c r="F234" s="21">
        <f>IFERROR(__xludf.DUMMYFUNCTION("""COMPUTED_VALUE"""),-1.6154112891075874)</f>
        <v>-1.615411289</v>
      </c>
      <c r="G234" s="23">
        <f>IFERROR(__xludf.DUMMYFUNCTION("""COMPUTED_VALUE"""),0.04452913513711111)</f>
        <v>0.04452913514</v>
      </c>
      <c r="H234" s="4"/>
      <c r="I234" s="5" t="s">
        <v>3438</v>
      </c>
      <c r="J234" s="5" t="s">
        <v>3278</v>
      </c>
      <c r="K234" s="5">
        <v>322.0</v>
      </c>
      <c r="L234" s="5">
        <v>-1.33954</v>
      </c>
      <c r="M234" s="5">
        <v>-0.361065</v>
      </c>
      <c r="N234" s="5">
        <v>-1.700604</v>
      </c>
      <c r="O234" s="5">
        <v>0.029141</v>
      </c>
    </row>
    <row r="235">
      <c r="A235" s="12" t="str">
        <f>IFERROR(__xludf.DUMMYFUNCTION("""COMPUTED_VALUE"""),"Manuel-Christopher Kessen")</f>
        <v>Manuel-Christopher Kessen</v>
      </c>
      <c r="B235" s="13" t="str">
        <f>IFERROR(__xludf.DUMMYFUNCTION("""COMPUTED_VALUE"""),"WOLF")</f>
        <v>WOLF</v>
      </c>
      <c r="C235" s="14">
        <f>IFERROR(__xludf.DUMMYFUNCTION("""COMPUTED_VALUE"""),46.0)</f>
        <v>46</v>
      </c>
      <c r="D235" s="15">
        <f>IFERROR(__xludf.DUMMYFUNCTION("""COMPUTED_VALUE"""),-1.442290579478707)</f>
        <v>-1.442290579</v>
      </c>
      <c r="E235" s="15">
        <f>IFERROR(__xludf.DUMMYFUNCTION("""COMPUTED_VALUE"""),-0.17945675465865918)</f>
        <v>-0.1794567547</v>
      </c>
      <c r="F235" s="15">
        <f>IFERROR(__xludf.DUMMYFUNCTION("""COMPUTED_VALUE"""),-1.6217473341373663)</f>
        <v>-1.621747334</v>
      </c>
      <c r="G235" s="17">
        <f>IFERROR(__xludf.DUMMYFUNCTION("""COMPUTED_VALUE"""),0.005283336133645337)</f>
        <v>0.005283336134</v>
      </c>
      <c r="H235" s="4"/>
      <c r="I235" s="5" t="s">
        <v>3439</v>
      </c>
      <c r="J235" s="5" t="s">
        <v>2201</v>
      </c>
      <c r="K235" s="5">
        <v>437.0</v>
      </c>
      <c r="L235" s="5">
        <v>-4.366636</v>
      </c>
      <c r="M235" s="5">
        <v>2.600493</v>
      </c>
      <c r="N235" s="5">
        <v>-1.766143</v>
      </c>
      <c r="O235" s="5">
        <v>0.031204</v>
      </c>
    </row>
    <row r="236">
      <c r="A236" s="18" t="str">
        <f>IFERROR(__xludf.DUMMYFUNCTION("""COMPUTED_VALUE"""),"Eric Curth")</f>
        <v>Eric Curth</v>
      </c>
      <c r="B236" s="19" t="str">
        <f>IFERROR(__xludf.DUMMYFUNCTION("""COMPUTED_VALUE"""),"ETB")</f>
        <v>ETB</v>
      </c>
      <c r="C236" s="20">
        <f>IFERROR(__xludf.DUMMYFUNCTION("""COMPUTED_VALUE"""),63.3)</f>
        <v>63.3</v>
      </c>
      <c r="D236" s="21">
        <f>IFERROR(__xludf.DUMMYFUNCTION("""COMPUTED_VALUE"""),-0.1440370979698307)</f>
        <v>-0.144037098</v>
      </c>
      <c r="E236" s="21">
        <f>IFERROR(__xludf.DUMMYFUNCTION("""COMPUTED_VALUE"""),-1.4984080839812821)</f>
        <v>-1.498408084</v>
      </c>
      <c r="F236" s="21">
        <f>IFERROR(__xludf.DUMMYFUNCTION("""COMPUTED_VALUE"""),-1.6424451819511128)</f>
        <v>-1.642445182</v>
      </c>
      <c r="G236" s="23">
        <f>IFERROR(__xludf.DUMMYFUNCTION("""COMPUTED_VALUE"""),0.007151742448997241)</f>
        <v>0.007151742449</v>
      </c>
      <c r="H236" s="4"/>
      <c r="I236" s="5" t="s">
        <v>3440</v>
      </c>
      <c r="J236" s="5" t="s">
        <v>3223</v>
      </c>
      <c r="K236" s="5">
        <v>592.0</v>
      </c>
      <c r="L236" s="5">
        <v>-1.651993</v>
      </c>
      <c r="M236" s="5">
        <v>-0.152759</v>
      </c>
      <c r="N236" s="5">
        <v>-1.804752</v>
      </c>
      <c r="O236" s="5">
        <v>0.035141</v>
      </c>
    </row>
    <row r="237">
      <c r="A237" s="12" t="str">
        <f>IFERROR(__xludf.DUMMYFUNCTION("""COMPUTED_VALUE"""),"Andreas Hasenkamm")</f>
        <v>Andreas Hasenkamm</v>
      </c>
      <c r="B237" s="13" t="str">
        <f>IFERROR(__xludf.DUMMYFUNCTION("""COMPUTED_VALUE"""),"CUX")</f>
        <v>CUX</v>
      </c>
      <c r="C237" s="14">
        <f>IFERROR(__xludf.DUMMYFUNCTION("""COMPUTED_VALUE"""),260.1)</f>
        <v>260.1</v>
      </c>
      <c r="D237" s="15">
        <f>IFERROR(__xludf.DUMMYFUNCTION("""COMPUTED_VALUE"""),0.7994441403895987)</f>
        <v>0.7994441404</v>
      </c>
      <c r="E237" s="15">
        <f>IFERROR(__xludf.DUMMYFUNCTION("""COMPUTED_VALUE"""),-2.453817397652043)</f>
        <v>-2.453817398</v>
      </c>
      <c r="F237" s="15">
        <f>IFERROR(__xludf.DUMMYFUNCTION("""COMPUTED_VALUE"""),-1.6543732572624446)</f>
        <v>-1.654373257</v>
      </c>
      <c r="G237" s="17">
        <f>IFERROR(__xludf.DUMMYFUNCTION("""COMPUTED_VALUE"""),0.03032972305842078)</f>
        <v>0.03032972306</v>
      </c>
      <c r="H237" s="4"/>
      <c r="I237" s="5" t="s">
        <v>3441</v>
      </c>
      <c r="J237" s="5" t="s">
        <v>3251</v>
      </c>
      <c r="K237" s="5">
        <v>330.0</v>
      </c>
      <c r="L237" s="5">
        <v>-0.562051</v>
      </c>
      <c r="M237" s="5">
        <v>-1.260419</v>
      </c>
      <c r="N237" s="5">
        <v>-1.82247</v>
      </c>
      <c r="O237" s="5">
        <v>0.017776</v>
      </c>
    </row>
    <row r="238">
      <c r="A238" s="18" t="str">
        <f>IFERROR(__xludf.DUMMYFUNCTION("""COMPUTED_VALUE"""),"Joachim Feimann")</f>
        <v>Joachim Feimann</v>
      </c>
      <c r="B238" s="19" t="str">
        <f>IFERROR(__xludf.DUMMYFUNCTION("""COMPUTED_VALUE"""),"ITZ")</f>
        <v>ITZ</v>
      </c>
      <c r="C238" s="20">
        <f>IFERROR(__xludf.DUMMYFUNCTION("""COMPUTED_VALUE"""),86.2)</f>
        <v>86.2</v>
      </c>
      <c r="D238" s="21">
        <f>IFERROR(__xludf.DUMMYFUNCTION("""COMPUTED_VALUE"""),-0.8973975309122667)</f>
        <v>-0.8973975309</v>
      </c>
      <c r="E238" s="21">
        <f>IFERROR(__xludf.DUMMYFUNCTION("""COMPUTED_VALUE"""),-0.7943282202730421)</f>
        <v>-0.7943282203</v>
      </c>
      <c r="F238" s="21">
        <f>IFERROR(__xludf.DUMMYFUNCTION("""COMPUTED_VALUE"""),-1.6917257511853088)</f>
        <v>-1.691725751</v>
      </c>
      <c r="G238" s="23">
        <f>IFERROR(__xludf.DUMMYFUNCTION("""COMPUTED_VALUE"""),0.007923726484714112)</f>
        <v>0.007923726485</v>
      </c>
      <c r="H238" s="4"/>
      <c r="I238" s="5" t="s">
        <v>3442</v>
      </c>
      <c r="J238" s="5" t="s">
        <v>644</v>
      </c>
      <c r="K238" s="5">
        <v>59.0</v>
      </c>
      <c r="L238" s="5">
        <v>-1.276908</v>
      </c>
      <c r="M238" s="5">
        <v>-0.549891</v>
      </c>
      <c r="N238" s="5">
        <v>-1.826799</v>
      </c>
      <c r="O238" s="5">
        <v>0.003123</v>
      </c>
    </row>
    <row r="239">
      <c r="A239" s="12" t="str">
        <f>IFERROR(__xludf.DUMMYFUNCTION("""COMPUTED_VALUE"""),"Larry Hall")</f>
        <v>Larry Hall</v>
      </c>
      <c r="B239" s="13" t="str">
        <f>IFERROR(__xludf.DUMMYFUNCTION("""COMPUTED_VALUE"""),"DRE")</f>
        <v>DRE</v>
      </c>
      <c r="C239" s="14">
        <f>IFERROR(__xludf.DUMMYFUNCTION("""COMPUTED_VALUE"""),322.3)</f>
        <v>322.3</v>
      </c>
      <c r="D239" s="15">
        <f>IFERROR(__xludf.DUMMYFUNCTION("""COMPUTED_VALUE"""),-1.3768755785519757)</f>
        <v>-1.376875579</v>
      </c>
      <c r="E239" s="15">
        <f>IFERROR(__xludf.DUMMYFUNCTION("""COMPUTED_VALUE"""),-0.3237288315054825)</f>
        <v>-0.3237288315</v>
      </c>
      <c r="F239" s="15">
        <f>IFERROR(__xludf.DUMMYFUNCTION("""COMPUTED_VALUE"""),-1.7006044100574582)</f>
        <v>-1.70060441</v>
      </c>
      <c r="G239" s="17">
        <f>IFERROR(__xludf.DUMMYFUNCTION("""COMPUTED_VALUE"""),0.029140610786935656)</f>
        <v>0.02914061079</v>
      </c>
      <c r="H239" s="4"/>
      <c r="I239" s="5" t="s">
        <v>3443</v>
      </c>
      <c r="J239" s="5" t="s">
        <v>3229</v>
      </c>
      <c r="K239" s="24">
        <v>249.0</v>
      </c>
      <c r="L239" s="5">
        <v>-1.095146</v>
      </c>
      <c r="M239" s="5">
        <v>-0.732315</v>
      </c>
      <c r="N239" s="5">
        <v>-1.827461</v>
      </c>
      <c r="O239" s="5">
        <v>0.013564</v>
      </c>
    </row>
    <row r="240">
      <c r="A240" s="18" t="str">
        <f>IFERROR(__xludf.DUMMYFUNCTION("""COMPUTED_VALUE"""),"Timo Matthias Volk")</f>
        <v>Timo Matthias Volk</v>
      </c>
      <c r="B240" s="19" t="str">
        <f>IFERROR(__xludf.DUMMYFUNCTION("""COMPUTED_VALUE"""),"SHA")</f>
        <v>SHA</v>
      </c>
      <c r="C240" s="20">
        <f>IFERROR(__xludf.DUMMYFUNCTION("""COMPUTED_VALUE"""),436.9)</f>
        <v>436.9</v>
      </c>
      <c r="D240" s="21">
        <f>IFERROR(__xludf.DUMMYFUNCTION("""COMPUTED_VALUE"""),-4.4039718706344)</f>
        <v>-4.403971871</v>
      </c>
      <c r="E240" s="21">
        <f>IFERROR(__xludf.DUMMYFUNCTION("""COMPUTED_VALUE"""),2.6378289863315167)</f>
        <v>2.637828986</v>
      </c>
      <c r="F240" s="21">
        <f>IFERROR(__xludf.DUMMYFUNCTION("""COMPUTED_VALUE"""),-1.7661428843028835)</f>
        <v>-1.766142884</v>
      </c>
      <c r="G240" s="23">
        <f>IFERROR(__xludf.DUMMYFUNCTION("""COMPUTED_VALUE"""),0.031204140178770302)</f>
        <v>0.03120414018</v>
      </c>
      <c r="H240" s="4"/>
      <c r="I240" s="5" t="s">
        <v>3444</v>
      </c>
      <c r="J240" s="5" t="s">
        <v>3237</v>
      </c>
      <c r="K240" s="5">
        <v>55.0</v>
      </c>
      <c r="L240" s="5">
        <v>-0.950707</v>
      </c>
      <c r="M240" s="5">
        <v>-0.877893</v>
      </c>
      <c r="N240" s="5">
        <v>-1.828601</v>
      </c>
      <c r="O240" s="5">
        <v>0.003204</v>
      </c>
    </row>
    <row r="241">
      <c r="A241" s="12" t="str">
        <f>IFERROR(__xludf.DUMMYFUNCTION("""COMPUTED_VALUE"""),"Tim Leonhardt")</f>
        <v>Tim Leonhardt</v>
      </c>
      <c r="B241" s="13" t="str">
        <f>IFERROR(__xludf.DUMMYFUNCTION("""COMPUTED_VALUE"""),"AKAD")</f>
        <v>AKAD</v>
      </c>
      <c r="C241" s="14">
        <f>IFERROR(__xludf.DUMMYFUNCTION("""COMPUTED_VALUE"""),592.2)</f>
        <v>592.2</v>
      </c>
      <c r="D241" s="15">
        <f>IFERROR(__xludf.DUMMYFUNCTION("""COMPUTED_VALUE"""),-1.6893292077399196)</f>
        <v>-1.689329208</v>
      </c>
      <c r="E241" s="15">
        <f>IFERROR(__xludf.DUMMYFUNCTION("""COMPUTED_VALUE"""),-0.1154230991199372)</f>
        <v>-0.1154230991</v>
      </c>
      <c r="F241" s="15">
        <f>IFERROR(__xludf.DUMMYFUNCTION("""COMPUTED_VALUE"""),-1.8047523068598568)</f>
        <v>-1.804752307</v>
      </c>
      <c r="G241" s="17">
        <f>IFERROR(__xludf.DUMMYFUNCTION("""COMPUTED_VALUE"""),0.035140663293030255)</f>
        <v>0.03514066329</v>
      </c>
      <c r="H241" s="4"/>
      <c r="I241" s="5" t="s">
        <v>3445</v>
      </c>
      <c r="J241" s="5" t="s">
        <v>3251</v>
      </c>
      <c r="K241" s="24">
        <v>640.0</v>
      </c>
      <c r="L241" s="5">
        <v>-0.974066</v>
      </c>
      <c r="M241" s="5">
        <v>-0.880508</v>
      </c>
      <c r="N241" s="5">
        <v>-1.854575</v>
      </c>
      <c r="O241" s="5">
        <v>0.028258</v>
      </c>
    </row>
    <row r="242">
      <c r="A242" s="18" t="str">
        <f>IFERROR(__xludf.DUMMYFUNCTION("""COMPUTED_VALUE"""),"Daniel Stawowski")</f>
        <v>Daniel Stawowski</v>
      </c>
      <c r="B242" s="19" t="str">
        <f>IFERROR(__xludf.DUMMYFUNCTION("""COMPUTED_VALUE"""),"COBU")</f>
        <v>COBU</v>
      </c>
      <c r="C242" s="20">
        <f>IFERROR(__xludf.DUMMYFUNCTION("""COMPUTED_VALUE"""),329.6)</f>
        <v>329.6</v>
      </c>
      <c r="D242" s="21">
        <f>IFERROR(__xludf.DUMMYFUNCTION("""COMPUTED_VALUE"""),-0.5993867794095611)</f>
        <v>-0.5993867794</v>
      </c>
      <c r="E242" s="21">
        <f>IFERROR(__xludf.DUMMYFUNCTION("""COMPUTED_VALUE"""),-1.2230828057324603)</f>
        <v>-1.223082806</v>
      </c>
      <c r="F242" s="21">
        <f>IFERROR(__xludf.DUMMYFUNCTION("""COMPUTED_VALUE"""),-1.8224695851420214)</f>
        <v>-1.822469585</v>
      </c>
      <c r="G242" s="23">
        <f>IFERROR(__xludf.DUMMYFUNCTION("""COMPUTED_VALUE"""),0.017776471726140785)</f>
        <v>0.01777647173</v>
      </c>
      <c r="H242" s="4"/>
      <c r="I242" s="5" t="s">
        <v>3446</v>
      </c>
      <c r="J242" s="5" t="s">
        <v>644</v>
      </c>
      <c r="K242" s="5">
        <v>330.0</v>
      </c>
      <c r="L242" s="5">
        <v>-0.058871</v>
      </c>
      <c r="M242" s="5">
        <v>-1.79851</v>
      </c>
      <c r="N242" s="5">
        <v>-1.857381</v>
      </c>
      <c r="O242" s="5">
        <v>0.014288</v>
      </c>
    </row>
    <row r="243">
      <c r="A243" s="12" t="str">
        <f>IFERROR(__xludf.DUMMYFUNCTION("""COMPUTED_VALUE"""),"Olegas Legankovas")</f>
        <v>Olegas Legankovas</v>
      </c>
      <c r="B243" s="13" t="str">
        <f>IFERROR(__xludf.DUMMYFUNCTION("""COMPUTED_VALUE"""),"BAY")</f>
        <v>BAY</v>
      </c>
      <c r="C243" s="14">
        <f>IFERROR(__xludf.DUMMYFUNCTION("""COMPUTED_VALUE"""),59.4)</f>
        <v>59.4</v>
      </c>
      <c r="D243" s="15">
        <f>IFERROR(__xludf.DUMMYFUNCTION("""COMPUTED_VALUE"""),-1.2843001909866243)</f>
        <v>-1.284300191</v>
      </c>
      <c r="E243" s="15">
        <f>IFERROR(__xludf.DUMMYFUNCTION("""COMPUTED_VALUE"""),-0.542498818208442)</f>
        <v>-0.5424988182</v>
      </c>
      <c r="F243" s="15">
        <f>IFERROR(__xludf.DUMMYFUNCTION("""COMPUTED_VALUE"""),-1.8267990091950663)</f>
        <v>-1.826799009</v>
      </c>
      <c r="G243" s="17">
        <f>IFERROR(__xludf.DUMMYFUNCTION("""COMPUTED_VALUE"""),0.003123322346138699)</f>
        <v>0.003123322346</v>
      </c>
      <c r="H243" s="4"/>
      <c r="I243" s="5" t="s">
        <v>3447</v>
      </c>
      <c r="J243" s="5" t="s">
        <v>2201</v>
      </c>
      <c r="K243" s="5">
        <v>423.0</v>
      </c>
      <c r="L243" s="5">
        <v>-1.121156</v>
      </c>
      <c r="M243" s="5">
        <v>-0.743679</v>
      </c>
      <c r="N243" s="5">
        <v>-1.864835</v>
      </c>
      <c r="O243" s="5">
        <v>0.017453</v>
      </c>
    </row>
    <row r="244">
      <c r="A244" s="18" t="str">
        <f>IFERROR(__xludf.DUMMYFUNCTION("""COMPUTED_VALUE"""),"Forrest Robinson")</f>
        <v>Forrest Robinson</v>
      </c>
      <c r="B244" s="19" t="str">
        <f>IFERROR(__xludf.DUMMYFUNCTION("""COMPUTED_VALUE"""),"ETB")</f>
        <v>ETB</v>
      </c>
      <c r="C244" s="20">
        <f>IFERROR(__xludf.DUMMYFUNCTION("""COMPUTED_VALUE"""),248.8)</f>
        <v>248.8</v>
      </c>
      <c r="D244" s="21">
        <f>IFERROR(__xludf.DUMMYFUNCTION("""COMPUTED_VALUE"""),-1.126110223566254)</f>
        <v>-1.126110224</v>
      </c>
      <c r="E244" s="21">
        <f>IFERROR(__xludf.DUMMYFUNCTION("""COMPUTED_VALUE"""),-0.7013507977805886)</f>
        <v>-0.7013507978</v>
      </c>
      <c r="F244" s="21">
        <f>IFERROR(__xludf.DUMMYFUNCTION("""COMPUTED_VALUE"""),-1.8274610213468425)</f>
        <v>-1.827461021</v>
      </c>
      <c r="G244" s="23">
        <f>IFERROR(__xludf.DUMMYFUNCTION("""COMPUTED_VALUE"""),0.01356447909167443)</f>
        <v>0.01356447909</v>
      </c>
      <c r="H244" s="4"/>
      <c r="I244" s="5" t="s">
        <v>3448</v>
      </c>
      <c r="J244" s="5" t="s">
        <v>3203</v>
      </c>
      <c r="K244" s="5">
        <v>497.0</v>
      </c>
      <c r="L244" s="5">
        <v>-2.529456</v>
      </c>
      <c r="M244" s="5">
        <v>0.654112</v>
      </c>
      <c r="N244" s="5">
        <v>-1.875344</v>
      </c>
      <c r="O244" s="5">
        <v>0.018802</v>
      </c>
    </row>
    <row r="245">
      <c r="A245" s="12" t="str">
        <f>IFERROR(__xludf.DUMMYFUNCTION("""COMPUTED_VALUE"""),"Jonas Buss-Witteler")</f>
        <v>Jonas Buss-Witteler</v>
      </c>
      <c r="B245" s="13" t="str">
        <f>IFERROR(__xludf.DUMMYFUNCTION("""COMPUTED_VALUE"""),"CUX")</f>
        <v>CUX</v>
      </c>
      <c r="C245" s="14">
        <f>IFERROR(__xludf.DUMMYFUNCTION("""COMPUTED_VALUE"""),55.4)</f>
        <v>55.4</v>
      </c>
      <c r="D245" s="15">
        <f>IFERROR(__xludf.DUMMYFUNCTION("""COMPUTED_VALUE"""),-0.9576020271273297)</f>
        <v>-0.9576020271</v>
      </c>
      <c r="E245" s="15">
        <f>IFERROR(__xludf.DUMMYFUNCTION("""COMPUTED_VALUE"""),-0.870998687481397)</f>
        <v>-0.8709986875</v>
      </c>
      <c r="F245" s="15">
        <f>IFERROR(__xludf.DUMMYFUNCTION("""COMPUTED_VALUE"""),-1.8286007146087266)</f>
        <v>-1.828600715</v>
      </c>
      <c r="G245" s="17">
        <f>IFERROR(__xludf.DUMMYFUNCTION("""COMPUTED_VALUE"""),0.0032036091524136404)</f>
        <v>0.003203609152</v>
      </c>
      <c r="H245" s="4"/>
      <c r="I245" s="5" t="s">
        <v>3449</v>
      </c>
      <c r="J245" s="5" t="s">
        <v>3233</v>
      </c>
      <c r="K245" s="5">
        <v>897.0</v>
      </c>
      <c r="L245" s="5">
        <v>0.349784</v>
      </c>
      <c r="M245" s="5">
        <v>-2.246134</v>
      </c>
      <c r="N245" s="5">
        <v>-1.896351</v>
      </c>
      <c r="O245" s="5">
        <v>0.027471</v>
      </c>
    </row>
    <row r="246">
      <c r="A246" s="18" t="str">
        <f>IFERROR(__xludf.DUMMYFUNCTION("""COMPUTED_VALUE"""),"Max Von Der Wippel")</f>
        <v>Max Von Der Wippel</v>
      </c>
      <c r="B246" s="19" t="str">
        <f>IFERROR(__xludf.DUMMYFUNCTION("""COMPUTED_VALUE"""),"COBU")</f>
        <v>COBU</v>
      </c>
      <c r="C246" s="20">
        <f>IFERROR(__xludf.DUMMYFUNCTION("""COMPUTED_VALUE"""),639.6)</f>
        <v>639.6</v>
      </c>
      <c r="D246" s="21">
        <f>IFERROR(__xludf.DUMMYFUNCTION("""COMPUTED_VALUE"""),-1.0114022822686808)</f>
        <v>-1.011402282</v>
      </c>
      <c r="E246" s="21">
        <f>IFERROR(__xludf.DUMMYFUNCTION("""COMPUTED_VALUE"""),-0.8431723738487724)</f>
        <v>-0.8431723738</v>
      </c>
      <c r="F246" s="21">
        <f>IFERROR(__xludf.DUMMYFUNCTION("""COMPUTED_VALUE"""),-1.8545746561174532)</f>
        <v>-1.854574656</v>
      </c>
      <c r="G246" s="23">
        <f>IFERROR(__xludf.DUMMYFUNCTION("""COMPUTED_VALUE"""),0.02825752691680299)</f>
        <v>0.02825752692</v>
      </c>
      <c r="H246" s="4"/>
      <c r="I246" s="5" t="s">
        <v>3450</v>
      </c>
      <c r="J246" s="5" t="s">
        <v>3220</v>
      </c>
      <c r="K246" s="5">
        <v>180.0</v>
      </c>
      <c r="L246" s="5">
        <v>-1.034085</v>
      </c>
      <c r="M246" s="5">
        <v>-0.930863</v>
      </c>
      <c r="N246" s="5">
        <v>-1.964947</v>
      </c>
      <c r="O246" s="5">
        <v>0.001937</v>
      </c>
    </row>
    <row r="247">
      <c r="A247" s="12" t="str">
        <f>IFERROR(__xludf.DUMMYFUNCTION("""COMPUTED_VALUE"""),"Goetz Twiehoff")</f>
        <v>Goetz Twiehoff</v>
      </c>
      <c r="B247" s="13" t="str">
        <f>IFERROR(__xludf.DUMMYFUNCTION("""COMPUTED_VALUE"""),"BAY")</f>
        <v>BAY</v>
      </c>
      <c r="C247" s="14">
        <f>IFERROR(__xludf.DUMMYFUNCTION("""COMPUTED_VALUE"""),330.0)</f>
        <v>330</v>
      </c>
      <c r="D247" s="15">
        <f>IFERROR(__xludf.DUMMYFUNCTION("""COMPUTED_VALUE"""),-0.09620696972203163)</f>
        <v>-0.09620696972</v>
      </c>
      <c r="E247" s="15">
        <f>IFERROR(__xludf.DUMMYFUNCTION("""COMPUTED_VALUE"""),-1.7611740408150838)</f>
        <v>-1.761174041</v>
      </c>
      <c r="F247" s="15">
        <f>IFERROR(__xludf.DUMMYFUNCTION("""COMPUTED_VALUE"""),-1.8573810105371154)</f>
        <v>-1.857381011</v>
      </c>
      <c r="G247" s="17">
        <f>IFERROR(__xludf.DUMMYFUNCTION("""COMPUTED_VALUE"""),0.014287994886524847)</f>
        <v>0.01428799489</v>
      </c>
      <c r="H247" s="4"/>
      <c r="I247" s="5" t="s">
        <v>3451</v>
      </c>
      <c r="J247" s="5" t="s">
        <v>3220</v>
      </c>
      <c r="K247" s="5">
        <v>323.0</v>
      </c>
      <c r="L247" s="5">
        <v>-2.154155</v>
      </c>
      <c r="M247" s="5">
        <v>0.157415</v>
      </c>
      <c r="N247" s="5">
        <v>-1.996739</v>
      </c>
      <c r="O247" s="5">
        <v>3.24E-4</v>
      </c>
    </row>
    <row r="248">
      <c r="A248" s="18" t="str">
        <f>IFERROR(__xludf.DUMMYFUNCTION("""COMPUTED_VALUE"""),"Leon Friederici")</f>
        <v>Leon Friederici</v>
      </c>
      <c r="B248" s="19" t="str">
        <f>IFERROR(__xludf.DUMMYFUNCTION("""COMPUTED_VALUE"""),"SHA")</f>
        <v>SHA</v>
      </c>
      <c r="C248" s="20">
        <f>IFERROR(__xludf.DUMMYFUNCTION("""COMPUTED_VALUE"""),422.8)</f>
        <v>422.8</v>
      </c>
      <c r="D248" s="21">
        <f>IFERROR(__xludf.DUMMYFUNCTION("""COMPUTED_VALUE"""),-1.1584919884726264)</f>
        <v>-1.158491988</v>
      </c>
      <c r="E248" s="21">
        <f>IFERROR(__xludf.DUMMYFUNCTION("""COMPUTED_VALUE"""),-0.7063431597687808)</f>
        <v>-0.7063431598</v>
      </c>
      <c r="F248" s="21">
        <f>IFERROR(__xludf.DUMMYFUNCTION("""COMPUTED_VALUE"""),-1.8648351482414072)</f>
        <v>-1.864835148</v>
      </c>
      <c r="G248" s="23">
        <f>IFERROR(__xludf.DUMMYFUNCTION("""COMPUTED_VALUE"""),0.01745333150332519)</f>
        <v>0.0174533315</v>
      </c>
      <c r="H248" s="4"/>
      <c r="I248" s="5" t="s">
        <v>3452</v>
      </c>
      <c r="J248" s="5" t="s">
        <v>2201</v>
      </c>
      <c r="K248" s="5">
        <v>49.0</v>
      </c>
      <c r="L248" s="5">
        <v>-1.453442</v>
      </c>
      <c r="M248" s="5">
        <v>-0.549813</v>
      </c>
      <c r="N248" s="5">
        <v>-2.003254</v>
      </c>
      <c r="O248" s="5">
        <v>-4.9E-5</v>
      </c>
    </row>
    <row r="249">
      <c r="A249" s="12" t="str">
        <f>IFERROR(__xludf.DUMMYFUNCTION("""COMPUTED_VALUE"""),"Valentin Blass")</f>
        <v>Valentin Blass</v>
      </c>
      <c r="B249" s="13" t="str">
        <f>IFERROR(__xludf.DUMMYFUNCTION("""COMPUTED_VALUE"""),"DRAG")</f>
        <v>DRAG</v>
      </c>
      <c r="C249" s="14">
        <f>IFERROR(__xludf.DUMMYFUNCTION("""COMPUTED_VALUE"""),497.4)</f>
        <v>497.4</v>
      </c>
      <c r="D249" s="15">
        <f>IFERROR(__xludf.DUMMYFUNCTION("""COMPUTED_VALUE"""),-2.5667921443787542)</f>
        <v>-2.566792144</v>
      </c>
      <c r="E249" s="15">
        <f>IFERROR(__xludf.DUMMYFUNCTION("""COMPUTED_VALUE"""),0.691447919582922)</f>
        <v>0.6914479196</v>
      </c>
      <c r="F249" s="15">
        <f>IFERROR(__xludf.DUMMYFUNCTION("""COMPUTED_VALUE"""),-1.8753442247958323)</f>
        <v>-1.875344225</v>
      </c>
      <c r="G249" s="17">
        <f>IFERROR(__xludf.DUMMYFUNCTION("""COMPUTED_VALUE"""),0.018802139043409476)</f>
        <v>0.01880213904</v>
      </c>
      <c r="H249" s="4"/>
      <c r="I249" s="5" t="s">
        <v>3453</v>
      </c>
      <c r="J249" s="5" t="s">
        <v>3226</v>
      </c>
      <c r="K249" s="5">
        <v>297.0</v>
      </c>
      <c r="L249" s="5">
        <v>-3.100941</v>
      </c>
      <c r="M249" s="5">
        <v>1.097519</v>
      </c>
      <c r="N249" s="5">
        <v>-2.003422</v>
      </c>
      <c r="O249" s="5">
        <v>-3.1E-4</v>
      </c>
    </row>
    <row r="250">
      <c r="A250" s="18" t="str">
        <f>IFERROR(__xludf.DUMMYFUNCTION("""COMPUTED_VALUE"""),"Zaire Thompson")</f>
        <v>Zaire Thompson</v>
      </c>
      <c r="B250" s="19" t="str">
        <f>IFERROR(__xludf.DUMMYFUNCTION("""COMPUTED_VALUE"""),"ROST")</f>
        <v>ROST</v>
      </c>
      <c r="C250" s="20">
        <f>IFERROR(__xludf.DUMMYFUNCTION("""COMPUTED_VALUE"""),180.0)</f>
        <v>180</v>
      </c>
      <c r="D250" s="21">
        <f>IFERROR(__xludf.DUMMYFUNCTION("""COMPUTED_VALUE"""),-1.056486173496179)</f>
        <v>-1.056486173</v>
      </c>
      <c r="E250" s="21">
        <f>IFERROR(__xludf.DUMMYFUNCTION("""COMPUTED_VALUE"""),-0.908461242185143)</f>
        <v>-0.9084612422</v>
      </c>
      <c r="F250" s="21">
        <f>IFERROR(__xludf.DUMMYFUNCTION("""COMPUTED_VALUE"""),-1.964947415681322)</f>
        <v>-1.964947416</v>
      </c>
      <c r="G250" s="23">
        <f>IFERROR(__xludf.DUMMYFUNCTION("""COMPUTED_VALUE"""),0.0019369948024771796)</f>
        <v>0.001936994802</v>
      </c>
      <c r="H250" s="4"/>
      <c r="I250" s="5" t="s">
        <v>3454</v>
      </c>
      <c r="J250" s="5" t="s">
        <v>3203</v>
      </c>
      <c r="K250" s="5">
        <v>362.0</v>
      </c>
      <c r="L250" s="5">
        <v>-0.113415</v>
      </c>
      <c r="M250" s="5">
        <v>-1.974144</v>
      </c>
      <c r="N250" s="5">
        <v>-2.087559</v>
      </c>
      <c r="O250" s="5">
        <v>-0.009598</v>
      </c>
    </row>
    <row r="251">
      <c r="A251" s="12" t="str">
        <f>IFERROR(__xludf.DUMMYFUNCTION("""COMPUTED_VALUE"""),"Tim Vogt")</f>
        <v>Tim Vogt</v>
      </c>
      <c r="B251" s="13" t="str">
        <f>IFERROR(__xludf.DUMMYFUNCTION("""COMPUTED_VALUE"""),"ROST")</f>
        <v>ROST</v>
      </c>
      <c r="C251" s="14">
        <f>IFERROR(__xludf.DUMMYFUNCTION("""COMPUTED_VALUE"""),323.4)</f>
        <v>323.4</v>
      </c>
      <c r="D251" s="15">
        <f>IFERROR(__xludf.DUMMYFUNCTION("""COMPUTED_VALUE"""),-2.1914905313593183)</f>
        <v>-2.191490531</v>
      </c>
      <c r="E251" s="15">
        <f>IFERROR(__xludf.DUMMYFUNCTION("""COMPUTED_VALUE"""),0.19475109094629883)</f>
        <v>0.1947510909</v>
      </c>
      <c r="F251" s="15">
        <f>IFERROR(__xludf.DUMMYFUNCTION("""COMPUTED_VALUE"""),-1.9967394404130194)</f>
        <v>-1.99673944</v>
      </c>
      <c r="G251" s="17">
        <f>IFERROR(__xludf.DUMMYFUNCTION("""COMPUTED_VALUE"""),3.2371890638917614E-4)</f>
        <v>0.0003237189064</v>
      </c>
      <c r="H251" s="4"/>
      <c r="I251" s="5" t="s">
        <v>3455</v>
      </c>
      <c r="J251" s="5" t="s">
        <v>644</v>
      </c>
      <c r="K251" s="24">
        <v>106.0</v>
      </c>
      <c r="L251" s="5">
        <v>-0.683731</v>
      </c>
      <c r="M251" s="5">
        <v>-1.408786</v>
      </c>
      <c r="N251" s="5">
        <v>-2.092517</v>
      </c>
      <c r="O251" s="5">
        <v>-0.002983</v>
      </c>
    </row>
    <row r="252">
      <c r="A252" s="18" t="str">
        <f>IFERROR(__xludf.DUMMYFUNCTION("""COMPUTED_VALUE"""),"Nils Peters")</f>
        <v>Nils Peters</v>
      </c>
      <c r="B252" s="19" t="str">
        <f>IFERROR(__xludf.DUMMYFUNCTION("""COMPUTED_VALUE"""),"SHA")</f>
        <v>SHA</v>
      </c>
      <c r="C252" s="20">
        <f>IFERROR(__xludf.DUMMYFUNCTION("""COMPUTED_VALUE"""),48.9)</f>
        <v>48.9</v>
      </c>
      <c r="D252" s="21">
        <f>IFERROR(__xludf.DUMMYFUNCTION("""COMPUTED_VALUE"""),-1.4595275495470665)</f>
        <v>-1.45952755</v>
      </c>
      <c r="E252" s="21">
        <f>IFERROR(__xludf.DUMMYFUNCTION("""COMPUTED_VALUE"""),-0.5437268206220311)</f>
        <v>-0.5437268206</v>
      </c>
      <c r="F252" s="21">
        <f>IFERROR(__xludf.DUMMYFUNCTION("""COMPUTED_VALUE"""),-2.0032543701690977)</f>
        <v>-2.00325437</v>
      </c>
      <c r="G252" s="23">
        <f>IFERROR(__xludf.DUMMYFUNCTION("""COMPUTED_VALUE"""),-4.860214043840937E-5)</f>
        <v>-0.00004860214044</v>
      </c>
      <c r="H252" s="4"/>
      <c r="I252" s="5" t="s">
        <v>3456</v>
      </c>
      <c r="J252" s="5" t="s">
        <v>3256</v>
      </c>
      <c r="K252" s="5">
        <v>69.0</v>
      </c>
      <c r="L252" s="5">
        <v>-0.936564</v>
      </c>
      <c r="M252" s="5">
        <v>-1.15913</v>
      </c>
      <c r="N252" s="5">
        <v>-2.095694</v>
      </c>
      <c r="O252" s="5">
        <v>-0.002001</v>
      </c>
    </row>
    <row r="253">
      <c r="A253" s="12" t="str">
        <f>IFERROR(__xludf.DUMMYFUNCTION("""COMPUTED_VALUE"""),"Konstantin Kovalev")</f>
        <v>Konstantin Kovalev</v>
      </c>
      <c r="B253" s="13" t="str">
        <f>IFERROR(__xludf.DUMMYFUNCTION("""COMPUTED_VALUE"""),"SSV")</f>
        <v>SSV</v>
      </c>
      <c r="C253" s="14">
        <f>IFERROR(__xludf.DUMMYFUNCTION("""COMPUTED_VALUE"""),296.7)</f>
        <v>296.7</v>
      </c>
      <c r="D253" s="15">
        <f>IFERROR(__xludf.DUMMYFUNCTION("""COMPUTED_VALUE"""),-3.1378659885468148)</f>
        <v>-3.137865989</v>
      </c>
      <c r="E253" s="15">
        <f>IFERROR(__xludf.DUMMYFUNCTION("""COMPUTED_VALUE"""),1.1344443018563148)</f>
        <v>1.134444302</v>
      </c>
      <c r="F253" s="15">
        <f>IFERROR(__xludf.DUMMYFUNCTION("""COMPUTED_VALUE"""),-2.0034216866905)</f>
        <v>-2.003421687</v>
      </c>
      <c r="G253" s="17">
        <f>IFERROR(__xludf.DUMMYFUNCTION("""COMPUTED_VALUE"""),-3.0978120266487525E-4)</f>
        <v>-0.0003097812027</v>
      </c>
      <c r="H253" s="4"/>
      <c r="I253" s="5" t="s">
        <v>3457</v>
      </c>
      <c r="J253" s="5" t="s">
        <v>3281</v>
      </c>
      <c r="K253" s="5">
        <v>43.0</v>
      </c>
      <c r="L253" s="5">
        <v>-1.930465</v>
      </c>
      <c r="M253" s="5">
        <v>-0.176145</v>
      </c>
      <c r="N253" s="5">
        <v>-2.10661</v>
      </c>
      <c r="O253" s="5">
        <v>-0.001381</v>
      </c>
    </row>
    <row r="254">
      <c r="A254" s="18" t="str">
        <f>IFERROR(__xludf.DUMMYFUNCTION("""COMPUTED_VALUE"""),"Noah Westerhaus")</f>
        <v>Noah Westerhaus</v>
      </c>
      <c r="B254" s="19" t="str">
        <f>IFERROR(__xludf.DUMMYFUNCTION("""COMPUTED_VALUE"""),"ART")</f>
        <v>ART</v>
      </c>
      <c r="C254" s="20">
        <f>IFERROR(__xludf.DUMMYFUNCTION("""COMPUTED_VALUE"""),92.5)</f>
        <v>92.5</v>
      </c>
      <c r="D254" s="21">
        <f>IFERROR(__xludf.DUMMYFUNCTION("""COMPUTED_VALUE"""),-1.2660621251064315)</f>
        <v>-1.266062125</v>
      </c>
      <c r="E254" s="21">
        <f>IFERROR(__xludf.DUMMYFUNCTION("""COMPUTED_VALUE"""),-0.8012014385898734)</f>
        <v>-0.8012014386</v>
      </c>
      <c r="F254" s="21">
        <f>IFERROR(__xludf.DUMMYFUNCTION("""COMPUTED_VALUE"""),-2.067263563696305)</f>
        <v>-2.067263564</v>
      </c>
      <c r="G254" s="23">
        <f>IFERROR(__xludf.DUMMYFUNCTION("""COMPUTED_VALUE"""),-0.0018387883811457914)</f>
        <v>-0.001838788381</v>
      </c>
      <c r="H254" s="4"/>
      <c r="I254" s="5" t="s">
        <v>3458</v>
      </c>
      <c r="J254" s="5" t="s">
        <v>3237</v>
      </c>
      <c r="K254" s="24">
        <v>132.0</v>
      </c>
      <c r="L254" s="5">
        <v>-1.785034</v>
      </c>
      <c r="M254" s="5">
        <v>-0.333231</v>
      </c>
      <c r="N254" s="5">
        <v>-2.118266</v>
      </c>
      <c r="O254" s="5">
        <v>-0.005283</v>
      </c>
    </row>
    <row r="255">
      <c r="A255" s="12" t="str">
        <f>IFERROR(__xludf.DUMMYFUNCTION("""COMPUTED_VALUE"""),"Anton Geretzki")</f>
        <v>Anton Geretzki</v>
      </c>
      <c r="B255" s="13" t="str">
        <f>IFERROR(__xludf.DUMMYFUNCTION("""COMPUTED_VALUE"""),"DRAG")</f>
        <v>DRAG</v>
      </c>
      <c r="C255" s="14">
        <f>IFERROR(__xludf.DUMMYFUNCTION("""COMPUTED_VALUE"""),361.5)</f>
        <v>361.5</v>
      </c>
      <c r="D255" s="15">
        <f>IFERROR(__xludf.DUMMYFUNCTION("""COMPUTED_VALUE"""),-0.15075080363541127)</f>
        <v>-0.1507508036</v>
      </c>
      <c r="E255" s="15">
        <f>IFERROR(__xludf.DUMMYFUNCTION("""COMPUTED_VALUE"""),-1.936807919453716)</f>
        <v>-1.936807919</v>
      </c>
      <c r="F255" s="15">
        <f>IFERROR(__xludf.DUMMYFUNCTION("""COMPUTED_VALUE"""),-2.0875587230891273)</f>
        <v>-2.087558723</v>
      </c>
      <c r="G255" s="17">
        <f>IFERROR(__xludf.DUMMYFUNCTION("""COMPUTED_VALUE"""),-0.009598354730259695)</f>
        <v>-0.00959835473</v>
      </c>
      <c r="H255" s="4"/>
      <c r="I255" s="5" t="s">
        <v>1137</v>
      </c>
      <c r="J255" s="5" t="s">
        <v>3233</v>
      </c>
      <c r="K255" s="5">
        <v>224.0</v>
      </c>
      <c r="L255" s="5">
        <v>-1.490313</v>
      </c>
      <c r="M255" s="5">
        <v>-0.629871</v>
      </c>
      <c r="N255" s="5">
        <v>-2.120184</v>
      </c>
      <c r="O255" s="5">
        <v>-0.007963</v>
      </c>
    </row>
    <row r="256">
      <c r="A256" s="18" t="str">
        <f>IFERROR(__xludf.DUMMYFUNCTION("""COMPUTED_VALUE"""),"Daniel Merkens")</f>
        <v>Daniel Merkens</v>
      </c>
      <c r="B256" s="19" t="str">
        <f>IFERROR(__xludf.DUMMYFUNCTION("""COMPUTED_VALUE"""),"BAY")</f>
        <v>BAY</v>
      </c>
      <c r="C256" s="20">
        <f>IFERROR(__xludf.DUMMYFUNCTION("""COMPUTED_VALUE"""),106.2)</f>
        <v>106.2</v>
      </c>
      <c r="D256" s="21">
        <f>IFERROR(__xludf.DUMMYFUNCTION("""COMPUTED_VALUE"""),-0.6969482179427451)</f>
        <v>-0.6969482179</v>
      </c>
      <c r="E256" s="21">
        <f>IFERROR(__xludf.DUMMYFUNCTION("""COMPUTED_VALUE"""),-1.3955691855214711)</f>
        <v>-1.395569186</v>
      </c>
      <c r="F256" s="21">
        <f>IFERROR(__xludf.DUMMYFUNCTION("""COMPUTED_VALUE"""),-2.092517403464216)</f>
        <v>-2.092517403</v>
      </c>
      <c r="G256" s="23">
        <f>IFERROR(__xludf.DUMMYFUNCTION("""COMPUTED_VALUE"""),-0.002982826162954279)</f>
        <v>-0.002982826163</v>
      </c>
      <c r="H256" s="4"/>
      <c r="I256" s="5" t="s">
        <v>3459</v>
      </c>
      <c r="J256" s="5" t="s">
        <v>3331</v>
      </c>
      <c r="K256" s="5">
        <v>83.0</v>
      </c>
      <c r="L256" s="5">
        <v>-2.144994</v>
      </c>
      <c r="M256" s="5">
        <v>0.007608</v>
      </c>
      <c r="N256" s="5">
        <v>-2.137385</v>
      </c>
      <c r="O256" s="5">
        <v>-0.00344</v>
      </c>
    </row>
    <row r="257">
      <c r="A257" s="12" t="str">
        <f>IFERROR(__xludf.DUMMYFUNCTION("""COMPUTED_VALUE"""),"Alieu Ceesay")</f>
        <v>Alieu Ceesay</v>
      </c>
      <c r="B257" s="13" t="str">
        <f>IFERROR(__xludf.DUMMYFUNCTION("""COMPUTED_VALUE"""),"OTB")</f>
        <v>OTB</v>
      </c>
      <c r="C257" s="14">
        <f>IFERROR(__xludf.DUMMYFUNCTION("""COMPUTED_VALUE"""),68.9)</f>
        <v>68.9</v>
      </c>
      <c r="D257" s="15">
        <f>IFERROR(__xludf.DUMMYFUNCTION("""COMPUTED_VALUE"""),-0.9451389774285267)</f>
        <v>-0.9451389774</v>
      </c>
      <c r="E257" s="15">
        <f>IFERROR(__xludf.DUMMYFUNCTION("""COMPUTED_VALUE"""),-1.1505554730606535)</f>
        <v>-1.150555473</v>
      </c>
      <c r="F257" s="15">
        <f>IFERROR(__xludf.DUMMYFUNCTION("""COMPUTED_VALUE"""),-2.09569445048918)</f>
        <v>-2.09569445</v>
      </c>
      <c r="G257" s="17">
        <f>IFERROR(__xludf.DUMMYFUNCTION("""COMPUTED_VALUE"""),-0.0020011202319709666)</f>
        <v>-0.002001120232</v>
      </c>
      <c r="H257" s="4"/>
      <c r="I257" s="5" t="s">
        <v>3460</v>
      </c>
      <c r="J257" s="5" t="s">
        <v>3240</v>
      </c>
      <c r="K257" s="5">
        <v>254.0</v>
      </c>
      <c r="L257" s="5">
        <v>-0.369819</v>
      </c>
      <c r="M257" s="5">
        <v>-1.77254</v>
      </c>
      <c r="N257" s="5">
        <v>-2.14236</v>
      </c>
      <c r="O257" s="5">
        <v>-0.011031</v>
      </c>
    </row>
    <row r="258">
      <c r="A258" s="18" t="str">
        <f>IFERROR(__xludf.DUMMYFUNCTION("""COMPUTED_VALUE"""),"Nicolas Scumann")</f>
        <v>Nicolas Scumann</v>
      </c>
      <c r="B258" s="19" t="str">
        <f>IFERROR(__xludf.DUMMYFUNCTION("""COMPUTED_VALUE"""),"RIST")</f>
        <v>RIST</v>
      </c>
      <c r="C258" s="20">
        <f>IFERROR(__xludf.DUMMYFUNCTION("""COMPUTED_VALUE"""),42.5)</f>
        <v>42.5</v>
      </c>
      <c r="D258" s="21">
        <f>IFERROR(__xludf.DUMMYFUNCTION("""COMPUTED_VALUE"""),-1.9357538944265287)</f>
        <v>-1.935753894</v>
      </c>
      <c r="E258" s="21">
        <f>IFERROR(__xludf.DUMMYFUNCTION("""COMPUTED_VALUE"""),-0.1708561797513528)</f>
        <v>-0.1708561798</v>
      </c>
      <c r="F258" s="21">
        <f>IFERROR(__xludf.DUMMYFUNCTION("""COMPUTED_VALUE"""),-2.1066100741778815)</f>
        <v>-2.106610074</v>
      </c>
      <c r="G258" s="23">
        <f>IFERROR(__xludf.DUMMYFUNCTION("""COMPUTED_VALUE"""),-0.0013814828663812385)</f>
        <v>-0.001381482866</v>
      </c>
      <c r="H258" s="4"/>
      <c r="I258" s="5" t="s">
        <v>3461</v>
      </c>
      <c r="J258" s="5" t="s">
        <v>3203</v>
      </c>
      <c r="K258" s="5">
        <v>48.0</v>
      </c>
      <c r="L258" s="5">
        <v>-1.828336</v>
      </c>
      <c r="M258" s="5">
        <v>-0.326061</v>
      </c>
      <c r="N258" s="5">
        <v>-2.154397</v>
      </c>
      <c r="O258" s="5">
        <v>-0.002247</v>
      </c>
    </row>
    <row r="259">
      <c r="A259" s="12" t="str">
        <f>IFERROR(__xludf.DUMMYFUNCTION("""COMPUTED_VALUE"""),"Coreontae DeBerry")</f>
        <v>Coreontae DeBerry</v>
      </c>
      <c r="B259" s="13" t="str">
        <f>IFERROR(__xludf.DUMMYFUNCTION("""COMPUTED_VALUE"""),"CUX")</f>
        <v>CUX</v>
      </c>
      <c r="C259" s="14">
        <f>IFERROR(__xludf.DUMMYFUNCTION("""COMPUTED_VALUE"""),132.4)</f>
        <v>132.4</v>
      </c>
      <c r="D259" s="15">
        <f>IFERROR(__xludf.DUMMYFUNCTION("""COMPUTED_VALUE"""),-1.8179895993543183)</f>
        <v>-1.817989599</v>
      </c>
      <c r="E259" s="15">
        <f>IFERROR(__xludf.DUMMYFUNCTION("""COMPUTED_VALUE"""),-0.30027595456731704)</f>
        <v>-0.3002759546</v>
      </c>
      <c r="F259" s="15">
        <f>IFERROR(__xludf.DUMMYFUNCTION("""COMPUTED_VALUE"""),-2.1182655539216353)</f>
        <v>-2.118265554</v>
      </c>
      <c r="G259" s="17">
        <f>IFERROR(__xludf.DUMMYFUNCTION("""COMPUTED_VALUE"""),-0.005282834549491236)</f>
        <v>-0.005282834549</v>
      </c>
      <c r="H259" s="4"/>
      <c r="I259" s="5" t="s">
        <v>1247</v>
      </c>
      <c r="J259" s="5" t="s">
        <v>3263</v>
      </c>
      <c r="K259" s="5">
        <v>376.0</v>
      </c>
      <c r="L259" s="5">
        <v>-2.387322</v>
      </c>
      <c r="M259" s="5">
        <v>0.227415</v>
      </c>
      <c r="N259" s="5">
        <v>-2.159907</v>
      </c>
      <c r="O259" s="5">
        <v>-0.018052</v>
      </c>
    </row>
    <row r="260">
      <c r="A260" s="18" t="str">
        <f>IFERROR(__xludf.DUMMYFUNCTION("""COMPUTED_VALUE"""),"Sven Saddedine")</f>
        <v>Sven Saddedine</v>
      </c>
      <c r="B260" s="19" t="str">
        <f>IFERROR(__xludf.DUMMYFUNCTION("""COMPUTED_VALUE"""),"KIT")</f>
        <v>KIT</v>
      </c>
      <c r="C260" s="20">
        <f>IFERROR(__xludf.DUMMYFUNCTION("""COMPUTED_VALUE"""),82.5)</f>
        <v>82.5</v>
      </c>
      <c r="D260" s="21">
        <f>IFERROR(__xludf.DUMMYFUNCTION("""COMPUTED_VALUE"""),-2.1552609904027054)</f>
        <v>-2.15526099</v>
      </c>
      <c r="E260" s="21">
        <f>IFERROR(__xludf.DUMMYFUNCTION("""COMPUTED_VALUE"""),0.017875653649181977)</f>
        <v>0.01787565365</v>
      </c>
      <c r="F260" s="21">
        <f>IFERROR(__xludf.DUMMYFUNCTION("""COMPUTED_VALUE"""),-2.1373853367535234)</f>
        <v>-2.137385337</v>
      </c>
      <c r="G260" s="23">
        <f>IFERROR(__xludf.DUMMYFUNCTION("""COMPUTED_VALUE"""),-0.0034400958741048456)</f>
        <v>-0.003440095874</v>
      </c>
      <c r="H260" s="4"/>
      <c r="I260" s="5" t="s">
        <v>3462</v>
      </c>
      <c r="J260" s="5" t="s">
        <v>3205</v>
      </c>
      <c r="K260" s="5">
        <v>710.0</v>
      </c>
      <c r="L260" s="5">
        <v>-0.51303</v>
      </c>
      <c r="M260" s="5">
        <v>-1.676971</v>
      </c>
      <c r="N260" s="5">
        <v>-2.190001</v>
      </c>
      <c r="O260" s="5">
        <v>-0.040923</v>
      </c>
    </row>
    <row r="261">
      <c r="A261" s="12" t="str">
        <f>IFERROR(__xludf.DUMMYFUNCTION("""COMPUTED_VALUE"""),"Nemanja Markovic")</f>
        <v>Nemanja Markovic</v>
      </c>
      <c r="B261" s="13" t="str">
        <f>IFERROR(__xludf.DUMMYFUNCTION("""COMPUTED_VALUE"""),"MUNII")</f>
        <v>MUNII</v>
      </c>
      <c r="C261" s="14">
        <f>IFERROR(__xludf.DUMMYFUNCTION("""COMPUTED_VALUE"""),254.1)</f>
        <v>254.1</v>
      </c>
      <c r="D261" s="15">
        <f>IFERROR(__xludf.DUMMYFUNCTION("""COMPUTED_VALUE"""),-0.4014429776783129)</f>
        <v>-0.4014429777</v>
      </c>
      <c r="E261" s="15">
        <f>IFERROR(__xludf.DUMMYFUNCTION("""COMPUTED_VALUE"""),-1.7409166714421977)</f>
        <v>-1.740916671</v>
      </c>
      <c r="F261" s="15">
        <f>IFERROR(__xludf.DUMMYFUNCTION("""COMPUTED_VALUE"""),-2.1423596491205106)</f>
        <v>-2.142359649</v>
      </c>
      <c r="G261" s="17">
        <f>IFERROR(__xludf.DUMMYFUNCTION("""COMPUTED_VALUE"""),-0.011030896337135492)</f>
        <v>-0.01103089634</v>
      </c>
      <c r="H261" s="4"/>
      <c r="I261" s="5" t="s">
        <v>3463</v>
      </c>
      <c r="J261" s="5" t="s">
        <v>3263</v>
      </c>
      <c r="K261" s="24">
        <v>107.0</v>
      </c>
      <c r="L261" s="5">
        <v>-2.387557</v>
      </c>
      <c r="M261" s="5">
        <v>0.175784</v>
      </c>
      <c r="N261" s="5">
        <v>-2.211773</v>
      </c>
      <c r="O261" s="5">
        <v>-0.006791</v>
      </c>
    </row>
    <row r="262">
      <c r="A262" s="18" t="str">
        <f>IFERROR(__xludf.DUMMYFUNCTION("""COMPUTED_VALUE"""),"Fabian Vermum")</f>
        <v>Fabian Vermum</v>
      </c>
      <c r="B262" s="19" t="str">
        <f>IFERROR(__xludf.DUMMYFUNCTION("""COMPUTED_VALUE"""),"DRAG")</f>
        <v>DRAG</v>
      </c>
      <c r="C262" s="20">
        <f>IFERROR(__xludf.DUMMYFUNCTION("""COMPUTED_VALUE"""),48.0)</f>
        <v>48</v>
      </c>
      <c r="D262" s="21">
        <f>IFERROR(__xludf.DUMMYFUNCTION("""COMPUTED_VALUE"""),-1.8343100539962347)</f>
        <v>-1.834310054</v>
      </c>
      <c r="E262" s="21">
        <f>IFERROR(__xludf.DUMMYFUNCTION("""COMPUTED_VALUE"""),-0.32008685788695)</f>
        <v>-0.3200868579</v>
      </c>
      <c r="F262" s="21">
        <f>IFERROR(__xludf.DUMMYFUNCTION("""COMPUTED_VALUE"""),-2.1543969118831847)</f>
        <v>-2.154396912</v>
      </c>
      <c r="G262" s="23">
        <f>IFERROR(__xludf.DUMMYFUNCTION("""COMPUTED_VALUE"""),-0.0022473407271615814)</f>
        <v>-0.002247340727</v>
      </c>
      <c r="H262" s="4"/>
      <c r="I262" s="5" t="s">
        <v>3464</v>
      </c>
      <c r="J262" s="5" t="s">
        <v>3251</v>
      </c>
      <c r="K262" s="5">
        <v>492.0</v>
      </c>
      <c r="L262" s="5">
        <v>-1.739502</v>
      </c>
      <c r="M262" s="5">
        <v>-0.476302</v>
      </c>
      <c r="N262" s="5">
        <v>-2.215804</v>
      </c>
      <c r="O262" s="5">
        <v>-0.032236</v>
      </c>
    </row>
    <row r="263">
      <c r="A263" s="12" t="str">
        <f>IFERROR(__xludf.DUMMYFUNCTION("""COMPUTED_VALUE"""),"Richard Freudenberg")</f>
        <v>Richard Freudenberg</v>
      </c>
      <c r="B263" s="13" t="str">
        <f>IFERROR(__xludf.DUMMYFUNCTION("""COMPUTED_VALUE"""),"JR")</f>
        <v>JR</v>
      </c>
      <c r="C263" s="14">
        <f>IFERROR(__xludf.DUMMYFUNCTION("""COMPUTED_VALUE"""),375.6)</f>
        <v>375.6</v>
      </c>
      <c r="D263" s="15">
        <f>IFERROR(__xludf.DUMMYFUNCTION("""COMPUTED_VALUE"""),-2.4246580292968054)</f>
        <v>-2.424658029</v>
      </c>
      <c r="E263" s="15">
        <f>IFERROR(__xludf.DUMMYFUNCTION("""COMPUTED_VALUE"""),0.26475122439580323)</f>
        <v>0.2647512244</v>
      </c>
      <c r="F263" s="15">
        <f>IFERROR(__xludf.DUMMYFUNCTION("""COMPUTED_VALUE"""),-2.159906804901002)</f>
        <v>-2.159906805</v>
      </c>
      <c r="G263" s="17">
        <f>IFERROR(__xludf.DUMMYFUNCTION("""COMPUTED_VALUE"""),-0.018051695857717376)</f>
        <v>-0.01805169586</v>
      </c>
      <c r="H263" s="4"/>
      <c r="I263" s="5" t="s">
        <v>3465</v>
      </c>
      <c r="J263" s="5" t="s">
        <v>3278</v>
      </c>
      <c r="K263" s="5">
        <v>121.0</v>
      </c>
      <c r="L263" s="5">
        <v>-1.645214</v>
      </c>
      <c r="M263" s="5">
        <v>-0.588362</v>
      </c>
      <c r="N263" s="5">
        <v>-2.233576</v>
      </c>
      <c r="O263" s="5">
        <v>-0.008542</v>
      </c>
    </row>
    <row r="264">
      <c r="A264" s="18" t="str">
        <f>IFERROR(__xludf.DUMMYFUNCTION("""COMPUTED_VALUE"""),"Thomas Reuter")</f>
        <v>Thomas Reuter</v>
      </c>
      <c r="B264" s="19" t="str">
        <f>IFERROR(__xludf.DUMMYFUNCTION("""COMPUTED_VALUE"""),"SCHW")</f>
        <v>SCHW</v>
      </c>
      <c r="C264" s="20">
        <f>IFERROR(__xludf.DUMMYFUNCTION("""COMPUTED_VALUE"""),710.1)</f>
        <v>710.1</v>
      </c>
      <c r="D264" s="21">
        <f>IFERROR(__xludf.DUMMYFUNCTION("""COMPUTED_VALUE"""),-0.550366248290864)</f>
        <v>-0.5503662483</v>
      </c>
      <c r="E264" s="21">
        <f>IFERROR(__xludf.DUMMYFUNCTION("""COMPUTED_VALUE"""),-1.6396346461450715)</f>
        <v>-1.639634646</v>
      </c>
      <c r="F264" s="21">
        <f>IFERROR(__xludf.DUMMYFUNCTION("""COMPUTED_VALUE"""),-2.1900008944359355)</f>
        <v>-2.190000894</v>
      </c>
      <c r="G264" s="23">
        <f>IFERROR(__xludf.DUMMYFUNCTION("""COMPUTED_VALUE"""),-0.040922601661423426)</f>
        <v>-0.04092260166</v>
      </c>
      <c r="H264" s="4"/>
      <c r="I264" s="5" t="s">
        <v>3466</v>
      </c>
      <c r="J264" s="5" t="s">
        <v>3283</v>
      </c>
      <c r="K264" s="5">
        <v>51.0</v>
      </c>
      <c r="L264" s="5">
        <v>-1.663396</v>
      </c>
      <c r="M264" s="5">
        <v>-0.616178</v>
      </c>
      <c r="N264" s="5">
        <v>-2.279573</v>
      </c>
      <c r="O264" s="5">
        <v>-0.004366</v>
      </c>
    </row>
    <row r="265">
      <c r="A265" s="12" t="str">
        <f>IFERROR(__xludf.DUMMYFUNCTION("""COMPUTED_VALUE"""),"Alvin Onyia")</f>
        <v>Alvin Onyia</v>
      </c>
      <c r="B265" s="13" t="str">
        <f>IFERROR(__xludf.DUMMYFUNCTION("""COMPUTED_VALUE"""),"JR")</f>
        <v>JR</v>
      </c>
      <c r="C265" s="14">
        <f>IFERROR(__xludf.DUMMYFUNCTION("""COMPUTED_VALUE"""),106.7)</f>
        <v>106.7</v>
      </c>
      <c r="D265" s="15">
        <f>IFERROR(__xludf.DUMMYFUNCTION("""COMPUTED_VALUE"""),-2.400836358446845)</f>
        <v>-2.400836358</v>
      </c>
      <c r="E265" s="15">
        <f>IFERROR(__xludf.DUMMYFUNCTION("""COMPUTED_VALUE"""),0.1890633454436208)</f>
        <v>0.1890633454</v>
      </c>
      <c r="F265" s="15">
        <f>IFERROR(__xludf.DUMMYFUNCTION("""COMPUTED_VALUE"""),-2.2117730130032243)</f>
        <v>-2.211773013</v>
      </c>
      <c r="G265" s="17">
        <f>IFERROR(__xludf.DUMMYFUNCTION("""COMPUTED_VALUE"""),-0.006791418814353269)</f>
        <v>-0.006791418814</v>
      </c>
      <c r="H265" s="4"/>
      <c r="I265" s="5" t="s">
        <v>3467</v>
      </c>
      <c r="J265" s="5" t="s">
        <v>2201</v>
      </c>
      <c r="K265" s="5">
        <v>342.0</v>
      </c>
      <c r="L265" s="5">
        <v>-2.2531</v>
      </c>
      <c r="M265" s="5">
        <v>-0.045533</v>
      </c>
      <c r="N265" s="5">
        <v>-2.298633</v>
      </c>
      <c r="O265" s="5">
        <v>-0.031201</v>
      </c>
    </row>
    <row r="266">
      <c r="A266" s="18" t="str">
        <f>IFERROR(__xludf.DUMMYFUNCTION("""COMPUTED_VALUE"""),"Anell Alexis")</f>
        <v>Anell Alexis</v>
      </c>
      <c r="B266" s="19" t="str">
        <f>IFERROR(__xludf.DUMMYFUNCTION("""COMPUTED_VALUE"""),"COBU")</f>
        <v>COBU</v>
      </c>
      <c r="C266" s="20">
        <f>IFERROR(__xludf.DUMMYFUNCTION("""COMPUTED_VALUE"""),491.7)</f>
        <v>491.7</v>
      </c>
      <c r="D266" s="21">
        <f>IFERROR(__xludf.DUMMYFUNCTION("""COMPUTED_VALUE"""),-1.7768378582592022)</f>
        <v>-1.776837858</v>
      </c>
      <c r="E266" s="21">
        <f>IFERROR(__xludf.DUMMYFUNCTION("""COMPUTED_VALUE"""),-0.438966003787012)</f>
        <v>-0.4389660038</v>
      </c>
      <c r="F266" s="21">
        <f>IFERROR(__xludf.DUMMYFUNCTION("""COMPUTED_VALUE"""),-2.215803862046214)</f>
        <v>-2.215803862</v>
      </c>
      <c r="G266" s="23">
        <f>IFERROR(__xludf.DUMMYFUNCTION("""COMPUTED_VALUE"""),-0.0322362871996622)</f>
        <v>-0.0322362872</v>
      </c>
      <c r="H266" s="4"/>
      <c r="I266" s="5" t="s">
        <v>3468</v>
      </c>
      <c r="J266" s="5" t="s">
        <v>3240</v>
      </c>
      <c r="K266" s="5">
        <v>77.0</v>
      </c>
      <c r="L266" s="5">
        <v>-1.962044</v>
      </c>
      <c r="M266" s="5">
        <v>-0.3436</v>
      </c>
      <c r="N266" s="5">
        <v>-2.305644</v>
      </c>
      <c r="O266" s="5">
        <v>-0.00713</v>
      </c>
    </row>
    <row r="267">
      <c r="A267" s="12" t="str">
        <f>IFERROR(__xludf.DUMMYFUNCTION("""COMPUTED_VALUE"""),"Yassin Debache")</f>
        <v>Yassin Debache</v>
      </c>
      <c r="B267" s="13" t="str">
        <f>IFERROR(__xludf.DUMMYFUNCTION("""COMPUTED_VALUE"""),"DRE")</f>
        <v>DRE</v>
      </c>
      <c r="C267" s="14">
        <f>IFERROR(__xludf.DUMMYFUNCTION("""COMPUTED_VALUE"""),121.1)</f>
        <v>121.1</v>
      </c>
      <c r="D267" s="15">
        <f>IFERROR(__xludf.DUMMYFUNCTION("""COMPUTED_VALUE"""),-1.6602851837940236)</f>
        <v>-1.660285184</v>
      </c>
      <c r="E267" s="15">
        <f>IFERROR(__xludf.DUMMYFUNCTION("""COMPUTED_VALUE"""),-0.5732904865049764)</f>
        <v>-0.5732904865</v>
      </c>
      <c r="F267" s="15">
        <f>IFERROR(__xludf.DUMMYFUNCTION("""COMPUTED_VALUE"""),-2.233575670299)</f>
        <v>-2.23357567</v>
      </c>
      <c r="G267" s="17">
        <f>IFERROR(__xludf.DUMMYFUNCTION("""COMPUTED_VALUE"""),-0.008542100817399739)</f>
        <v>-0.008542100817</v>
      </c>
      <c r="H267" s="4"/>
      <c r="I267" s="5" t="s">
        <v>3469</v>
      </c>
      <c r="J267" s="5" t="s">
        <v>3281</v>
      </c>
      <c r="K267" s="5">
        <v>508.0</v>
      </c>
      <c r="L267" s="5">
        <v>-2.612061</v>
      </c>
      <c r="M267" s="5">
        <v>0.296944</v>
      </c>
      <c r="N267" s="5">
        <v>-2.315116</v>
      </c>
      <c r="O267" s="5">
        <v>-0.048847</v>
      </c>
    </row>
    <row r="268">
      <c r="A268" s="18" t="str">
        <f>IFERROR(__xludf.DUMMYFUNCTION("""COMPUTED_VALUE"""),"Jordan Geary Muller")</f>
        <v>Jordan Geary Muller</v>
      </c>
      <c r="B268" s="19" t="str">
        <f>IFERROR(__xludf.DUMMYFUNCTION("""COMPUTED_VALUE"""),"RSV")</f>
        <v>RSV</v>
      </c>
      <c r="C268" s="20">
        <f>IFERROR(__xludf.DUMMYFUNCTION("""COMPUTED_VALUE"""),51.4)</f>
        <v>51.4</v>
      </c>
      <c r="D268" s="21">
        <f>IFERROR(__xludf.DUMMYFUNCTION("""COMPUTED_VALUE"""),-1.6697925741012873)</f>
        <v>-1.669792574</v>
      </c>
      <c r="E268" s="21">
        <f>IFERROR(__xludf.DUMMYFUNCTION("""COMPUTED_VALUE"""),-0.6097809104787897)</f>
        <v>-0.6097809105</v>
      </c>
      <c r="F268" s="21">
        <f>IFERROR(__xludf.DUMMYFUNCTION("""COMPUTED_VALUE"""),-2.279573484580077)</f>
        <v>-2.279573485</v>
      </c>
      <c r="G268" s="23">
        <f>IFERROR(__xludf.DUMMYFUNCTION("""COMPUTED_VALUE"""),-0.004365840627139146)</f>
        <v>-0.004365840627</v>
      </c>
      <c r="H268" s="4"/>
      <c r="I268" s="5" t="s">
        <v>3470</v>
      </c>
      <c r="J268" s="5" t="s">
        <v>2838</v>
      </c>
      <c r="K268" s="5">
        <v>486.0</v>
      </c>
      <c r="L268" s="5">
        <v>-3.00061</v>
      </c>
      <c r="M268" s="5">
        <v>0.666445</v>
      </c>
      <c r="N268" s="5">
        <v>-2.334165</v>
      </c>
      <c r="O268" s="5">
        <v>-0.048673</v>
      </c>
    </row>
    <row r="269">
      <c r="A269" s="12" t="str">
        <f>IFERROR(__xludf.DUMMYFUNCTION("""COMPUTED_VALUE"""),"Yasin Kolo")</f>
        <v>Yasin Kolo</v>
      </c>
      <c r="B269" s="13" t="str">
        <f>IFERROR(__xludf.DUMMYFUNCTION("""COMPUTED_VALUE"""),"ART")</f>
        <v>ART</v>
      </c>
      <c r="C269" s="14">
        <f>IFERROR(__xludf.DUMMYFUNCTION("""COMPUTED_VALUE"""),241.4)</f>
        <v>241.4</v>
      </c>
      <c r="D269" s="15">
        <f>IFERROR(__xludf.DUMMYFUNCTION("""COMPUTED_VALUE"""),-0.022934116163598816)</f>
        <v>-0.02293411616</v>
      </c>
      <c r="E269" s="15">
        <f>IFERROR(__xludf.DUMMYFUNCTION("""COMPUTED_VALUE"""),-2.2589901571800945)</f>
        <v>-2.258990157</v>
      </c>
      <c r="F269" s="15">
        <f>IFERROR(__xludf.DUMMYFUNCTION("""COMPUTED_VALUE"""),-2.2819242733436935)</f>
        <v>-2.281924273</v>
      </c>
      <c r="G269" s="17">
        <f>IFERROR(__xludf.DUMMYFUNCTION("""COMPUTED_VALUE"""),-0.020113140188621103)</f>
        <v>-0.02011314019</v>
      </c>
      <c r="H269" s="4"/>
      <c r="I269" s="5" t="s">
        <v>3471</v>
      </c>
      <c r="J269" s="5" t="s">
        <v>3210</v>
      </c>
      <c r="K269" s="24">
        <v>448.0</v>
      </c>
      <c r="L269" s="5">
        <v>-2.242264</v>
      </c>
      <c r="M269" s="5">
        <v>-0.09372</v>
      </c>
      <c r="N269" s="5">
        <v>-2.335984</v>
      </c>
      <c r="O269" s="5">
        <v>-0.045252</v>
      </c>
    </row>
    <row r="270">
      <c r="A270" s="18" t="str">
        <f>IFERROR(__xludf.DUMMYFUNCTION("""COMPUTED_VALUE"""),"Salman Manzur")</f>
        <v>Salman Manzur</v>
      </c>
      <c r="B270" s="19" t="str">
        <f>IFERROR(__xludf.DUMMYFUNCTION("""COMPUTED_VALUE"""),"SHA")</f>
        <v>SHA</v>
      </c>
      <c r="C270" s="20">
        <f>IFERROR(__xludf.DUMMYFUNCTION("""COMPUTED_VALUE"""),342.1)</f>
        <v>342.1</v>
      </c>
      <c r="D270" s="21">
        <f>IFERROR(__xludf.DUMMYFUNCTION("""COMPUTED_VALUE"""),-2.2904362623942545)</f>
        <v>-2.290436262</v>
      </c>
      <c r="E270" s="21">
        <f>IFERROR(__xludf.DUMMYFUNCTION("""COMPUTED_VALUE"""),-0.008196551576669542)</f>
        <v>-0.008196551577</v>
      </c>
      <c r="F270" s="21">
        <f>IFERROR(__xludf.DUMMYFUNCTION("""COMPUTED_VALUE"""),-2.298632813970924)</f>
        <v>-2.298632814</v>
      </c>
      <c r="G270" s="23">
        <f>IFERROR(__xludf.DUMMYFUNCTION("""COMPUTED_VALUE"""),-0.031201120252580015)</f>
        <v>-0.03120112025</v>
      </c>
      <c r="H270" s="4"/>
      <c r="I270" s="5" t="s">
        <v>3472</v>
      </c>
      <c r="J270" s="5" t="s">
        <v>3251</v>
      </c>
      <c r="K270" s="5">
        <v>118.0</v>
      </c>
      <c r="L270" s="5">
        <v>-1.575285</v>
      </c>
      <c r="M270" s="5">
        <v>-0.76763</v>
      </c>
      <c r="N270" s="5">
        <v>-2.342916</v>
      </c>
      <c r="O270" s="5">
        <v>-0.012272</v>
      </c>
    </row>
    <row r="271">
      <c r="A271" s="12" t="str">
        <f>IFERROR(__xludf.DUMMYFUNCTION("""COMPUTED_VALUE"""),"Bruno Vrcic")</f>
        <v>Bruno Vrcic</v>
      </c>
      <c r="B271" s="13" t="str">
        <f>IFERROR(__xludf.DUMMYFUNCTION("""COMPUTED_VALUE"""),"MUNII")</f>
        <v>MUNII</v>
      </c>
      <c r="C271" s="14">
        <f>IFERROR(__xludf.DUMMYFUNCTION("""COMPUTED_VALUE"""),76.5)</f>
        <v>76.5</v>
      </c>
      <c r="D271" s="15">
        <f>IFERROR(__xludf.DUMMYFUNCTION("""COMPUTED_VALUE"""),-1.9715647934928446)</f>
        <v>-1.971564793</v>
      </c>
      <c r="E271" s="15">
        <f>IFERROR(__xludf.DUMMYFUNCTION("""COMPUTED_VALUE"""),-0.3340790865836536)</f>
        <v>-0.3340790866</v>
      </c>
      <c r="F271" s="15">
        <f>IFERROR(__xludf.DUMMYFUNCTION("""COMPUTED_VALUE"""),-2.3056438800764982)</f>
        <v>-2.30564388</v>
      </c>
      <c r="G271" s="17">
        <f>IFERROR(__xludf.DUMMYFUNCTION("""COMPUTED_VALUE"""),-0.007130112279328359)</f>
        <v>-0.007130112279</v>
      </c>
      <c r="H271" s="4"/>
      <c r="I271" s="5" t="s">
        <v>3473</v>
      </c>
      <c r="J271" s="5" t="s">
        <v>2201</v>
      </c>
      <c r="K271" s="5">
        <v>83.0</v>
      </c>
      <c r="L271" s="5">
        <v>-2.282745</v>
      </c>
      <c r="M271" s="5">
        <v>-0.15631</v>
      </c>
      <c r="N271" s="5">
        <v>-2.439055</v>
      </c>
      <c r="O271" s="5">
        <v>-0.011089</v>
      </c>
    </row>
    <row r="272">
      <c r="A272" s="18" t="str">
        <f>IFERROR(__xludf.DUMMYFUNCTION("""COMPUTED_VALUE"""),"Mario Blessing")</f>
        <v>Mario Blessing</v>
      </c>
      <c r="B272" s="19" t="str">
        <f>IFERROR(__xludf.DUMMYFUNCTION("""COMPUTED_VALUE"""),"RIST")</f>
        <v>RIST</v>
      </c>
      <c r="C272" s="20">
        <f>IFERROR(__xludf.DUMMYFUNCTION("""COMPUTED_VALUE"""),508.4)</f>
        <v>508.4</v>
      </c>
      <c r="D272" s="21">
        <f>IFERROR(__xludf.DUMMYFUNCTION("""COMPUTED_VALUE"""),-2.649396633286717)</f>
        <v>-2.649396633</v>
      </c>
      <c r="E272" s="21">
        <f>IFERROR(__xludf.DUMMYFUNCTION("""COMPUTED_VALUE"""),0.3342801701901954)</f>
        <v>0.3342801702</v>
      </c>
      <c r="F272" s="21">
        <f>IFERROR(__xludf.DUMMYFUNCTION("""COMPUTED_VALUE"""),-2.3151164630965217)</f>
        <v>-2.315116463</v>
      </c>
      <c r="G272" s="23">
        <f>IFERROR(__xludf.DUMMYFUNCTION("""COMPUTED_VALUE"""),-0.04884667005181657)</f>
        <v>-0.04884667005</v>
      </c>
      <c r="H272" s="4"/>
      <c r="I272" s="5" t="s">
        <v>3474</v>
      </c>
      <c r="J272" s="5" t="s">
        <v>3215</v>
      </c>
      <c r="K272" s="5">
        <v>110.0</v>
      </c>
      <c r="L272" s="5">
        <v>-2.71702</v>
      </c>
      <c r="M272" s="5">
        <v>0.229508</v>
      </c>
      <c r="N272" s="5">
        <v>-2.487513</v>
      </c>
      <c r="O272" s="5">
        <v>-0.016298</v>
      </c>
    </row>
    <row r="273">
      <c r="A273" s="12" t="str">
        <f>IFERROR(__xludf.DUMMYFUNCTION("""COMPUTED_VALUE"""),"David Stachanczyk")</f>
        <v>David Stachanczyk</v>
      </c>
      <c r="B273" s="13" t="str">
        <f>IFERROR(__xludf.DUMMYFUNCTION("""COMPUTED_VALUE"""),"AST")</f>
        <v>AST</v>
      </c>
      <c r="C273" s="14">
        <f>IFERROR(__xludf.DUMMYFUNCTION("""COMPUTED_VALUE"""),486.2)</f>
        <v>486.2</v>
      </c>
      <c r="D273" s="15">
        <f>IFERROR(__xludf.DUMMYFUNCTION("""COMPUTED_VALUE"""),-3.0379464710867325)</f>
        <v>-3.037946471</v>
      </c>
      <c r="E273" s="15">
        <f>IFERROR(__xludf.DUMMYFUNCTION("""COMPUTED_VALUE"""),0.7037813325447151)</f>
        <v>0.7037813325</v>
      </c>
      <c r="F273" s="15">
        <f>IFERROR(__xludf.DUMMYFUNCTION("""COMPUTED_VALUE"""),-2.3341651385420175)</f>
        <v>-2.334165139</v>
      </c>
      <c r="G273" s="17">
        <f>IFERROR(__xludf.DUMMYFUNCTION("""COMPUTED_VALUE"""),-0.04867339295785321)</f>
        <v>-0.04867339296</v>
      </c>
      <c r="H273" s="4"/>
      <c r="I273" s="5" t="s">
        <v>3475</v>
      </c>
      <c r="J273" s="5" t="s">
        <v>3237</v>
      </c>
      <c r="K273" s="5">
        <v>62.0</v>
      </c>
      <c r="L273" s="5">
        <v>-1.737551</v>
      </c>
      <c r="M273" s="5">
        <v>-0.763448</v>
      </c>
      <c r="N273" s="5">
        <v>-2.501</v>
      </c>
      <c r="O273" s="5">
        <v>-0.010446</v>
      </c>
    </row>
    <row r="274">
      <c r="A274" s="18" t="str">
        <f>IFERROR(__xludf.DUMMYFUNCTION("""COMPUTED_VALUE"""),"Josh Dahmen")</f>
        <v>Josh Dahmen</v>
      </c>
      <c r="B274" s="19" t="str">
        <f>IFERROR(__xludf.DUMMYFUNCTION("""COMPUTED_VALUE"""),"ISER")</f>
        <v>ISER</v>
      </c>
      <c r="C274" s="20">
        <f>IFERROR(__xludf.DUMMYFUNCTION("""COMPUTED_VALUE"""),447.6)</f>
        <v>447.6</v>
      </c>
      <c r="D274" s="21">
        <f>IFERROR(__xludf.DUMMYFUNCTION("""COMPUTED_VALUE"""),-2.2796000537033567)</f>
        <v>-2.279600054</v>
      </c>
      <c r="E274" s="21">
        <f>IFERROR(__xludf.DUMMYFUNCTION("""COMPUTED_VALUE"""),-0.05638385902054077)</f>
        <v>-0.05638385902</v>
      </c>
      <c r="F274" s="21">
        <f>IFERROR(__xludf.DUMMYFUNCTION("""COMPUTED_VALUE"""),-2.3359839127238975)</f>
        <v>-2.335983913</v>
      </c>
      <c r="G274" s="23">
        <f>IFERROR(__xludf.DUMMYFUNCTION("""COMPUTED_VALUE"""),-0.04525154514587359)</f>
        <v>-0.04525154515</v>
      </c>
      <c r="H274" s="4"/>
      <c r="I274" s="5" t="s">
        <v>3476</v>
      </c>
      <c r="J274" s="5" t="s">
        <v>3226</v>
      </c>
      <c r="K274" s="5">
        <v>342.0</v>
      </c>
      <c r="L274" s="5">
        <v>-2.454833</v>
      </c>
      <c r="M274" s="5">
        <v>-0.066754</v>
      </c>
      <c r="N274" s="5">
        <v>-2.521587</v>
      </c>
      <c r="O274" s="5">
        <v>-0.054463</v>
      </c>
    </row>
    <row r="275">
      <c r="A275" s="12" t="str">
        <f>IFERROR(__xludf.DUMMYFUNCTION("""COMPUTED_VALUE"""),"Matthias Fichtner")</f>
        <v>Matthias Fichtner</v>
      </c>
      <c r="B275" s="13" t="str">
        <f>IFERROR(__xludf.DUMMYFUNCTION("""COMPUTED_VALUE"""),"COBU")</f>
        <v>COBU</v>
      </c>
      <c r="C275" s="14">
        <f>IFERROR(__xludf.DUMMYFUNCTION("""COMPUTED_VALUE"""),117.8)</f>
        <v>117.8</v>
      </c>
      <c r="D275" s="15">
        <f>IFERROR(__xludf.DUMMYFUNCTION("""COMPUTED_VALUE"""),-1.5899458688379386)</f>
        <v>-1.589945869</v>
      </c>
      <c r="E275" s="15">
        <f>IFERROR(__xludf.DUMMYFUNCTION("""COMPUTED_VALUE"""),-0.7529696665025734)</f>
        <v>-0.7529696665</v>
      </c>
      <c r="F275" s="15">
        <f>IFERROR(__xludf.DUMMYFUNCTION("""COMPUTED_VALUE"""),-2.342915535340512)</f>
        <v>-2.342915535</v>
      </c>
      <c r="G275" s="17">
        <f>IFERROR(__xludf.DUMMYFUNCTION("""COMPUTED_VALUE"""),-0.01227207629515959)</f>
        <v>-0.0122720763</v>
      </c>
      <c r="H275" s="4"/>
      <c r="I275" s="5" t="s">
        <v>3065</v>
      </c>
      <c r="J275" s="5" t="s">
        <v>3281</v>
      </c>
      <c r="K275" s="5">
        <v>307.0</v>
      </c>
      <c r="L275" s="5">
        <v>-3.415105</v>
      </c>
      <c r="M275" s="5">
        <v>0.848347</v>
      </c>
      <c r="N275" s="5">
        <v>-2.566758</v>
      </c>
      <c r="O275" s="5">
        <v>-0.053103</v>
      </c>
    </row>
    <row r="276">
      <c r="A276" s="18" t="str">
        <f>IFERROR(__xludf.DUMMYFUNCTION("""COMPUTED_VALUE"""),"Jonas Peters")</f>
        <v>Jonas Peters</v>
      </c>
      <c r="B276" s="19" t="str">
        <f>IFERROR(__xludf.DUMMYFUNCTION("""COMPUTED_VALUE"""),"SHA")</f>
        <v>SHA</v>
      </c>
      <c r="C276" s="20">
        <f>IFERROR(__xludf.DUMMYFUNCTION("""COMPUTED_VALUE"""),82.7)</f>
        <v>82.7</v>
      </c>
      <c r="D276" s="21">
        <f>IFERROR(__xludf.DUMMYFUNCTION("""COMPUTED_VALUE"""),-2.2930369161540836)</f>
        <v>-2.293036916</v>
      </c>
      <c r="E276" s="21">
        <f>IFERROR(__xludf.DUMMYFUNCTION("""COMPUTED_VALUE"""),-0.1460179338848464)</f>
        <v>-0.1460179339</v>
      </c>
      <c r="F276" s="21">
        <f>IFERROR(__xludf.DUMMYFUNCTION("""COMPUTED_VALUE"""),-2.43905485003893)</f>
        <v>-2.43905485</v>
      </c>
      <c r="G276" s="23">
        <f>IFERROR(__xludf.DUMMYFUNCTION("""COMPUTED_VALUE"""),-0.011089293423097854)</f>
        <v>-0.01108929342</v>
      </c>
      <c r="H276" s="4"/>
      <c r="I276" s="5" t="s">
        <v>3477</v>
      </c>
      <c r="J276" s="5" t="s">
        <v>3283</v>
      </c>
      <c r="K276" s="5">
        <v>569.0</v>
      </c>
      <c r="L276" s="5">
        <v>-0.577801</v>
      </c>
      <c r="M276" s="5">
        <v>-1.997607</v>
      </c>
      <c r="N276" s="5">
        <v>-2.575408</v>
      </c>
      <c r="O276" s="5">
        <v>-0.099489</v>
      </c>
    </row>
    <row r="277">
      <c r="A277" s="12" t="str">
        <f>IFERROR(__xludf.DUMMYFUNCTION("""COMPUTED_VALUE"""),"Moritz Bothe")</f>
        <v>Moritz Bothe</v>
      </c>
      <c r="B277" s="13" t="str">
        <f>IFERROR(__xludf.DUMMYFUNCTION("""COMPUTED_VALUE"""),"WOLF")</f>
        <v>WOLF</v>
      </c>
      <c r="C277" s="14">
        <f>IFERROR(__xludf.DUMMYFUNCTION("""COMPUTED_VALUE"""),110.1)</f>
        <v>110.1</v>
      </c>
      <c r="D277" s="15">
        <f>IFERROR(__xludf.DUMMYFUNCTION("""COMPUTED_VALUE"""),-2.7307225833433653)</f>
        <v>-2.730722583</v>
      </c>
      <c r="E277" s="15">
        <f>IFERROR(__xludf.DUMMYFUNCTION("""COMPUTED_VALUE"""),0.24320990663790099)</f>
        <v>0.2432099066</v>
      </c>
      <c r="F277" s="15">
        <f>IFERROR(__xludf.DUMMYFUNCTION("""COMPUTED_VALUE"""),-2.4875126767054643)</f>
        <v>-2.487512677</v>
      </c>
      <c r="G277" s="17">
        <f>IFERROR(__xludf.DUMMYFUNCTION("""COMPUTED_VALUE"""),-0.016298275130380603)</f>
        <v>-0.01629827513</v>
      </c>
      <c r="H277" s="4"/>
      <c r="I277" s="5" t="s">
        <v>3478</v>
      </c>
      <c r="J277" s="5" t="s">
        <v>3217</v>
      </c>
      <c r="K277" s="5">
        <v>579.0</v>
      </c>
      <c r="L277" s="5">
        <v>-3.084038</v>
      </c>
      <c r="M277" s="5">
        <v>0.508137</v>
      </c>
      <c r="N277" s="5">
        <v>-2.575901</v>
      </c>
      <c r="O277" s="5">
        <v>-0.100321</v>
      </c>
    </row>
    <row r="278">
      <c r="A278" s="18" t="str">
        <f>IFERROR(__xludf.DUMMYFUNCTION("""COMPUTED_VALUE"""),"Arnau Triginer")</f>
        <v>Arnau Triginer</v>
      </c>
      <c r="B278" s="19" t="str">
        <f>IFERROR(__xludf.DUMMYFUNCTION("""COMPUTED_VALUE"""),"CUX")</f>
        <v>CUX</v>
      </c>
      <c r="C278" s="20">
        <f>IFERROR(__xludf.DUMMYFUNCTION("""COMPUTED_VALUE"""),61.8)</f>
        <v>61.8</v>
      </c>
      <c r="D278" s="21">
        <f>IFERROR(__xludf.DUMMYFUNCTION("""COMPUTED_VALUE"""),-1.7452426945658124)</f>
        <v>-1.745242695</v>
      </c>
      <c r="E278" s="21">
        <f>IFERROR(__xludf.DUMMYFUNCTION("""COMPUTED_VALUE"""),-0.7557569471376844)</f>
        <v>-0.7557569471</v>
      </c>
      <c r="F278" s="21">
        <f>IFERROR(__xludf.DUMMYFUNCTION("""COMPUTED_VALUE"""),-2.5009996417034968)</f>
        <v>-2.500999642</v>
      </c>
      <c r="G278" s="23">
        <f>IFERROR(__xludf.DUMMYFUNCTION("""COMPUTED_VALUE"""),-0.010445918773134475)</f>
        <v>-0.01044591877</v>
      </c>
      <c r="H278" s="4"/>
      <c r="I278" s="5" t="s">
        <v>3479</v>
      </c>
      <c r="J278" s="5" t="s">
        <v>3263</v>
      </c>
      <c r="K278" s="5">
        <v>311.0</v>
      </c>
      <c r="L278" s="5">
        <v>-0.881069</v>
      </c>
      <c r="M278" s="5">
        <v>-1.715344</v>
      </c>
      <c r="N278" s="5">
        <v>-2.596413</v>
      </c>
      <c r="O278" s="5">
        <v>-0.055784</v>
      </c>
    </row>
    <row r="279">
      <c r="A279" s="12" t="str">
        <f>IFERROR(__xludf.DUMMYFUNCTION("""COMPUTED_VALUE"""),"Badu Buck")</f>
        <v>Badu Buck</v>
      </c>
      <c r="B279" s="13" t="str">
        <f>IFERROR(__xludf.DUMMYFUNCTION("""COMPUTED_VALUE"""),"SSV")</f>
        <v>SSV</v>
      </c>
      <c r="C279" s="14">
        <f>IFERROR(__xludf.DUMMYFUNCTION("""COMPUTED_VALUE"""),342.2)</f>
        <v>342.2</v>
      </c>
      <c r="D279" s="15">
        <f>IFERROR(__xludf.DUMMYFUNCTION("""COMPUTED_VALUE"""),-2.492169127824445)</f>
        <v>-2.492169128</v>
      </c>
      <c r="E279" s="15">
        <f>IFERROR(__xludf.DUMMYFUNCTION("""COMPUTED_VALUE"""),-0.029417996752481024)</f>
        <v>-0.02941799675</v>
      </c>
      <c r="F279" s="15">
        <f>IFERROR(__xludf.DUMMYFUNCTION("""COMPUTED_VALUE"""),-2.521587124576926)</f>
        <v>-2.521587125</v>
      </c>
      <c r="G279" s="17">
        <f>IFERROR(__xludf.DUMMYFUNCTION("""COMPUTED_VALUE"""),-0.05446332381375271)</f>
        <v>-0.05446332381</v>
      </c>
      <c r="H279" s="4"/>
      <c r="I279" s="5" t="s">
        <v>1165</v>
      </c>
      <c r="J279" s="5" t="s">
        <v>3263</v>
      </c>
      <c r="K279" s="5">
        <v>98.0</v>
      </c>
      <c r="L279" s="5">
        <v>-1.183657</v>
      </c>
      <c r="M279" s="5">
        <v>-1.437267</v>
      </c>
      <c r="N279" s="5">
        <v>-2.620925</v>
      </c>
      <c r="O279" s="5">
        <v>-0.018233</v>
      </c>
    </row>
    <row r="280">
      <c r="A280" s="18" t="str">
        <f>IFERROR(__xludf.DUMMYFUNCTION("""COMPUTED_VALUE"""),"Rich Igbineweka")</f>
        <v>Rich Igbineweka</v>
      </c>
      <c r="B280" s="19" t="str">
        <f>IFERROR(__xludf.DUMMYFUNCTION("""COMPUTED_VALUE"""),"RIST")</f>
        <v>RIST</v>
      </c>
      <c r="C280" s="20">
        <f>IFERROR(__xludf.DUMMYFUNCTION("""COMPUTED_VALUE"""),307.3)</f>
        <v>307.3</v>
      </c>
      <c r="D280" s="21">
        <f>IFERROR(__xludf.DUMMYFUNCTION("""COMPUTED_VALUE"""),-3.452440691135201)</f>
        <v>-3.452440691</v>
      </c>
      <c r="E280" s="21">
        <f>IFERROR(__xludf.DUMMYFUNCTION("""COMPUTED_VALUE"""),0.8856829736314116)</f>
        <v>0.8856829736</v>
      </c>
      <c r="F280" s="21">
        <f>IFERROR(__xludf.DUMMYFUNCTION("""COMPUTED_VALUE"""),-2.5667577175037892)</f>
        <v>-2.566757718</v>
      </c>
      <c r="G280" s="23">
        <f>IFERROR(__xludf.DUMMYFUNCTION("""COMPUTED_VALUE"""),-0.053102911167546854)</f>
        <v>-0.05310291117</v>
      </c>
      <c r="H280" s="4"/>
      <c r="I280" s="5" t="s">
        <v>3480</v>
      </c>
      <c r="J280" s="5" t="s">
        <v>3283</v>
      </c>
      <c r="K280" s="5">
        <v>140.0</v>
      </c>
      <c r="L280" s="5">
        <v>-1.6226</v>
      </c>
      <c r="M280" s="5">
        <v>-1.005716</v>
      </c>
      <c r="N280" s="5">
        <v>-2.628315</v>
      </c>
      <c r="O280" s="5">
        <v>-0.026763</v>
      </c>
    </row>
    <row r="281">
      <c r="A281" s="12" t="str">
        <f>IFERROR(__xludf.DUMMYFUNCTION("""COMPUTED_VALUE"""),"Julius Stahl")</f>
        <v>Julius Stahl</v>
      </c>
      <c r="B281" s="13" t="str">
        <f>IFERROR(__xludf.DUMMYFUNCTION("""COMPUTED_VALUE"""),"RSV")</f>
        <v>RSV</v>
      </c>
      <c r="C281" s="14">
        <f>IFERROR(__xludf.DUMMYFUNCTION("""COMPUTED_VALUE"""),569.1)</f>
        <v>569.1</v>
      </c>
      <c r="D281" s="15">
        <f>IFERROR(__xludf.DUMMYFUNCTION("""COMPUTED_VALUE"""),-0.6151373312452015)</f>
        <v>-0.6151373312</v>
      </c>
      <c r="E281" s="15">
        <f>IFERROR(__xludf.DUMMYFUNCTION("""COMPUTED_VALUE"""),-1.960271159848894)</f>
        <v>-1.96027116</v>
      </c>
      <c r="F281" s="15">
        <f>IFERROR(__xludf.DUMMYFUNCTION("""COMPUTED_VALUE"""),-2.5754084910940955)</f>
        <v>-2.575408491</v>
      </c>
      <c r="G281" s="17">
        <f>IFERROR(__xludf.DUMMYFUNCTION("""COMPUTED_VALUE"""),-0.09948867144313495)</f>
        <v>-0.09948867144</v>
      </c>
      <c r="H281" s="4"/>
      <c r="I281" s="5" t="s">
        <v>3481</v>
      </c>
      <c r="J281" s="5" t="s">
        <v>3233</v>
      </c>
      <c r="K281" s="5">
        <v>93.0</v>
      </c>
      <c r="L281" s="5">
        <v>-1.530837</v>
      </c>
      <c r="M281" s="5">
        <v>-1.121027</v>
      </c>
      <c r="N281" s="5">
        <v>-2.651864</v>
      </c>
      <c r="O281" s="5">
        <v>-0.01782</v>
      </c>
    </row>
    <row r="282">
      <c r="A282" s="18" t="str">
        <f>IFERROR(__xludf.DUMMYFUNCTION("""COMPUTED_VALUE"""),"Leo Vrkas")</f>
        <v>Leo Vrkas</v>
      </c>
      <c r="B282" s="19" t="str">
        <f>IFERROR(__xludf.DUMMYFUNCTION("""COMPUTED_VALUE"""),"GIES")</f>
        <v>GIES</v>
      </c>
      <c r="C282" s="20">
        <f>IFERROR(__xludf.DUMMYFUNCTION("""COMPUTED_VALUE"""),578.8)</f>
        <v>578.8</v>
      </c>
      <c r="D282" s="21">
        <f>IFERROR(__xludf.DUMMYFUNCTION("""COMPUTED_VALUE"""),-3.1213737286611516)</f>
        <v>-3.121373729</v>
      </c>
      <c r="E282" s="21">
        <f>IFERROR(__xludf.DUMMYFUNCTION("""COMPUTED_VALUE"""),0.5454725656671919)</f>
        <v>0.5454725657</v>
      </c>
      <c r="F282" s="21">
        <f>IFERROR(__xludf.DUMMYFUNCTION("""COMPUTED_VALUE"""),-2.5759011629939597)</f>
        <v>-2.575901163</v>
      </c>
      <c r="G282" s="23">
        <f>IFERROR(__xludf.DUMMYFUNCTION("""COMPUTED_VALUE"""),-0.10032130870058265)</f>
        <v>-0.1003213087</v>
      </c>
      <c r="H282" s="4"/>
      <c r="I282" s="5" t="s">
        <v>930</v>
      </c>
      <c r="J282" s="5" t="s">
        <v>3256</v>
      </c>
      <c r="K282" s="5">
        <v>419.0</v>
      </c>
      <c r="L282" s="5">
        <v>-4.45482</v>
      </c>
      <c r="M282" s="5">
        <v>1.764793</v>
      </c>
      <c r="N282" s="5">
        <v>-2.690027</v>
      </c>
      <c r="O282" s="5">
        <v>-0.087771</v>
      </c>
    </row>
    <row r="283">
      <c r="A283" s="12" t="str">
        <f>IFERROR(__xludf.DUMMYFUNCTION("""COMPUTED_VALUE"""),"Cosmo Gruehn")</f>
        <v>Cosmo Gruehn</v>
      </c>
      <c r="B283" s="13" t="str">
        <f>IFERROR(__xludf.DUMMYFUNCTION("""COMPUTED_VALUE"""),"JR")</f>
        <v>JR</v>
      </c>
      <c r="C283" s="14">
        <f>IFERROR(__xludf.DUMMYFUNCTION("""COMPUTED_VALUE"""),311.2)</f>
        <v>311.2</v>
      </c>
      <c r="D283" s="15">
        <f>IFERROR(__xludf.DUMMYFUNCTION("""COMPUTED_VALUE"""),-0.9184052288320548)</f>
        <v>-0.9184052288</v>
      </c>
      <c r="E283" s="15">
        <f>IFERROR(__xludf.DUMMYFUNCTION("""COMPUTED_VALUE"""),-1.6780077715846093)</f>
        <v>-1.678007772</v>
      </c>
      <c r="F283" s="15">
        <f>IFERROR(__xludf.DUMMYFUNCTION("""COMPUTED_VALUE"""),-2.596413000416664)</f>
        <v>-2.596413</v>
      </c>
      <c r="G283" s="17">
        <f>IFERROR(__xludf.DUMMYFUNCTION("""COMPUTED_VALUE"""),-0.055784323179527764)</f>
        <v>-0.05578432318</v>
      </c>
      <c r="H283" s="4"/>
      <c r="I283" s="5" t="s">
        <v>3482</v>
      </c>
      <c r="J283" s="5" t="s">
        <v>3278</v>
      </c>
      <c r="K283" s="5">
        <v>185.0</v>
      </c>
      <c r="L283" s="5">
        <v>-0.482759</v>
      </c>
      <c r="M283" s="5">
        <v>-2.273796</v>
      </c>
      <c r="N283" s="5">
        <v>-2.756556</v>
      </c>
      <c r="O283" s="5">
        <v>-0.042222</v>
      </c>
    </row>
    <row r="284">
      <c r="A284" s="18" t="str">
        <f>IFERROR(__xludf.DUMMYFUNCTION("""COMPUTED_VALUE"""),"Niklas Kiel")</f>
        <v>Niklas Kiel</v>
      </c>
      <c r="B284" s="19" t="str">
        <f>IFERROR(__xludf.DUMMYFUNCTION("""COMPUTED_VALUE"""),"JR")</f>
        <v>JR</v>
      </c>
      <c r="C284" s="20">
        <f>IFERROR(__xludf.DUMMYFUNCTION("""COMPUTED_VALUE"""),97.7)</f>
        <v>97.7</v>
      </c>
      <c r="D284" s="21">
        <f>IFERROR(__xludf.DUMMYFUNCTION("""COMPUTED_VALUE"""),-1.1958164689940296)</f>
        <v>-1.195816469</v>
      </c>
      <c r="E284" s="21">
        <f>IFERROR(__xludf.DUMMYFUNCTION("""COMPUTED_VALUE"""),-1.4251083005228695)</f>
        <v>-1.425108301</v>
      </c>
      <c r="F284" s="21">
        <f>IFERROR(__xludf.DUMMYFUNCTION("""COMPUTED_VALUE"""),-2.620924769516899)</f>
        <v>-2.62092477</v>
      </c>
      <c r="G284" s="23">
        <f>IFERROR(__xludf.DUMMYFUNCTION("""COMPUTED_VALUE"""),-0.018233037572692803)</f>
        <v>-0.01823303757</v>
      </c>
      <c r="H284" s="4"/>
      <c r="I284" s="5" t="s">
        <v>3483</v>
      </c>
      <c r="J284" s="5" t="s">
        <v>3263</v>
      </c>
      <c r="K284" s="24">
        <v>183.0</v>
      </c>
      <c r="L284" s="5">
        <v>-2.157038</v>
      </c>
      <c r="M284" s="5">
        <v>-0.609595</v>
      </c>
      <c r="N284" s="5">
        <v>-2.766632</v>
      </c>
      <c r="O284" s="5">
        <v>-0.042189</v>
      </c>
    </row>
    <row r="285">
      <c r="A285" s="12" t="str">
        <f>IFERROR(__xludf.DUMMYFUNCTION("""COMPUTED_VALUE"""),"Aner Levron")</f>
        <v>Aner Levron</v>
      </c>
      <c r="B285" s="13" t="str">
        <f>IFERROR(__xludf.DUMMYFUNCTION("""COMPUTED_VALUE"""),"RSV")</f>
        <v>RSV</v>
      </c>
      <c r="C285" s="14">
        <f>IFERROR(__xludf.DUMMYFUNCTION("""COMPUTED_VALUE"""),140.2)</f>
        <v>140.2</v>
      </c>
      <c r="D285" s="15">
        <f>IFERROR(__xludf.DUMMYFUNCTION("""COMPUTED_VALUE"""),-1.6400479033826159)</f>
        <v>-1.640047903</v>
      </c>
      <c r="E285" s="15">
        <f>IFERROR(__xludf.DUMMYFUNCTION("""COMPUTED_VALUE"""),-0.988267365591105)</f>
        <v>-0.9882673656</v>
      </c>
      <c r="F285" s="15">
        <f>IFERROR(__xludf.DUMMYFUNCTION("""COMPUTED_VALUE"""),-2.628315268973721)</f>
        <v>-2.628315269</v>
      </c>
      <c r="G285" s="17">
        <f>IFERROR(__xludf.DUMMYFUNCTION("""COMPUTED_VALUE"""),-0.026762976141466954)</f>
        <v>-0.02676297614</v>
      </c>
      <c r="H285" s="4"/>
      <c r="I285" s="5" t="s">
        <v>3484</v>
      </c>
      <c r="J285" s="5" t="s">
        <v>3233</v>
      </c>
      <c r="K285" s="5">
        <v>271.0</v>
      </c>
      <c r="L285" s="5">
        <v>-1.61059</v>
      </c>
      <c r="M285" s="5">
        <v>-1.225871</v>
      </c>
      <c r="N285" s="5">
        <v>-2.836461</v>
      </c>
      <c r="O285" s="5">
        <v>-0.066893</v>
      </c>
    </row>
    <row r="286">
      <c r="A286" s="18" t="str">
        <f>IFERROR(__xludf.DUMMYFUNCTION("""COMPUTED_VALUE"""),"Till Isemann")</f>
        <v>Till Isemann</v>
      </c>
      <c r="B286" s="19" t="str">
        <f>IFERROR(__xludf.DUMMYFUNCTION("""COMPUTED_VALUE"""),"OTB")</f>
        <v>OTB</v>
      </c>
      <c r="C286" s="20">
        <f>IFERROR(__xludf.DUMMYFUNCTION("""COMPUTED_VALUE"""),419.1)</f>
        <v>419.1</v>
      </c>
      <c r="D286" s="21">
        <f>IFERROR(__xludf.DUMMYFUNCTION("""COMPUTED_VALUE"""),-4.492156405239999)</f>
        <v>-4.492156405</v>
      </c>
      <c r="E286" s="21">
        <f>IFERROR(__xludf.DUMMYFUNCTION("""COMPUTED_VALUE"""),1.8021289872015966)</f>
        <v>1.802128987</v>
      </c>
      <c r="F286" s="21">
        <f>IFERROR(__xludf.DUMMYFUNCTION("""COMPUTED_VALUE"""),-2.6900274180384027)</f>
        <v>-2.690027418</v>
      </c>
      <c r="G286" s="23">
        <f>IFERROR(__xludf.DUMMYFUNCTION("""COMPUTED_VALUE"""),-0.08777103437353428)</f>
        <v>-0.08777103437</v>
      </c>
      <c r="H286" s="4"/>
      <c r="I286" s="5" t="s">
        <v>3485</v>
      </c>
      <c r="J286" s="5" t="s">
        <v>3256</v>
      </c>
      <c r="K286" s="5">
        <v>317.0</v>
      </c>
      <c r="L286" s="5">
        <v>-2.180145</v>
      </c>
      <c r="M286" s="5">
        <v>-0.722607</v>
      </c>
      <c r="N286" s="5">
        <v>-2.902752</v>
      </c>
      <c r="O286" s="5">
        <v>-0.086773</v>
      </c>
    </row>
    <row r="287">
      <c r="A287" s="12" t="str">
        <f>IFERROR(__xludf.DUMMYFUNCTION("""COMPUTED_VALUE"""),"Steven Bennett")</f>
        <v>Steven Bennett</v>
      </c>
      <c r="B287" s="13" t="str">
        <f>IFERROR(__xludf.DUMMYFUNCTION("""COMPUTED_VALUE"""),"DRE")</f>
        <v>DRE</v>
      </c>
      <c r="C287" s="14">
        <f>IFERROR(__xludf.DUMMYFUNCTION("""COMPUTED_VALUE"""),184.8)</f>
        <v>184.8</v>
      </c>
      <c r="D287" s="15">
        <f>IFERROR(__xludf.DUMMYFUNCTION("""COMPUTED_VALUE"""),-0.505758484963776)</f>
        <v>-0.505758485</v>
      </c>
      <c r="E287" s="15">
        <f>IFERROR(__xludf.DUMMYFUNCTION("""COMPUTED_VALUE"""),-2.250797028944537)</f>
        <v>-2.250797029</v>
      </c>
      <c r="F287" s="15">
        <f>IFERROR(__xludf.DUMMYFUNCTION("""COMPUTED_VALUE"""),-2.756555513908313)</f>
        <v>-2.756555514</v>
      </c>
      <c r="G287" s="17">
        <f>IFERROR(__xludf.DUMMYFUNCTION("""COMPUTED_VALUE"""),-0.0422216998036327)</f>
        <v>-0.0422216998</v>
      </c>
      <c r="H287" s="4"/>
      <c r="I287" s="5" t="s">
        <v>3486</v>
      </c>
      <c r="J287" s="5" t="s">
        <v>3283</v>
      </c>
      <c r="K287" s="5">
        <v>92.0</v>
      </c>
      <c r="L287" s="5">
        <v>-2.150085</v>
      </c>
      <c r="M287" s="5">
        <v>-0.775334</v>
      </c>
      <c r="N287" s="5">
        <v>-2.925418</v>
      </c>
      <c r="O287" s="5">
        <v>-0.025726</v>
      </c>
    </row>
    <row r="288">
      <c r="A288" s="18" t="str">
        <f>IFERROR(__xludf.DUMMYFUNCTION("""COMPUTED_VALUE"""),"Michael Fuss")</f>
        <v>Michael Fuss</v>
      </c>
      <c r="B288" s="19" t="str">
        <f>IFERROR(__xludf.DUMMYFUNCTION("""COMPUTED_VALUE"""),"JR")</f>
        <v>JR</v>
      </c>
      <c r="C288" s="20">
        <f>IFERROR(__xludf.DUMMYFUNCTION("""COMPUTED_VALUE"""),183.1)</f>
        <v>183.1</v>
      </c>
      <c r="D288" s="21">
        <f>IFERROR(__xludf.DUMMYFUNCTION("""COMPUTED_VALUE"""),-2.179825383500177)</f>
        <v>-2.179825384</v>
      </c>
      <c r="E288" s="21">
        <f>IFERROR(__xludf.DUMMYFUNCTION("""COMPUTED_VALUE"""),-0.5868070890306698)</f>
        <v>-0.586807089</v>
      </c>
      <c r="F288" s="21">
        <f>IFERROR(__xludf.DUMMYFUNCTION("""COMPUTED_VALUE"""),-2.766632472530847)</f>
        <v>-2.766632473</v>
      </c>
      <c r="G288" s="23">
        <f>IFERROR(__xludf.DUMMYFUNCTION("""COMPUTED_VALUE"""),-0.042189175065123916)</f>
        <v>-0.04218917507</v>
      </c>
      <c r="H288" s="4"/>
      <c r="I288" s="5" t="s">
        <v>3487</v>
      </c>
      <c r="J288" s="5" t="s">
        <v>3240</v>
      </c>
      <c r="K288" s="5">
        <v>245.0</v>
      </c>
      <c r="L288" s="5">
        <v>-2.728893</v>
      </c>
      <c r="M288" s="5">
        <v>-0.227601</v>
      </c>
      <c r="N288" s="5">
        <v>-2.956494</v>
      </c>
      <c r="O288" s="5">
        <v>-0.071373</v>
      </c>
    </row>
    <row r="289">
      <c r="A289" s="12" t="str">
        <f>IFERROR(__xludf.DUMMYFUNCTION("""COMPUTED_VALUE"""),"Piet Niehus")</f>
        <v>Piet Niehus</v>
      </c>
      <c r="B289" s="13" t="str">
        <f>IFERROR(__xludf.DUMMYFUNCTION("""COMPUTED_VALUE"""),"OTB")</f>
        <v>OTB</v>
      </c>
      <c r="C289" s="14">
        <f>IFERROR(__xludf.DUMMYFUNCTION("""COMPUTED_VALUE"""),316.7)</f>
        <v>316.7</v>
      </c>
      <c r="D289" s="15">
        <f>IFERROR(__xludf.DUMMYFUNCTION("""COMPUTED_VALUE"""),-2.217480922177438)</f>
        <v>-2.217480922</v>
      </c>
      <c r="E289" s="15">
        <f>IFERROR(__xludf.DUMMYFUNCTION("""COMPUTED_VALUE"""),-0.6852713968648279)</f>
        <v>-0.6852713969</v>
      </c>
      <c r="F289" s="15">
        <f>IFERROR(__xludf.DUMMYFUNCTION("""COMPUTED_VALUE"""),-2.902752319042266)</f>
        <v>-2.902752319</v>
      </c>
      <c r="G289" s="17">
        <f>IFERROR(__xludf.DUMMYFUNCTION("""COMPUTED_VALUE"""),-0.08677285446050625)</f>
        <v>-0.08677285446</v>
      </c>
      <c r="H289" s="4"/>
      <c r="I289" s="5" t="s">
        <v>3488</v>
      </c>
      <c r="J289" s="5" t="s">
        <v>3223</v>
      </c>
      <c r="K289" s="5">
        <v>157.0</v>
      </c>
      <c r="L289" s="5">
        <v>-1.91862</v>
      </c>
      <c r="M289" s="5">
        <v>-1.039035</v>
      </c>
      <c r="N289" s="5">
        <v>-2.957655</v>
      </c>
      <c r="O289" s="5">
        <v>-0.045549</v>
      </c>
    </row>
    <row r="290">
      <c r="A290" s="18" t="str">
        <f>IFERROR(__xludf.DUMMYFUNCTION("""COMPUTED_VALUE"""),"Amani Camillo")</f>
        <v>Amani Camillo</v>
      </c>
      <c r="B290" s="19" t="str">
        <f>IFERROR(__xludf.DUMMYFUNCTION("""COMPUTED_VALUE"""),"RSV")</f>
        <v>RSV</v>
      </c>
      <c r="C290" s="20">
        <f>IFERROR(__xludf.DUMMYFUNCTION("""COMPUTED_VALUE"""),91.5)</f>
        <v>91.5</v>
      </c>
      <c r="D290" s="21">
        <f>IFERROR(__xludf.DUMMYFUNCTION("""COMPUTED_VALUE"""),-2.1614720195176393)</f>
        <v>-2.16147202</v>
      </c>
      <c r="E290" s="21">
        <f>IFERROR(__xludf.DUMMYFUNCTION("""COMPUTED_VALUE"""),-0.7639460424498652)</f>
        <v>-0.7639460424</v>
      </c>
      <c r="F290" s="21">
        <f>IFERROR(__xludf.DUMMYFUNCTION("""COMPUTED_VALUE"""),-2.9254180619675045)</f>
        <v>-2.925418062</v>
      </c>
      <c r="G290" s="23">
        <f>IFERROR(__xludf.DUMMYFUNCTION("""COMPUTED_VALUE"""),-0.025725738169463788)</f>
        <v>-0.02572573817</v>
      </c>
      <c r="H290" s="4"/>
      <c r="I290" s="5" t="s">
        <v>3489</v>
      </c>
      <c r="J290" s="5" t="s">
        <v>3215</v>
      </c>
      <c r="K290" s="5">
        <v>117.0</v>
      </c>
      <c r="L290" s="5">
        <v>-0.952545</v>
      </c>
      <c r="M290" s="5">
        <v>-2.006973</v>
      </c>
      <c r="N290" s="5">
        <v>-2.959518</v>
      </c>
      <c r="O290" s="5">
        <v>-0.034176</v>
      </c>
    </row>
    <row r="291">
      <c r="A291" s="12" t="str">
        <f>IFERROR(__xludf.DUMMYFUNCTION("""COMPUTED_VALUE"""),"Jannick Jebens")</f>
        <v>Jannick Jebens</v>
      </c>
      <c r="B291" s="13" t="str">
        <f>IFERROR(__xludf.DUMMYFUNCTION("""COMPUTED_VALUE"""),"MUNII")</f>
        <v>MUNII</v>
      </c>
      <c r="C291" s="14">
        <f>IFERROR(__xludf.DUMMYFUNCTION("""COMPUTED_VALUE"""),244.7)</f>
        <v>244.7</v>
      </c>
      <c r="D291" s="15">
        <f>IFERROR(__xludf.DUMMYFUNCTION("""COMPUTED_VALUE"""),-2.7593470151114112)</f>
        <v>-2.759347015</v>
      </c>
      <c r="E291" s="15">
        <f>IFERROR(__xludf.DUMMYFUNCTION("""COMPUTED_VALUE"""),-0.19714680842323729)</f>
        <v>-0.1971468084</v>
      </c>
      <c r="F291" s="15">
        <f>IFERROR(__xludf.DUMMYFUNCTION("""COMPUTED_VALUE"""),-2.9564938235346485)</f>
        <v>-2.956493824</v>
      </c>
      <c r="G291" s="17">
        <f>IFERROR(__xludf.DUMMYFUNCTION("""COMPUTED_VALUE"""),-0.07137323286751776)</f>
        <v>-0.07137323287</v>
      </c>
      <c r="H291" s="4"/>
      <c r="I291" s="5" t="s">
        <v>1169</v>
      </c>
      <c r="J291" s="5" t="s">
        <v>3215</v>
      </c>
      <c r="K291" s="5">
        <v>848.0</v>
      </c>
      <c r="L291" s="5">
        <v>0.091624</v>
      </c>
      <c r="M291" s="5">
        <v>-3.065669</v>
      </c>
      <c r="N291" s="5">
        <v>-2.974045</v>
      </c>
      <c r="O291" s="5">
        <v>-0.250839</v>
      </c>
    </row>
    <row r="292">
      <c r="A292" s="18" t="str">
        <f>IFERROR(__xludf.DUMMYFUNCTION("""COMPUTED_VALUE"""),"Michael Javernik")</f>
        <v>Michael Javernik</v>
      </c>
      <c r="B292" s="19" t="str">
        <f>IFERROR(__xludf.DUMMYFUNCTION("""COMPUTED_VALUE"""),"AKAD")</f>
        <v>AKAD</v>
      </c>
      <c r="C292" s="20">
        <f>IFERROR(__xludf.DUMMYFUNCTION("""COMPUTED_VALUE"""),156.5)</f>
        <v>156.5</v>
      </c>
      <c r="D292" s="21">
        <f>IFERROR(__xludf.DUMMYFUNCTION("""COMPUTED_VALUE"""),-1.938096966109177)</f>
        <v>-1.938096966</v>
      </c>
      <c r="E292" s="21">
        <f>IFERROR(__xludf.DUMMYFUNCTION("""COMPUTED_VALUE"""),-1.019557791963428)</f>
        <v>-1.019557792</v>
      </c>
      <c r="F292" s="21">
        <f>IFERROR(__xludf.DUMMYFUNCTION("""COMPUTED_VALUE"""),-2.957654758072605)</f>
        <v>-2.957654758</v>
      </c>
      <c r="G292" s="23">
        <f>IFERROR(__xludf.DUMMYFUNCTION("""COMPUTED_VALUE"""),-0.04554901113807702)</f>
        <v>-0.04554901114</v>
      </c>
      <c r="H292" s="4"/>
      <c r="I292" s="5" t="s">
        <v>3490</v>
      </c>
      <c r="J292" s="5" t="s">
        <v>3205</v>
      </c>
      <c r="K292" s="5">
        <v>185.0</v>
      </c>
      <c r="L292" s="5">
        <v>-1.609941</v>
      </c>
      <c r="M292" s="5">
        <v>-1.36459</v>
      </c>
      <c r="N292" s="5">
        <v>-2.974531</v>
      </c>
      <c r="O292" s="5">
        <v>-0.054713</v>
      </c>
    </row>
    <row r="293">
      <c r="A293" s="12" t="str">
        <f>IFERROR(__xludf.DUMMYFUNCTION("""COMPUTED_VALUE"""),"Niklas Bilski")</f>
        <v>Niklas Bilski</v>
      </c>
      <c r="B293" s="13" t="str">
        <f>IFERROR(__xludf.DUMMYFUNCTION("""COMPUTED_VALUE"""),"WOLF")</f>
        <v>WOLF</v>
      </c>
      <c r="C293" s="14">
        <f>IFERROR(__xludf.DUMMYFUNCTION("""COMPUTED_VALUE"""),117.3)</f>
        <v>117.3</v>
      </c>
      <c r="D293" s="15">
        <f>IFERROR(__xludf.DUMMYFUNCTION("""COMPUTED_VALUE"""),-0.9671431823644929)</f>
        <v>-0.9671431824</v>
      </c>
      <c r="E293" s="15">
        <f>IFERROR(__xludf.DUMMYFUNCTION("""COMPUTED_VALUE"""),-1.9923744344509928)</f>
        <v>-1.992374434</v>
      </c>
      <c r="F293" s="15">
        <f>IFERROR(__xludf.DUMMYFUNCTION("""COMPUTED_VALUE"""),-2.9595176168154858)</f>
        <v>-2.959517617</v>
      </c>
      <c r="G293" s="17">
        <f>IFERROR(__xludf.DUMMYFUNCTION("""COMPUTED_VALUE"""),-0.03417585416029936)</f>
        <v>-0.03417585416</v>
      </c>
      <c r="H293" s="4"/>
      <c r="I293" s="5" t="s">
        <v>3491</v>
      </c>
      <c r="J293" s="5" t="s">
        <v>644</v>
      </c>
      <c r="K293" s="5">
        <v>553.0</v>
      </c>
      <c r="L293" s="5">
        <v>-1.642326</v>
      </c>
      <c r="M293" s="5">
        <v>-1.336164</v>
      </c>
      <c r="N293" s="5">
        <v>-2.97849</v>
      </c>
      <c r="O293" s="5">
        <v>-0.164152</v>
      </c>
    </row>
    <row r="294">
      <c r="A294" s="18" t="str">
        <f>IFERROR(__xludf.DUMMYFUNCTION("""COMPUTED_VALUE"""),"Constantin Ebert")</f>
        <v>Constantin Ebert</v>
      </c>
      <c r="B294" s="19" t="str">
        <f>IFERROR(__xludf.DUMMYFUNCTION("""COMPUTED_VALUE"""),"WOLF")</f>
        <v>WOLF</v>
      </c>
      <c r="C294" s="20">
        <f>IFERROR(__xludf.DUMMYFUNCTION("""COMPUTED_VALUE"""),848.1)</f>
        <v>848.1</v>
      </c>
      <c r="D294" s="21">
        <f>IFERROR(__xludf.DUMMYFUNCTION("""COMPUTED_VALUE"""),0.0542879882020344)</f>
        <v>0.0542879882</v>
      </c>
      <c r="E294" s="21">
        <f>IFERROR(__xludf.DUMMYFUNCTION("""COMPUTED_VALUE"""),-3.0283333874216494)</f>
        <v>-3.028333387</v>
      </c>
      <c r="F294" s="21">
        <f>IFERROR(__xludf.DUMMYFUNCTION("""COMPUTED_VALUE"""),-2.974045399219615)</f>
        <v>-2.974045399</v>
      </c>
      <c r="G294" s="23">
        <f>IFERROR(__xludf.DUMMYFUNCTION("""COMPUTED_VALUE"""),-0.2508387774143413)</f>
        <v>-0.2508387774</v>
      </c>
      <c r="H294" s="4"/>
      <c r="I294" s="5" t="s">
        <v>3492</v>
      </c>
      <c r="J294" s="5" t="s">
        <v>3212</v>
      </c>
      <c r="K294" s="5">
        <v>233.0</v>
      </c>
      <c r="L294" s="5">
        <v>-2.882479</v>
      </c>
      <c r="M294" s="5">
        <v>-0.100439</v>
      </c>
      <c r="N294" s="5">
        <v>-2.982918</v>
      </c>
      <c r="O294" s="5">
        <v>-0.069531</v>
      </c>
    </row>
    <row r="295">
      <c r="A295" s="12" t="str">
        <f>IFERROR(__xludf.DUMMYFUNCTION("""COMPUTED_VALUE"""),"Felix Meyer-Tonndorf")</f>
        <v>Felix Meyer-Tonndorf</v>
      </c>
      <c r="B295" s="13" t="str">
        <f>IFERROR(__xludf.DUMMYFUNCTION("""COMPUTED_VALUE"""),"SCHW")</f>
        <v>SCHW</v>
      </c>
      <c r="C295" s="14">
        <f>IFERROR(__xludf.DUMMYFUNCTION("""COMPUTED_VALUE"""),185.1)</f>
        <v>185.1</v>
      </c>
      <c r="D295" s="15">
        <f>IFERROR(__xludf.DUMMYFUNCTION("""COMPUTED_VALUE"""),-1.6329768302063925)</f>
        <v>-1.63297683</v>
      </c>
      <c r="E295" s="15">
        <f>IFERROR(__xludf.DUMMYFUNCTION("""COMPUTED_VALUE"""),-1.3415539554145528)</f>
        <v>-1.341553955</v>
      </c>
      <c r="F295" s="15">
        <f>IFERROR(__xludf.DUMMYFUNCTION("""COMPUTED_VALUE"""),-2.9745307856209453)</f>
        <v>-2.974530786</v>
      </c>
      <c r="G295" s="17">
        <f>IFERROR(__xludf.DUMMYFUNCTION("""COMPUTED_VALUE"""),-0.054712940989371066)</f>
        <v>-0.05471294099</v>
      </c>
      <c r="H295" s="4"/>
      <c r="I295" s="5" t="s">
        <v>3493</v>
      </c>
      <c r="J295" s="5" t="s">
        <v>3263</v>
      </c>
      <c r="K295" s="5">
        <v>99.0</v>
      </c>
      <c r="L295" s="5">
        <v>-2.838442</v>
      </c>
      <c r="M295" s="5">
        <v>-0.217971</v>
      </c>
      <c r="N295" s="5">
        <v>-3.056414</v>
      </c>
      <c r="O295" s="5">
        <v>-0.031434</v>
      </c>
    </row>
    <row r="296">
      <c r="A296" s="18" t="str">
        <f>IFERROR(__xludf.DUMMYFUNCTION("""COMPUTED_VALUE"""),"Michael Kuczmann")</f>
        <v>Michael Kuczmann</v>
      </c>
      <c r="B296" s="19" t="str">
        <f>IFERROR(__xludf.DUMMYFUNCTION("""COMPUTED_VALUE"""),"BAY")</f>
        <v>BAY</v>
      </c>
      <c r="C296" s="20">
        <f>IFERROR(__xludf.DUMMYFUNCTION("""COMPUTED_VALUE"""),552.6)</f>
        <v>552.6</v>
      </c>
      <c r="D296" s="21">
        <f>IFERROR(__xludf.DUMMYFUNCTION("""COMPUTED_VALUE"""),-1.6796621132940566)</f>
        <v>-1.679662113</v>
      </c>
      <c r="E296" s="21">
        <f>IFERROR(__xludf.DUMMYFUNCTION("""COMPUTED_VALUE"""),-1.2988281126736962)</f>
        <v>-1.298828113</v>
      </c>
      <c r="F296" s="21">
        <f>IFERROR(__xludf.DUMMYFUNCTION("""COMPUTED_VALUE"""),-2.978490225967753)</f>
        <v>-2.978490226</v>
      </c>
      <c r="G296" s="23">
        <f>IFERROR(__xludf.DUMMYFUNCTION("""COMPUTED_VALUE"""),-0.16415244803168383)</f>
        <v>-0.164152448</v>
      </c>
      <c r="H296" s="4"/>
      <c r="I296" s="5" t="s">
        <v>3494</v>
      </c>
      <c r="J296" s="5" t="s">
        <v>644</v>
      </c>
      <c r="K296" s="5">
        <v>632.0</v>
      </c>
      <c r="L296" s="5">
        <v>-0.666056</v>
      </c>
      <c r="M296" s="5">
        <v>-2.404779</v>
      </c>
      <c r="N296" s="5">
        <v>-3.070835</v>
      </c>
      <c r="O296" s="5">
        <v>-0.205326</v>
      </c>
    </row>
    <row r="297">
      <c r="A297" s="12" t="str">
        <f>IFERROR(__xludf.DUMMYFUNCTION("""COMPUTED_VALUE"""),"Gregory Graves")</f>
        <v>Gregory Graves</v>
      </c>
      <c r="B297" s="13" t="str">
        <f>IFERROR(__xludf.DUMMYFUNCTION("""COMPUTED_VALUE"""),"ELCH")</f>
        <v>ELCH</v>
      </c>
      <c r="C297" s="14">
        <f>IFERROR(__xludf.DUMMYFUNCTION("""COMPUTED_VALUE"""),232.9)</f>
        <v>232.9</v>
      </c>
      <c r="D297" s="15">
        <f>IFERROR(__xludf.DUMMYFUNCTION("""COMPUTED_VALUE"""),-2.9114641208419916)</f>
        <v>-2.911464121</v>
      </c>
      <c r="E297" s="15">
        <f>IFERROR(__xludf.DUMMYFUNCTION("""COMPUTED_VALUE"""),-0.0714536003508055)</f>
        <v>-0.07145360035</v>
      </c>
      <c r="F297" s="15">
        <f>IFERROR(__xludf.DUMMYFUNCTION("""COMPUTED_VALUE"""),-2.982917721192797)</f>
        <v>-2.982917721</v>
      </c>
      <c r="G297" s="17">
        <f>IFERROR(__xludf.DUMMYFUNCTION("""COMPUTED_VALUE"""),-0.06953132271831641)</f>
        <v>-0.06953132272</v>
      </c>
      <c r="H297" s="4"/>
      <c r="I297" s="5" t="s">
        <v>3495</v>
      </c>
      <c r="J297" s="5" t="s">
        <v>3331</v>
      </c>
      <c r="K297" s="5">
        <v>491.0</v>
      </c>
      <c r="L297" s="5">
        <v>-0.030979</v>
      </c>
      <c r="M297" s="5">
        <v>-3.041282</v>
      </c>
      <c r="N297" s="5">
        <v>-3.072261</v>
      </c>
      <c r="O297" s="5">
        <v>-0.159663</v>
      </c>
    </row>
    <row r="298">
      <c r="A298" s="18" t="str">
        <f>IFERROR(__xludf.DUMMYFUNCTION("""COMPUTED_VALUE"""),"Niklas Pons")</f>
        <v>Niklas Pons</v>
      </c>
      <c r="B298" s="19" t="str">
        <f>IFERROR(__xludf.DUMMYFUNCTION("""COMPUTED_VALUE"""),"JR")</f>
        <v>JR</v>
      </c>
      <c r="C298" s="20">
        <f>IFERROR(__xludf.DUMMYFUNCTION("""COMPUTED_VALUE"""),99.0)</f>
        <v>99</v>
      </c>
      <c r="D298" s="21">
        <f>IFERROR(__xludf.DUMMYFUNCTION("""COMPUTED_VALUE"""),-2.8507629826092176)</f>
        <v>-2.850762983</v>
      </c>
      <c r="E298" s="21">
        <f>IFERROR(__xludf.DUMMYFUNCTION("""COMPUTED_VALUE"""),-0.2056505855462265)</f>
        <v>-0.2056505855</v>
      </c>
      <c r="F298" s="21">
        <f>IFERROR(__xludf.DUMMYFUNCTION("""COMPUTED_VALUE"""),-3.056413568155444)</f>
        <v>-3.056413568</v>
      </c>
      <c r="G298" s="23">
        <f>IFERROR(__xludf.DUMMYFUNCTION("""COMPUTED_VALUE"""),-0.031433637718687284)</f>
        <v>-0.03143363772</v>
      </c>
      <c r="H298" s="4"/>
      <c r="I298" s="5" t="s">
        <v>3496</v>
      </c>
      <c r="J298" s="5" t="s">
        <v>3233</v>
      </c>
      <c r="K298" s="5">
        <v>253.0</v>
      </c>
      <c r="L298" s="5">
        <v>-2.647115</v>
      </c>
      <c r="M298" s="5">
        <v>-0.42775</v>
      </c>
      <c r="N298" s="5">
        <v>-3.074865</v>
      </c>
      <c r="O298" s="5">
        <v>-0.080464</v>
      </c>
    </row>
    <row r="299">
      <c r="A299" s="12" t="str">
        <f>IFERROR(__xludf.DUMMYFUNCTION("""COMPUTED_VALUE"""),"Marvin Heckel")</f>
        <v>Marvin Heckel</v>
      </c>
      <c r="B299" s="13" t="str">
        <f>IFERROR(__xludf.DUMMYFUNCTION("""COMPUTED_VALUE"""),"BAY")</f>
        <v>BAY</v>
      </c>
      <c r="C299" s="14">
        <f>IFERROR(__xludf.DUMMYFUNCTION("""COMPUTED_VALUE"""),631.6)</f>
        <v>631.6</v>
      </c>
      <c r="D299" s="15">
        <f>IFERROR(__xludf.DUMMYFUNCTION("""COMPUTED_VALUE"""),-0.7033917628781194)</f>
        <v>-0.7033917629</v>
      </c>
      <c r="E299" s="15">
        <f>IFERROR(__xludf.DUMMYFUNCTION("""COMPUTED_VALUE"""),-2.3674429963789088)</f>
        <v>-2.367442996</v>
      </c>
      <c r="F299" s="15">
        <f>IFERROR(__xludf.DUMMYFUNCTION("""COMPUTED_VALUE"""),-3.0708347592570284)</f>
        <v>-3.070834759</v>
      </c>
      <c r="G299" s="17">
        <f>IFERROR(__xludf.DUMMYFUNCTION("""COMPUTED_VALUE"""),-0.20532629593867294)</f>
        <v>-0.2053262959</v>
      </c>
      <c r="H299" s="4"/>
      <c r="I299" s="5" t="s">
        <v>3497</v>
      </c>
      <c r="J299" s="5" t="s">
        <v>3233</v>
      </c>
      <c r="K299" s="5">
        <v>532.0</v>
      </c>
      <c r="L299" s="5">
        <v>-1.735362</v>
      </c>
      <c r="M299" s="5">
        <v>-1.367195</v>
      </c>
      <c r="N299" s="5">
        <v>-3.102558</v>
      </c>
      <c r="O299" s="5">
        <v>-0.173447</v>
      </c>
    </row>
    <row r="300">
      <c r="A300" s="18" t="str">
        <f>IFERROR(__xludf.DUMMYFUNCTION("""COMPUTED_VALUE"""),"Benjamin Kaufhold")</f>
        <v>Benjamin Kaufhold</v>
      </c>
      <c r="B300" s="19" t="str">
        <f>IFERROR(__xludf.DUMMYFUNCTION("""COMPUTED_VALUE"""),"KIT")</f>
        <v>KIT</v>
      </c>
      <c r="C300" s="20">
        <f>IFERROR(__xludf.DUMMYFUNCTION("""COMPUTED_VALUE"""),490.6)</f>
        <v>490.6</v>
      </c>
      <c r="D300" s="21">
        <f>IFERROR(__xludf.DUMMYFUNCTION("""COMPUTED_VALUE"""),-0.06831500838616533)</f>
        <v>-0.06831500839</v>
      </c>
      <c r="E300" s="21">
        <f>IFERROR(__xludf.DUMMYFUNCTION("""COMPUTED_VALUE"""),-3.0039459039566396)</f>
        <v>-3.003945904</v>
      </c>
      <c r="F300" s="21">
        <f>IFERROR(__xludf.DUMMYFUNCTION("""COMPUTED_VALUE"""),-3.072260912342805)</f>
        <v>-3.072260912</v>
      </c>
      <c r="G300" s="23">
        <f>IFERROR(__xludf.DUMMYFUNCTION("""COMPUTED_VALUE"""),-0.15966298109585528)</f>
        <v>-0.1596629811</v>
      </c>
      <c r="H300" s="4"/>
      <c r="I300" s="5" t="s">
        <v>3498</v>
      </c>
      <c r="J300" s="5" t="s">
        <v>3281</v>
      </c>
      <c r="K300" s="5">
        <v>295.0</v>
      </c>
      <c r="L300" s="5">
        <v>-3.246133</v>
      </c>
      <c r="M300" s="5">
        <v>0.120674</v>
      </c>
      <c r="N300" s="5">
        <v>-3.125459</v>
      </c>
      <c r="O300" s="5">
        <v>-0.101127</v>
      </c>
    </row>
    <row r="301">
      <c r="A301" s="12" t="str">
        <f>IFERROR(__xludf.DUMMYFUNCTION("""COMPUTED_VALUE"""),"Jens Hirschberg")</f>
        <v>Jens Hirschberg</v>
      </c>
      <c r="B301" s="13" t="str">
        <f>IFERROR(__xludf.DUMMYFUNCTION("""COMPUTED_VALUE"""),"RIST")</f>
        <v>RIST</v>
      </c>
      <c r="C301" s="14">
        <f>IFERROR(__xludf.DUMMYFUNCTION("""COMPUTED_VALUE"""),294.7)</f>
        <v>294.7</v>
      </c>
      <c r="D301" s="15">
        <f>IFERROR(__xludf.DUMMYFUNCTION("""COMPUTED_VALUE"""),-3.282809099665745)</f>
        <v>-3.2828091</v>
      </c>
      <c r="E301" s="15">
        <f>IFERROR(__xludf.DUMMYFUNCTION("""COMPUTED_VALUE"""),0.15735015102786898)</f>
        <v>0.157350151</v>
      </c>
      <c r="F301" s="15">
        <f>IFERROR(__xludf.DUMMYFUNCTION("""COMPUTED_VALUE"""),-3.125458948637876)</f>
        <v>-3.125458949</v>
      </c>
      <c r="G301" s="17">
        <f>IFERROR(__xludf.DUMMYFUNCTION("""COMPUTED_VALUE"""),-0.10112723241939235)</f>
        <v>-0.1011272324</v>
      </c>
      <c r="H301" s="4"/>
      <c r="I301" s="5" t="s">
        <v>3499</v>
      </c>
      <c r="J301" s="5" t="s">
        <v>3240</v>
      </c>
      <c r="K301" s="5">
        <v>101.0</v>
      </c>
      <c r="L301" s="5">
        <v>-1.888709</v>
      </c>
      <c r="M301" s="5">
        <v>-1.333733</v>
      </c>
      <c r="N301" s="5">
        <v>-3.222442</v>
      </c>
      <c r="O301" s="5">
        <v>-0.037688</v>
      </c>
    </row>
    <row r="302">
      <c r="A302" s="18" t="str">
        <f>IFERROR(__xludf.DUMMYFUNCTION("""COMPUTED_VALUE"""),"Julius Dueh")</f>
        <v>Julius Dueh</v>
      </c>
      <c r="B302" s="19" t="str">
        <f>IFERROR(__xludf.DUMMYFUNCTION("""COMPUTED_VALUE"""),"MUNII")</f>
        <v>MUNII</v>
      </c>
      <c r="C302" s="20">
        <f>IFERROR(__xludf.DUMMYFUNCTION("""COMPUTED_VALUE"""),101.1)</f>
        <v>101.1</v>
      </c>
      <c r="D302" s="21">
        <f>IFERROR(__xludf.DUMMYFUNCTION("""COMPUTED_VALUE"""),-1.9012915434164426)</f>
        <v>-1.901291543</v>
      </c>
      <c r="E302" s="21">
        <f>IFERROR(__xludf.DUMMYFUNCTION("""COMPUTED_VALUE"""),-1.3211504726805074)</f>
        <v>-1.321150473</v>
      </c>
      <c r="F302" s="21">
        <f>IFERROR(__xludf.DUMMYFUNCTION("""COMPUTED_VALUE"""),-3.22244201609695)</f>
        <v>-3.222442016</v>
      </c>
      <c r="G302" s="23">
        <f>IFERROR(__xludf.DUMMYFUNCTION("""COMPUTED_VALUE"""),-0.03768761488924506)</f>
        <v>-0.03768761489</v>
      </c>
      <c r="H302" s="4"/>
      <c r="I302" s="5" t="s">
        <v>3500</v>
      </c>
      <c r="J302" s="5" t="s">
        <v>3263</v>
      </c>
      <c r="K302" s="5">
        <v>300.0</v>
      </c>
      <c r="L302" s="5">
        <v>-1.904207</v>
      </c>
      <c r="M302" s="5">
        <v>-1.358616</v>
      </c>
      <c r="N302" s="5">
        <v>-3.262823</v>
      </c>
      <c r="O302" s="5">
        <v>-0.114017</v>
      </c>
    </row>
    <row r="303">
      <c r="A303" s="12" t="str">
        <f>IFERROR(__xludf.DUMMYFUNCTION("""COMPUTED_VALUE"""),"Felix Hecker")</f>
        <v>Felix Hecker</v>
      </c>
      <c r="B303" s="13" t="str">
        <f>IFERROR(__xludf.DUMMYFUNCTION("""COMPUTED_VALUE"""),"JR")</f>
        <v>JR</v>
      </c>
      <c r="C303" s="14">
        <f>IFERROR(__xludf.DUMMYFUNCTION("""COMPUTED_VALUE"""),300.4)</f>
        <v>300.4</v>
      </c>
      <c r="D303" s="15">
        <f>IFERROR(__xludf.DUMMYFUNCTION("""COMPUTED_VALUE"""),-1.9415434214189191)</f>
        <v>-1.941543421</v>
      </c>
      <c r="E303" s="15">
        <f>IFERROR(__xludf.DUMMYFUNCTION("""COMPUTED_VALUE"""),-1.32127960344163)</f>
        <v>-1.321279603</v>
      </c>
      <c r="F303" s="15">
        <f>IFERROR(__xludf.DUMMYFUNCTION("""COMPUTED_VALUE"""),-3.262823024860549)</f>
        <v>-3.262823025</v>
      </c>
      <c r="G303" s="17">
        <f>IFERROR(__xludf.DUMMYFUNCTION("""COMPUTED_VALUE"""),-0.11401655074062696)</f>
        <v>-0.1140165507</v>
      </c>
      <c r="H303" s="4"/>
      <c r="I303" s="5" t="s">
        <v>3501</v>
      </c>
      <c r="J303" s="5" t="s">
        <v>3210</v>
      </c>
      <c r="K303" s="5">
        <v>435.0</v>
      </c>
      <c r="L303" s="5">
        <v>-3.755889</v>
      </c>
      <c r="M303" s="5">
        <v>0.489306</v>
      </c>
      <c r="N303" s="5">
        <v>-3.266583</v>
      </c>
      <c r="O303" s="5">
        <v>-0.165862</v>
      </c>
    </row>
    <row r="304">
      <c r="A304" s="18" t="str">
        <f>IFERROR(__xludf.DUMMYFUNCTION("""COMPUTED_VALUE"""),"Gabriel de Oliveira")</f>
        <v>Gabriel de Oliveira</v>
      </c>
      <c r="B304" s="19" t="str">
        <f>IFERROR(__xludf.DUMMYFUNCTION("""COMPUTED_VALUE"""),"ISER")</f>
        <v>ISER</v>
      </c>
      <c r="C304" s="20">
        <f>IFERROR(__xludf.DUMMYFUNCTION("""COMPUTED_VALUE"""),435.2)</f>
        <v>435.2</v>
      </c>
      <c r="D304" s="21">
        <f>IFERROR(__xludf.DUMMYFUNCTION("""COMPUTED_VALUE"""),-3.7932251249920155)</f>
        <v>-3.793225125</v>
      </c>
      <c r="E304" s="21">
        <f>IFERROR(__xludf.DUMMYFUNCTION("""COMPUTED_VALUE"""),0.5266420818803366)</f>
        <v>0.5266420819</v>
      </c>
      <c r="F304" s="21">
        <f>IFERROR(__xludf.DUMMYFUNCTION("""COMPUTED_VALUE"""),-3.266583043111679)</f>
        <v>-3.266583043</v>
      </c>
      <c r="G304" s="23">
        <f>IFERROR(__xludf.DUMMYFUNCTION("""COMPUTED_VALUE"""),-0.1658621948010789)</f>
        <v>-0.1658621948</v>
      </c>
      <c r="H304" s="4"/>
      <c r="I304" s="5" t="s">
        <v>3502</v>
      </c>
      <c r="J304" s="5" t="s">
        <v>3237</v>
      </c>
      <c r="K304" s="5">
        <v>189.0</v>
      </c>
      <c r="L304" s="5">
        <v>-2.578828</v>
      </c>
      <c r="M304" s="5">
        <v>-0.711749</v>
      </c>
      <c r="N304" s="5">
        <v>-3.290577</v>
      </c>
      <c r="O304" s="5">
        <v>-0.082294</v>
      </c>
    </row>
    <row r="305">
      <c r="A305" s="12" t="str">
        <f>IFERROR(__xludf.DUMMYFUNCTION("""COMPUTED_VALUE"""),"Sandro Kordis")</f>
        <v>Sandro Kordis</v>
      </c>
      <c r="B305" s="13" t="str">
        <f>IFERROR(__xludf.DUMMYFUNCTION("""COMPUTED_VALUE"""),"CUX")</f>
        <v>CUX</v>
      </c>
      <c r="C305" s="14">
        <f>IFERROR(__xludf.DUMMYFUNCTION("""COMPUTED_VALUE"""),189.0)</f>
        <v>189</v>
      </c>
      <c r="D305" s="15">
        <f>IFERROR(__xludf.DUMMYFUNCTION("""COMPUTED_VALUE"""),-2.6023494277457417)</f>
        <v>-2.602349428</v>
      </c>
      <c r="E305" s="15">
        <f>IFERROR(__xludf.DUMMYFUNCTION("""COMPUTED_VALUE"""),-0.6882274188628084)</f>
        <v>-0.6882274189</v>
      </c>
      <c r="F305" s="15">
        <f>IFERROR(__xludf.DUMMYFUNCTION("""COMPUTED_VALUE"""),-3.29057684660855)</f>
        <v>-3.290576847</v>
      </c>
      <c r="G305" s="17">
        <f>IFERROR(__xludf.DUMMYFUNCTION("""COMPUTED_VALUE"""),-0.08229366943221711)</f>
        <v>-0.08229366943</v>
      </c>
      <c r="H305" s="4"/>
      <c r="I305" s="5" t="s">
        <v>3503</v>
      </c>
      <c r="J305" s="5" t="s">
        <v>3237</v>
      </c>
      <c r="K305" s="5">
        <v>539.0</v>
      </c>
      <c r="L305" s="5">
        <v>-2.510872</v>
      </c>
      <c r="M305" s="5">
        <v>-0.780144</v>
      </c>
      <c r="N305" s="5">
        <v>-3.291016</v>
      </c>
      <c r="O305" s="5">
        <v>-0.234595</v>
      </c>
    </row>
    <row r="306">
      <c r="A306" s="18" t="str">
        <f>IFERROR(__xludf.DUMMYFUNCTION("""COMPUTED_VALUE"""),"Pal Ghotra")</f>
        <v>Pal Ghotra</v>
      </c>
      <c r="B306" s="19" t="str">
        <f>IFERROR(__xludf.DUMMYFUNCTION("""COMPUTED_VALUE"""),"CUX")</f>
        <v>CUX</v>
      </c>
      <c r="C306" s="20">
        <f>IFERROR(__xludf.DUMMYFUNCTION("""COMPUTED_VALUE"""),538.6)</f>
        <v>538.6</v>
      </c>
      <c r="D306" s="21">
        <f>IFERROR(__xludf.DUMMYFUNCTION("""COMPUTED_VALUE"""),-2.548208175581934)</f>
        <v>-2.548208176</v>
      </c>
      <c r="E306" s="21">
        <f>IFERROR(__xludf.DUMMYFUNCTION("""COMPUTED_VALUE"""),-0.7428078670644527)</f>
        <v>-0.7428078671</v>
      </c>
      <c r="F306" s="21">
        <f>IFERROR(__xludf.DUMMYFUNCTION("""COMPUTED_VALUE"""),-3.291016042646387)</f>
        <v>-3.291016043</v>
      </c>
      <c r="G306" s="23">
        <f>IFERROR(__xludf.DUMMYFUNCTION("""COMPUTED_VALUE"""),-0.2345949949024322)</f>
        <v>-0.2345949949</v>
      </c>
      <c r="H306" s="4"/>
      <c r="I306" s="5" t="s">
        <v>3504</v>
      </c>
      <c r="J306" s="5" t="s">
        <v>3210</v>
      </c>
      <c r="K306" s="5">
        <v>730.0</v>
      </c>
      <c r="L306" s="5">
        <v>-2.518534</v>
      </c>
      <c r="M306" s="5">
        <v>-0.780076</v>
      </c>
      <c r="N306" s="5">
        <v>-3.298609</v>
      </c>
      <c r="O306" s="5">
        <v>-0.285094</v>
      </c>
    </row>
    <row r="307">
      <c r="A307" s="12" t="str">
        <f>IFERROR(__xludf.DUMMYFUNCTION("""COMPUTED_VALUE"""),"Ruben Dahmen")</f>
        <v>Ruben Dahmen</v>
      </c>
      <c r="B307" s="13" t="str">
        <f>IFERROR(__xludf.DUMMYFUNCTION("""COMPUTED_VALUE"""),"ISER")</f>
        <v>ISER</v>
      </c>
      <c r="C307" s="14">
        <f>IFERROR(__xludf.DUMMYFUNCTION("""COMPUTED_VALUE"""),729.6)</f>
        <v>729.6</v>
      </c>
      <c r="D307" s="15">
        <f>IFERROR(__xludf.DUMMYFUNCTION("""COMPUTED_VALUE"""),-2.5558697229053617)</f>
        <v>-2.555869723</v>
      </c>
      <c r="E307" s="15">
        <f>IFERROR(__xludf.DUMMYFUNCTION("""COMPUTED_VALUE"""),-0.7427395340657617)</f>
        <v>-0.7427395341</v>
      </c>
      <c r="F307" s="15">
        <f>IFERROR(__xludf.DUMMYFUNCTION("""COMPUTED_VALUE"""),-3.2986092569711234)</f>
        <v>-3.298609257</v>
      </c>
      <c r="G307" s="17">
        <f>IFERROR(__xludf.DUMMYFUNCTION("""COMPUTED_VALUE"""),-0.28509406179676755)</f>
        <v>-0.2850940618</v>
      </c>
      <c r="H307" s="4"/>
      <c r="I307" s="5" t="s">
        <v>3505</v>
      </c>
      <c r="J307" s="5" t="s">
        <v>3283</v>
      </c>
      <c r="K307" s="5">
        <v>586.0</v>
      </c>
      <c r="L307" s="5">
        <v>-1.714394</v>
      </c>
      <c r="M307" s="5">
        <v>-1.683783</v>
      </c>
      <c r="N307" s="5">
        <v>-3.398177</v>
      </c>
      <c r="O307" s="5">
        <v>-0.248755</v>
      </c>
    </row>
    <row r="308">
      <c r="A308" s="18" t="str">
        <f>IFERROR(__xludf.DUMMYFUNCTION("""COMPUTED_VALUE"""),"Oshane Drews")</f>
        <v>Oshane Drews</v>
      </c>
      <c r="B308" s="19" t="str">
        <f>IFERROR(__xludf.DUMMYFUNCTION("""COMPUTED_VALUE"""),"RSV")</f>
        <v>RSV</v>
      </c>
      <c r="C308" s="20">
        <f>IFERROR(__xludf.DUMMYFUNCTION("""COMPUTED_VALUE"""),585.6)</f>
        <v>585.6</v>
      </c>
      <c r="D308" s="21">
        <f>IFERROR(__xludf.DUMMYFUNCTION("""COMPUTED_VALUE"""),-1.7517301687869393)</f>
        <v>-1.751730169</v>
      </c>
      <c r="E308" s="21">
        <f>IFERROR(__xludf.DUMMYFUNCTION("""COMPUTED_VALUE"""),-1.6464470096095152)</f>
        <v>-1.64644701</v>
      </c>
      <c r="F308" s="21">
        <f>IFERROR(__xludf.DUMMYFUNCTION("""COMPUTED_VALUE"""),-3.3981771783964545)</f>
        <v>-3.398177178</v>
      </c>
      <c r="G308" s="23">
        <f>IFERROR(__xludf.DUMMYFUNCTION("""COMPUTED_VALUE"""),-0.24875513619069956)</f>
        <v>-0.2487551362</v>
      </c>
      <c r="H308" s="4"/>
      <c r="I308" s="5" t="s">
        <v>3506</v>
      </c>
      <c r="J308" s="5" t="s">
        <v>3251</v>
      </c>
      <c r="K308" s="5">
        <v>779.0</v>
      </c>
      <c r="L308" s="5">
        <v>-1.799446</v>
      </c>
      <c r="M308" s="5">
        <v>-1.616521</v>
      </c>
      <c r="N308" s="5">
        <v>-3.415967</v>
      </c>
      <c r="O308" s="5">
        <v>-0.334929</v>
      </c>
    </row>
    <row r="309">
      <c r="A309" s="12" t="str">
        <f>IFERROR(__xludf.DUMMYFUNCTION("""COMPUTED_VALUE"""),"Steffen Walde")</f>
        <v>Steffen Walde</v>
      </c>
      <c r="B309" s="13" t="str">
        <f>IFERROR(__xludf.DUMMYFUNCTION("""COMPUTED_VALUE"""),"COBU")</f>
        <v>COBU</v>
      </c>
      <c r="C309" s="14">
        <f>IFERROR(__xludf.DUMMYFUNCTION("""COMPUTED_VALUE"""),778.6)</f>
        <v>778.6</v>
      </c>
      <c r="D309" s="15">
        <f>IFERROR(__xludf.DUMMYFUNCTION("""COMPUTED_VALUE"""),-1.8367822152123312)</f>
        <v>-1.836782215</v>
      </c>
      <c r="E309" s="15">
        <f>IFERROR(__xludf.DUMMYFUNCTION("""COMPUTED_VALUE"""),-1.5791848767642243)</f>
        <v>-1.579184877</v>
      </c>
      <c r="F309" s="15">
        <f>IFERROR(__xludf.DUMMYFUNCTION("""COMPUTED_VALUE"""),-3.4159670919765555)</f>
        <v>-3.415967092</v>
      </c>
      <c r="G309" s="17">
        <f>IFERROR(__xludf.DUMMYFUNCTION("""COMPUTED_VALUE"""),-0.3349293102034462)</f>
        <v>-0.3349293102</v>
      </c>
      <c r="H309" s="4"/>
      <c r="I309" s="5" t="s">
        <v>3507</v>
      </c>
      <c r="J309" s="5" t="s">
        <v>3215</v>
      </c>
      <c r="K309" s="5">
        <v>319.0</v>
      </c>
      <c r="L309" s="5">
        <v>-1.400023</v>
      </c>
      <c r="M309" s="5">
        <v>-2.090707</v>
      </c>
      <c r="N309" s="5">
        <v>-3.49073</v>
      </c>
      <c r="O309" s="5">
        <v>-0.144352</v>
      </c>
    </row>
    <row r="310">
      <c r="A310" s="18" t="str">
        <f>IFERROR(__xludf.DUMMYFUNCTION("""COMPUTED_VALUE"""),"Samuel Mpacko")</f>
        <v>Samuel Mpacko</v>
      </c>
      <c r="B310" s="19" t="str">
        <f>IFERROR(__xludf.DUMMYFUNCTION("""COMPUTED_VALUE"""),"WOLF")</f>
        <v>WOLF</v>
      </c>
      <c r="C310" s="20">
        <f>IFERROR(__xludf.DUMMYFUNCTION("""COMPUTED_VALUE"""),318.9)</f>
        <v>318.9</v>
      </c>
      <c r="D310" s="21">
        <f>IFERROR(__xludf.DUMMYFUNCTION("""COMPUTED_VALUE"""),-1.4373593768916113)</f>
        <v>-1.437359377</v>
      </c>
      <c r="E310" s="21">
        <f>IFERROR(__xludf.DUMMYFUNCTION("""COMPUTED_VALUE"""),-2.053370627205193)</f>
        <v>-2.053370627</v>
      </c>
      <c r="F310" s="21">
        <f>IFERROR(__xludf.DUMMYFUNCTION("""COMPUTED_VALUE"""),-3.490730004096804)</f>
        <v>-3.490730004</v>
      </c>
      <c r="G310" s="23">
        <f>IFERROR(__xludf.DUMMYFUNCTION("""COMPUTED_VALUE"""),-0.1443517072616825)</f>
        <v>-0.1443517073</v>
      </c>
      <c r="H310" s="4"/>
      <c r="I310" s="5" t="s">
        <v>3508</v>
      </c>
      <c r="J310" s="5" t="s">
        <v>3207</v>
      </c>
      <c r="K310" s="5">
        <v>673.0</v>
      </c>
      <c r="L310" s="5">
        <v>0.177598</v>
      </c>
      <c r="M310" s="5">
        <v>-3.67508</v>
      </c>
      <c r="N310" s="5">
        <v>-3.497482</v>
      </c>
      <c r="O310" s="5">
        <v>-0.30069</v>
      </c>
    </row>
    <row r="311">
      <c r="A311" s="12" t="str">
        <f>IFERROR(__xludf.DUMMYFUNCTION("""COMPUTED_VALUE"""),"Frederik Henningsen")</f>
        <v>Frederik Henningsen</v>
      </c>
      <c r="B311" s="13" t="str">
        <f>IFERROR(__xludf.DUMMYFUNCTION("""COMPUTED_VALUE"""),"ITZ")</f>
        <v>ITZ</v>
      </c>
      <c r="C311" s="14">
        <f>IFERROR(__xludf.DUMMYFUNCTION("""COMPUTED_VALUE"""),673.4)</f>
        <v>673.4</v>
      </c>
      <c r="D311" s="15">
        <f>IFERROR(__xludf.DUMMYFUNCTION("""COMPUTED_VALUE"""),0.1402621078045861)</f>
        <v>0.1402621078</v>
      </c>
      <c r="E311" s="15">
        <f>IFERROR(__xludf.DUMMYFUNCTION("""COMPUTED_VALUE"""),-3.637744174106172)</f>
        <v>-3.637744174</v>
      </c>
      <c r="F311" s="15">
        <f>IFERROR(__xludf.DUMMYFUNCTION("""COMPUTED_VALUE"""),-3.4974820663015858)</f>
        <v>-3.497482066</v>
      </c>
      <c r="G311" s="17">
        <f>IFERROR(__xludf.DUMMYFUNCTION("""COMPUTED_VALUE"""),-0.3006904977659738)</f>
        <v>-0.3006904978</v>
      </c>
      <c r="H311" s="4"/>
      <c r="I311" s="5" t="s">
        <v>3510</v>
      </c>
      <c r="J311" s="5" t="s">
        <v>3278</v>
      </c>
      <c r="K311" s="5">
        <v>584.0</v>
      </c>
      <c r="L311" s="5">
        <v>-1.965126</v>
      </c>
      <c r="M311" s="5">
        <v>-1.57845</v>
      </c>
      <c r="N311" s="5">
        <v>-3.543576</v>
      </c>
      <c r="O311" s="5">
        <v>-0.272042</v>
      </c>
    </row>
    <row r="312">
      <c r="A312" s="18" t="str">
        <f>IFERROR(__xludf.DUMMYFUNCTION("""COMPUTED_VALUE"""),"Marc Nagora")</f>
        <v>Marc Nagora</v>
      </c>
      <c r="B312" s="19" t="str">
        <f>IFERROR(__xludf.DUMMYFUNCTION("""COMPUTED_VALUE"""),"DRE")</f>
        <v>DRE</v>
      </c>
      <c r="C312" s="20">
        <f>IFERROR(__xludf.DUMMYFUNCTION("""COMPUTED_VALUE"""),583.6)</f>
        <v>583.6</v>
      </c>
      <c r="D312" s="21">
        <f>IFERROR(__xludf.DUMMYFUNCTION("""COMPUTED_VALUE"""),-2.0024624816736196)</f>
        <v>-2.002462482</v>
      </c>
      <c r="E312" s="21">
        <f>IFERROR(__xludf.DUMMYFUNCTION("""COMPUTED_VALUE"""),-1.5411135882451852)</f>
        <v>-1.541113588</v>
      </c>
      <c r="F312" s="21">
        <f>IFERROR(__xludf.DUMMYFUNCTION("""COMPUTED_VALUE"""),-3.543576069918805)</f>
        <v>-3.54357607</v>
      </c>
      <c r="G312" s="23">
        <f>IFERROR(__xludf.DUMMYFUNCTION("""COMPUTED_VALUE"""),-0.2720421923903328)</f>
        <v>-0.2720421924</v>
      </c>
      <c r="H312" s="4"/>
      <c r="I312" s="5" t="s">
        <v>3511</v>
      </c>
      <c r="J312" s="5" t="s">
        <v>3203</v>
      </c>
      <c r="K312" s="5">
        <v>177.0</v>
      </c>
      <c r="L312" s="5">
        <v>-2.321825</v>
      </c>
      <c r="M312" s="5">
        <v>-1.232919</v>
      </c>
      <c r="N312" s="5">
        <v>-3.554745</v>
      </c>
      <c r="O312" s="5">
        <v>-0.083638</v>
      </c>
    </row>
    <row r="313">
      <c r="A313" s="12" t="str">
        <f>IFERROR(__xludf.DUMMYFUNCTION("""COMPUTED_VALUE"""),"Ronalds Elksnis")</f>
        <v>Ronalds Elksnis</v>
      </c>
      <c r="B313" s="13" t="str">
        <f>IFERROR(__xludf.DUMMYFUNCTION("""COMPUTED_VALUE"""),"DRAG")</f>
        <v>DRAG</v>
      </c>
      <c r="C313" s="14">
        <f>IFERROR(__xludf.DUMMYFUNCTION("""COMPUTED_VALUE"""),177.4)</f>
        <v>177.4</v>
      </c>
      <c r="D313" s="15">
        <f>IFERROR(__xludf.DUMMYFUNCTION("""COMPUTED_VALUE"""),-2.343903323665192)</f>
        <v>-2.343903324</v>
      </c>
      <c r="E313" s="15">
        <f>IFERROR(__xludf.DUMMYFUNCTION("""COMPUTED_VALUE"""),-1.2108414123200024)</f>
        <v>-1.210841412</v>
      </c>
      <c r="F313" s="15">
        <f>IFERROR(__xludf.DUMMYFUNCTION("""COMPUTED_VALUE"""),-3.5547447359851945)</f>
        <v>-3.554744736</v>
      </c>
      <c r="G313" s="17">
        <f>IFERROR(__xludf.DUMMYFUNCTION("""COMPUTED_VALUE"""),-0.08363764307239753)</f>
        <v>-0.08363764307</v>
      </c>
      <c r="H313" s="4"/>
      <c r="I313" s="5" t="s">
        <v>3512</v>
      </c>
      <c r="J313" s="5" t="s">
        <v>3220</v>
      </c>
      <c r="K313" s="5">
        <v>132.0</v>
      </c>
      <c r="L313" s="5">
        <v>-2.826361</v>
      </c>
      <c r="M313" s="5">
        <v>-0.73411</v>
      </c>
      <c r="N313" s="5">
        <v>-3.560471</v>
      </c>
      <c r="O313" s="5">
        <v>-0.06338</v>
      </c>
    </row>
    <row r="314">
      <c r="A314" s="18" t="str">
        <f>IFERROR(__xludf.DUMMYFUNCTION("""COMPUTED_VALUE"""),"Daniel Lopez")</f>
        <v>Daniel Lopez</v>
      </c>
      <c r="B314" s="19" t="str">
        <f>IFERROR(__xludf.DUMMYFUNCTION("""COMPUTED_VALUE"""),"ROST")</f>
        <v>ROST</v>
      </c>
      <c r="C314" s="20">
        <f>IFERROR(__xludf.DUMMYFUNCTION("""COMPUTED_VALUE"""),132.3)</f>
        <v>132.3</v>
      </c>
      <c r="D314" s="21">
        <f>IFERROR(__xludf.DUMMYFUNCTION("""COMPUTED_VALUE"""),-2.842826150816027)</f>
        <v>-2.842826151</v>
      </c>
      <c r="E314" s="21">
        <f>IFERROR(__xludf.DUMMYFUNCTION("""COMPUTED_VALUE"""),-0.7176449613592739)</f>
        <v>-0.7176449614</v>
      </c>
      <c r="F314" s="21">
        <f>IFERROR(__xludf.DUMMYFUNCTION("""COMPUTED_VALUE"""),-3.5604711121753008)</f>
        <v>-3.560471112</v>
      </c>
      <c r="G314" s="23">
        <f>IFERROR(__xludf.DUMMYFUNCTION("""COMPUTED_VALUE"""),-0.06337989058299501)</f>
        <v>-0.06337989058</v>
      </c>
      <c r="H314" s="4"/>
      <c r="I314" s="5" t="s">
        <v>1070</v>
      </c>
      <c r="J314" s="5" t="s">
        <v>3223</v>
      </c>
      <c r="K314" s="5">
        <v>710.0</v>
      </c>
      <c r="L314" s="5">
        <v>-2.84778</v>
      </c>
      <c r="M314" s="5">
        <v>-0.729711</v>
      </c>
      <c r="N314" s="5">
        <v>-3.577491</v>
      </c>
      <c r="O314" s="5">
        <v>-0.340585</v>
      </c>
    </row>
    <row r="315">
      <c r="A315" s="12" t="str">
        <f>IFERROR(__xludf.DUMMYFUNCTION("""COMPUTED_VALUE"""),"Dejan Kovacevic")</f>
        <v>Dejan Kovacevic</v>
      </c>
      <c r="B315" s="13" t="str">
        <f>IFERROR(__xludf.DUMMYFUNCTION("""COMPUTED_VALUE"""),"AKAD")</f>
        <v>AKAD</v>
      </c>
      <c r="C315" s="14">
        <f>IFERROR(__xludf.DUMMYFUNCTION("""COMPUTED_VALUE"""),710.4)</f>
        <v>710.4</v>
      </c>
      <c r="D315" s="15">
        <f>IFERROR(__xludf.DUMMYFUNCTION("""COMPUTED_VALUE"""),-2.8851159397373234)</f>
        <v>-2.88511594</v>
      </c>
      <c r="E315" s="15">
        <f>IFERROR(__xludf.DUMMYFUNCTION("""COMPUTED_VALUE"""),-0.692374796186384)</f>
        <v>-0.6923747962</v>
      </c>
      <c r="F315" s="15">
        <f>IFERROR(__xludf.DUMMYFUNCTION("""COMPUTED_VALUE"""),-3.5774907359237074)</f>
        <v>-3.577490736</v>
      </c>
      <c r="G315" s="17">
        <f>IFERROR(__xludf.DUMMYFUNCTION("""COMPUTED_VALUE"""),-0.3405849165595247)</f>
        <v>-0.3405849166</v>
      </c>
      <c r="H315" s="4"/>
      <c r="I315" s="5" t="s">
        <v>3513</v>
      </c>
      <c r="J315" s="5" t="s">
        <v>3278</v>
      </c>
      <c r="K315" s="5">
        <v>96.0</v>
      </c>
      <c r="L315" s="5">
        <v>-3.099955</v>
      </c>
      <c r="M315" s="5">
        <v>-0.56396</v>
      </c>
      <c r="N315" s="5">
        <v>-3.663915</v>
      </c>
      <c r="O315" s="5">
        <v>-0.048188</v>
      </c>
    </row>
    <row r="316">
      <c r="A316" s="18" t="str">
        <f>IFERROR(__xludf.DUMMYFUNCTION("""COMPUTED_VALUE"""),"Petar Madunic")</f>
        <v>Petar Madunic</v>
      </c>
      <c r="B316" s="19" t="str">
        <f>IFERROR(__xludf.DUMMYFUNCTION("""COMPUTED_VALUE"""),"DRE")</f>
        <v>DRE</v>
      </c>
      <c r="C316" s="20">
        <f>IFERROR(__xludf.DUMMYFUNCTION("""COMPUTED_VALUE"""),95.9)</f>
        <v>95.9</v>
      </c>
      <c r="D316" s="21">
        <f>IFERROR(__xludf.DUMMYFUNCTION("""COMPUTED_VALUE"""),-3.1118903074303583)</f>
        <v>-3.111890307</v>
      </c>
      <c r="E316" s="21">
        <f>IFERROR(__xludf.DUMMYFUNCTION("""COMPUTED_VALUE"""),-0.5520248711049489)</f>
        <v>-0.5520248711</v>
      </c>
      <c r="F316" s="21">
        <f>IFERROR(__xludf.DUMMYFUNCTION("""COMPUTED_VALUE"""),-3.6639151785353072)</f>
        <v>-3.663915179</v>
      </c>
      <c r="G316" s="23">
        <f>IFERROR(__xludf.DUMMYFUNCTION("""COMPUTED_VALUE"""),-0.04818842550474984)</f>
        <v>-0.0481884255</v>
      </c>
      <c r="H316" s="4"/>
      <c r="I316" s="5" t="s">
        <v>3514</v>
      </c>
      <c r="J316" s="5" t="s">
        <v>2838</v>
      </c>
      <c r="K316" s="5">
        <v>332.0</v>
      </c>
      <c r="L316" s="5">
        <v>-4.731279</v>
      </c>
      <c r="M316" s="5">
        <v>1.044055</v>
      </c>
      <c r="N316" s="5">
        <v>-3.687224</v>
      </c>
      <c r="O316" s="5">
        <v>-0.167813</v>
      </c>
    </row>
    <row r="317">
      <c r="A317" s="12" t="str">
        <f>IFERROR(__xludf.DUMMYFUNCTION("""COMPUTED_VALUE"""),"Raphael Bals")</f>
        <v>Raphael Bals</v>
      </c>
      <c r="B317" s="13" t="str">
        <f>IFERROR(__xludf.DUMMYFUNCTION("""COMPUTED_VALUE"""),"AST")</f>
        <v>AST</v>
      </c>
      <c r="C317" s="14">
        <f>IFERROR(__xludf.DUMMYFUNCTION("""COMPUTED_VALUE"""),332.0)</f>
        <v>332</v>
      </c>
      <c r="D317" s="15">
        <f>IFERROR(__xludf.DUMMYFUNCTION("""COMPUTED_VALUE"""),-4.768614963297195)</f>
        <v>-4.768614963</v>
      </c>
      <c r="E317" s="15">
        <f>IFERROR(__xludf.DUMMYFUNCTION("""COMPUTED_VALUE"""),1.0813907382168928)</f>
        <v>1.081390738</v>
      </c>
      <c r="F317" s="15">
        <f>IFERROR(__xludf.DUMMYFUNCTION("""COMPUTED_VALUE"""),-3.6872242250803025)</f>
        <v>-3.687224225</v>
      </c>
      <c r="G317" s="17">
        <f>IFERROR(__xludf.DUMMYFUNCTION("""COMPUTED_VALUE"""),-0.1678133133791818)</f>
        <v>-0.1678133134</v>
      </c>
      <c r="H317" s="4"/>
      <c r="I317" s="5" t="s">
        <v>3515</v>
      </c>
      <c r="J317" s="5" t="s">
        <v>3205</v>
      </c>
      <c r="K317" s="5">
        <v>226.0</v>
      </c>
      <c r="L317" s="5">
        <v>-2.728779</v>
      </c>
      <c r="M317" s="5">
        <v>-0.960568</v>
      </c>
      <c r="N317" s="5">
        <v>-3.689347</v>
      </c>
      <c r="O317" s="5">
        <v>-0.116007</v>
      </c>
    </row>
    <row r="318">
      <c r="A318" s="18" t="str">
        <f>IFERROR(__xludf.DUMMYFUNCTION("""COMPUTED_VALUE"""),"Douglas Boyce")</f>
        <v>Douglas Boyce</v>
      </c>
      <c r="B318" s="19" t="str">
        <f>IFERROR(__xludf.DUMMYFUNCTION("""COMPUTED_VALUE"""),"SCHW")</f>
        <v>SCHW</v>
      </c>
      <c r="C318" s="20">
        <f>IFERROR(__xludf.DUMMYFUNCTION("""COMPUTED_VALUE"""),226.4)</f>
        <v>226.4</v>
      </c>
      <c r="D318" s="21">
        <f>IFERROR(__xludf.DUMMYFUNCTION("""COMPUTED_VALUE"""),-2.7569551478574743)</f>
        <v>-2.756955148</v>
      </c>
      <c r="E318" s="21">
        <f>IFERROR(__xludf.DUMMYFUNCTION("""COMPUTED_VALUE"""),-0.9323917901044547)</f>
        <v>-0.9323917901</v>
      </c>
      <c r="F318" s="21">
        <f>IFERROR(__xludf.DUMMYFUNCTION("""COMPUTED_VALUE"""),-3.689346937961929)</f>
        <v>-3.689346938</v>
      </c>
      <c r="G318" s="23">
        <f>IFERROR(__xludf.DUMMYFUNCTION("""COMPUTED_VALUE"""),-0.1160067739710421)</f>
        <v>-0.116006774</v>
      </c>
      <c r="H318" s="4"/>
      <c r="I318" s="5" t="s">
        <v>1087</v>
      </c>
      <c r="J318" s="5" t="s">
        <v>3256</v>
      </c>
      <c r="K318" s="5">
        <v>388.0</v>
      </c>
      <c r="L318" s="5">
        <v>-2.398893</v>
      </c>
      <c r="M318" s="5">
        <v>-1.305145</v>
      </c>
      <c r="N318" s="5">
        <v>-3.704038</v>
      </c>
      <c r="O318" s="5">
        <v>-0.200461</v>
      </c>
    </row>
    <row r="319">
      <c r="A319" s="12" t="str">
        <f>IFERROR(__xludf.DUMMYFUNCTION("""COMPUTED_VALUE"""),"Marcel Kessen")</f>
        <v>Marcel Kessen</v>
      </c>
      <c r="B319" s="13" t="str">
        <f>IFERROR(__xludf.DUMMYFUNCTION("""COMPUTED_VALUE"""),"OTB")</f>
        <v>OTB</v>
      </c>
      <c r="C319" s="14">
        <f>IFERROR(__xludf.DUMMYFUNCTION("""COMPUTED_VALUE"""),387.6)</f>
        <v>387.6</v>
      </c>
      <c r="D319" s="15">
        <f>IFERROR(__xludf.DUMMYFUNCTION("""COMPUTED_VALUE"""),-2.436229224235511)</f>
        <v>-2.436229224</v>
      </c>
      <c r="E319" s="15">
        <f>IFERROR(__xludf.DUMMYFUNCTION("""COMPUTED_VALUE"""),-1.2678088466965471)</f>
        <v>-1.267808847</v>
      </c>
      <c r="F319" s="15">
        <f>IFERROR(__xludf.DUMMYFUNCTION("""COMPUTED_VALUE"""),-3.704038070932058)</f>
        <v>-3.704038071</v>
      </c>
      <c r="G319" s="17">
        <f>IFERROR(__xludf.DUMMYFUNCTION("""COMPUTED_VALUE"""),-0.20046117414107037)</f>
        <v>-0.2004611741</v>
      </c>
      <c r="H319" s="4"/>
      <c r="I319" s="5" t="s">
        <v>3516</v>
      </c>
      <c r="J319" s="5" t="s">
        <v>3207</v>
      </c>
      <c r="K319" s="5">
        <v>666.0</v>
      </c>
      <c r="L319" s="5">
        <v>-1.178807</v>
      </c>
      <c r="M319" s="5">
        <v>-2.574462</v>
      </c>
      <c r="N319" s="5">
        <v>-3.753269</v>
      </c>
      <c r="O319" s="5">
        <v>-0.347974</v>
      </c>
    </row>
    <row r="320">
      <c r="A320" s="18" t="str">
        <f>IFERROR(__xludf.DUMMYFUNCTION("""COMPUTED_VALUE"""),"Johannes Konradt")</f>
        <v>Johannes Konradt</v>
      </c>
      <c r="B320" s="19" t="str">
        <f>IFERROR(__xludf.DUMMYFUNCTION("""COMPUTED_VALUE"""),"ITZ")</f>
        <v>ITZ</v>
      </c>
      <c r="C320" s="20">
        <f>IFERROR(__xludf.DUMMYFUNCTION("""COMPUTED_VALUE"""),665.6)</f>
        <v>665.6</v>
      </c>
      <c r="D320" s="21">
        <f>IFERROR(__xludf.DUMMYFUNCTION("""COMPUTED_VALUE"""),-1.2161430795390002)</f>
        <v>-1.21614308</v>
      </c>
      <c r="E320" s="21">
        <f>IFERROR(__xludf.DUMMYFUNCTION("""COMPUTED_VALUE"""),-2.537125755404407)</f>
        <v>-2.537125755</v>
      </c>
      <c r="F320" s="21">
        <f>IFERROR(__xludf.DUMMYFUNCTION("""COMPUTED_VALUE"""),-3.753268834943407)</f>
        <v>-3.753268835</v>
      </c>
      <c r="G320" s="23">
        <f>IFERROR(__xludf.DUMMYFUNCTION("""COMPUTED_VALUE"""),-0.347973994303683)</f>
        <v>-0.3479739943</v>
      </c>
      <c r="H320" s="4"/>
      <c r="I320" s="5" t="s">
        <v>3517</v>
      </c>
      <c r="J320" s="5" t="s">
        <v>3229</v>
      </c>
      <c r="K320" s="5">
        <v>635.0</v>
      </c>
      <c r="L320" s="5">
        <v>-4.13866</v>
      </c>
      <c r="M320" s="5">
        <v>0.352837</v>
      </c>
      <c r="N320" s="5">
        <v>-3.785823</v>
      </c>
      <c r="O320" s="5">
        <v>-0.358495</v>
      </c>
    </row>
    <row r="321">
      <c r="A321" s="12" t="str">
        <f>IFERROR(__xludf.DUMMYFUNCTION("""COMPUTED_VALUE"""),"Tim van der Velde")</f>
        <v>Tim van der Velde</v>
      </c>
      <c r="B321" s="13" t="str">
        <f>IFERROR(__xludf.DUMMYFUNCTION("""COMPUTED_VALUE"""),"ETB")</f>
        <v>ETB</v>
      </c>
      <c r="C321" s="14">
        <f>IFERROR(__xludf.DUMMYFUNCTION("""COMPUTED_VALUE"""),635.3)</f>
        <v>635.3</v>
      </c>
      <c r="D321" s="15">
        <f>IFERROR(__xludf.DUMMYFUNCTION("""COMPUTED_VALUE"""),-4.175995824022415)</f>
        <v>-4.175995824</v>
      </c>
      <c r="E321" s="15">
        <f>IFERROR(__xludf.DUMMYFUNCTION("""COMPUTED_VALUE"""),0.39017260777073925)</f>
        <v>0.3901726078</v>
      </c>
      <c r="F321" s="15">
        <f>IFERROR(__xludf.DUMMYFUNCTION("""COMPUTED_VALUE"""),-3.785823216251676)</f>
        <v>-3.785823216</v>
      </c>
      <c r="G321" s="17">
        <f>IFERROR(__xludf.DUMMYFUNCTION("""COMPUTED_VALUE"""),-0.35849478427735343)</f>
        <v>-0.3584947843</v>
      </c>
      <c r="H321" s="4"/>
      <c r="I321" s="5" t="s">
        <v>3239</v>
      </c>
      <c r="J321" s="5" t="s">
        <v>3233</v>
      </c>
      <c r="K321" s="5">
        <v>241.0</v>
      </c>
      <c r="L321" s="5">
        <v>-0.713924</v>
      </c>
      <c r="M321" s="5">
        <v>-3.093648</v>
      </c>
      <c r="N321" s="5">
        <v>-3.807572</v>
      </c>
      <c r="O321" s="5">
        <v>-0.128956</v>
      </c>
    </row>
    <row r="322">
      <c r="A322" s="18" t="str">
        <f>IFERROR(__xludf.DUMMYFUNCTION("""COMPUTED_VALUE"""),"Jacob Knauf")</f>
        <v>Jacob Knauf</v>
      </c>
      <c r="B322" s="19" t="str">
        <f>IFERROR(__xludf.DUMMYFUNCTION("""COMPUTED_VALUE"""),"SSV")</f>
        <v>SSV</v>
      </c>
      <c r="C322" s="20">
        <f>IFERROR(__xludf.DUMMYFUNCTION("""COMPUTED_VALUE"""),154.5)</f>
        <v>154.5</v>
      </c>
      <c r="D322" s="21">
        <f>IFERROR(__xludf.DUMMYFUNCTION("""COMPUTED_VALUE"""),-4.169751190390252)</f>
        <v>-4.16975119</v>
      </c>
      <c r="E322" s="21">
        <f>IFERROR(__xludf.DUMMYFUNCTION("""COMPUTED_VALUE"""),0.29118725187443495)</f>
        <v>0.2911872519</v>
      </c>
      <c r="F322" s="21">
        <f>IFERROR(__xludf.DUMMYFUNCTION("""COMPUTED_VALUE"""),-3.878563938515817)</f>
        <v>-3.878563939</v>
      </c>
      <c r="G322" s="23">
        <f>IFERROR(__xludf.DUMMYFUNCTION("""COMPUTED_VALUE"""),-0.08856288176049573)</f>
        <v>-0.08856288176</v>
      </c>
      <c r="H322" s="4"/>
      <c r="I322" s="5" t="s">
        <v>3518</v>
      </c>
      <c r="J322" s="5" t="s">
        <v>3226</v>
      </c>
      <c r="K322" s="5">
        <v>155.0</v>
      </c>
      <c r="L322" s="5">
        <v>-4.150523</v>
      </c>
      <c r="M322" s="5">
        <v>0.271959</v>
      </c>
      <c r="N322" s="5">
        <v>-3.878564</v>
      </c>
      <c r="O322" s="5">
        <v>-0.088563</v>
      </c>
    </row>
    <row r="323">
      <c r="A323" s="12" t="str">
        <f>IFERROR(__xludf.DUMMYFUNCTION("""COMPUTED_VALUE"""),"Daniel Kirchner")</f>
        <v>Daniel Kirchner</v>
      </c>
      <c r="B323" s="13" t="str">
        <f>IFERROR(__xludf.DUMMYFUNCTION("""COMPUTED_VALUE"""),"RSV")</f>
        <v>RSV</v>
      </c>
      <c r="C323" s="14">
        <f>IFERROR(__xludf.DUMMYFUNCTION("""COMPUTED_VALUE"""),479.2)</f>
        <v>479.2</v>
      </c>
      <c r="D323" s="15">
        <f>IFERROR(__xludf.DUMMYFUNCTION("""COMPUTED_VALUE"""),-1.3330342715002343)</f>
        <v>-1.333034272</v>
      </c>
      <c r="E323" s="15">
        <f>IFERROR(__xludf.DUMMYFUNCTION("""COMPUTED_VALUE"""),-2.630177291226749)</f>
        <v>-2.630177291</v>
      </c>
      <c r="F323" s="15">
        <f>IFERROR(__xludf.DUMMYFUNCTION("""COMPUTED_VALUE"""),-3.9632115627269835)</f>
        <v>-3.963211563</v>
      </c>
      <c r="G323" s="17">
        <f>IFERROR(__xludf.DUMMYFUNCTION("""COMPUTED_VALUE"""),-0.28582005081567274)</f>
        <v>-0.2858200508</v>
      </c>
      <c r="H323" s="4"/>
      <c r="I323" s="5" t="s">
        <v>3519</v>
      </c>
      <c r="J323" s="5" t="s">
        <v>3283</v>
      </c>
      <c r="K323" s="5">
        <v>479.0</v>
      </c>
      <c r="L323" s="5">
        <v>-1.295698</v>
      </c>
      <c r="M323" s="5">
        <v>-2.667513</v>
      </c>
      <c r="N323" s="5">
        <v>-3.963212</v>
      </c>
      <c r="O323" s="5">
        <v>-0.28582</v>
      </c>
    </row>
    <row r="324">
      <c r="A324" s="18" t="str">
        <f>IFERROR(__xludf.DUMMYFUNCTION("""COMPUTED_VALUE"""),"Erik Nyberg")</f>
        <v>Erik Nyberg</v>
      </c>
      <c r="B324" s="19" t="str">
        <f>IFERROR(__xludf.DUMMYFUNCTION("""COMPUTED_VALUE"""),"ITZ")</f>
        <v>ITZ</v>
      </c>
      <c r="C324" s="20">
        <f>IFERROR(__xludf.DUMMYFUNCTION("""COMPUTED_VALUE"""),145.1)</f>
        <v>145.1</v>
      </c>
      <c r="D324" s="21">
        <f>IFERROR(__xludf.DUMMYFUNCTION("""COMPUTED_VALUE"""),-2.6044079623026617)</f>
        <v>-2.604407962</v>
      </c>
      <c r="E324" s="21">
        <f>IFERROR(__xludf.DUMMYFUNCTION("""COMPUTED_VALUE"""),-1.4178026452616272)</f>
        <v>-1.417802645</v>
      </c>
      <c r="F324" s="21">
        <f>IFERROR(__xludf.DUMMYFUNCTION("""COMPUTED_VALUE"""),-4.022210607564289)</f>
        <v>-4.022210608</v>
      </c>
      <c r="G324" s="23">
        <f>IFERROR(__xludf.DUMMYFUNCTION("""COMPUTED_VALUE"""),-0.08749409805772453)</f>
        <v>-0.08749409806</v>
      </c>
      <c r="H324" s="4"/>
      <c r="I324" s="5" t="s">
        <v>3520</v>
      </c>
      <c r="J324" s="5" t="s">
        <v>3207</v>
      </c>
      <c r="K324" s="5">
        <v>145.0</v>
      </c>
      <c r="L324" s="5">
        <v>-2.58635</v>
      </c>
      <c r="M324" s="5">
        <v>-1.435861</v>
      </c>
      <c r="N324" s="5">
        <v>-4.022211</v>
      </c>
      <c r="O324" s="5">
        <v>-0.087494</v>
      </c>
    </row>
    <row r="325">
      <c r="A325" s="12" t="str">
        <f>IFERROR(__xludf.DUMMYFUNCTION("""COMPUTED_VALUE"""),"Noah Kamdem")</f>
        <v>Noah Kamdem</v>
      </c>
      <c r="B325" s="13" t="str">
        <f>IFERROR(__xludf.DUMMYFUNCTION("""COMPUTED_VALUE"""),"ROST")</f>
        <v>ROST</v>
      </c>
      <c r="C325" s="14">
        <f>IFERROR(__xludf.DUMMYFUNCTION("""COMPUTED_VALUE"""),233.5)</f>
        <v>233.5</v>
      </c>
      <c r="D325" s="15">
        <f>IFERROR(__xludf.DUMMYFUNCTION("""COMPUTED_VALUE"""),-2.848444958857817)</f>
        <v>-2.848444959</v>
      </c>
      <c r="E325" s="15">
        <f>IFERROR(__xludf.DUMMYFUNCTION("""COMPUTED_VALUE"""),-1.183053600331915)</f>
        <v>-1.1830536</v>
      </c>
      <c r="F325" s="15">
        <f>IFERROR(__xludf.DUMMYFUNCTION("""COMPUTED_VALUE"""),-4.031498559189732)</f>
        <v>-4.031498559</v>
      </c>
      <c r="G325" s="17">
        <f>IFERROR(__xludf.DUMMYFUNCTION("""COMPUTED_VALUE"""),-0.14562613094574722)</f>
        <v>-0.1456261309</v>
      </c>
      <c r="H325" s="4"/>
      <c r="I325" s="5" t="s">
        <v>3521</v>
      </c>
      <c r="J325" s="5" t="s">
        <v>3220</v>
      </c>
      <c r="K325" s="5">
        <v>234.0</v>
      </c>
      <c r="L325" s="5">
        <v>-2.819385</v>
      </c>
      <c r="M325" s="5">
        <v>-1.212113</v>
      </c>
      <c r="N325" s="5">
        <v>-4.031499</v>
      </c>
      <c r="O325" s="5">
        <v>-0.145626</v>
      </c>
    </row>
    <row r="326">
      <c r="A326" s="18" t="str">
        <f>IFERROR(__xludf.DUMMYFUNCTION("""COMPUTED_VALUE"""),"John Joseph Saigge")</f>
        <v>John Joseph Saigge</v>
      </c>
      <c r="B326" s="19" t="str">
        <f>IFERROR(__xludf.DUMMYFUNCTION("""COMPUTED_VALUE"""),"AKAD")</f>
        <v>AKAD</v>
      </c>
      <c r="C326" s="20">
        <f>IFERROR(__xludf.DUMMYFUNCTION("""COMPUTED_VALUE"""),156.1)</f>
        <v>156.1</v>
      </c>
      <c r="D326" s="21">
        <f>IFERROR(__xludf.DUMMYFUNCTION("""COMPUTED_VALUE"""),-4.5111869878880535)</f>
        <v>-4.511186988</v>
      </c>
      <c r="E326" s="21">
        <f>IFERROR(__xludf.DUMMYFUNCTION("""COMPUTED_VALUE"""),0.46897693617978753)</f>
        <v>0.4689769362</v>
      </c>
      <c r="F326" s="21">
        <f>IFERROR(__xludf.DUMMYFUNCTION("""COMPUTED_VALUE"""),-4.042210051708266)</f>
        <v>-4.042210052</v>
      </c>
      <c r="G326" s="23">
        <f>IFERROR(__xludf.DUMMYFUNCTION("""COMPUTED_VALUE"""),-0.09688553745854774)</f>
        <v>-0.09688553746</v>
      </c>
      <c r="H326" s="4"/>
      <c r="I326" s="5" t="s">
        <v>3522</v>
      </c>
      <c r="J326" s="5" t="s">
        <v>3223</v>
      </c>
      <c r="K326" s="5">
        <v>156.0</v>
      </c>
      <c r="L326" s="5">
        <v>-4.49176</v>
      </c>
      <c r="M326" s="5">
        <v>0.44955</v>
      </c>
      <c r="N326" s="5">
        <v>-4.04221</v>
      </c>
      <c r="O326" s="5">
        <v>-0.096886</v>
      </c>
    </row>
    <row r="327">
      <c r="A327" s="12" t="str">
        <f>IFERROR(__xludf.DUMMYFUNCTION("""COMPUTED_VALUE"""),"Armin Musovic")</f>
        <v>Armin Musovic</v>
      </c>
      <c r="B327" s="13" t="str">
        <f>IFERROR(__xludf.DUMMYFUNCTION("""COMPUTED_VALUE"""),"OTB")</f>
        <v>OTB</v>
      </c>
      <c r="C327" s="14">
        <f>IFERROR(__xludf.DUMMYFUNCTION("""COMPUTED_VALUE"""),371.5)</f>
        <v>371.5</v>
      </c>
      <c r="D327" s="15">
        <f>IFERROR(__xludf.DUMMYFUNCTION("""COMPUTED_VALUE"""),-3.2624542632809526)</f>
        <v>-3.262454263</v>
      </c>
      <c r="E327" s="15">
        <f>IFERROR(__xludf.DUMMYFUNCTION("""COMPUTED_VALUE"""),-0.8211707346899653)</f>
        <v>-0.8211707347</v>
      </c>
      <c r="F327" s="15">
        <f>IFERROR(__xludf.DUMMYFUNCTION("""COMPUTED_VALUE"""),-4.083624997970918)</f>
        <v>-4.083624998</v>
      </c>
      <c r="G327" s="17">
        <f>IFERROR(__xludf.DUMMYFUNCTION("""COMPUTED_VALUE"""),-0.23493384432659753)</f>
        <v>-0.2349338443</v>
      </c>
      <c r="H327" s="4"/>
      <c r="I327" s="5" t="s">
        <v>3523</v>
      </c>
      <c r="J327" s="5" t="s">
        <v>3256</v>
      </c>
      <c r="K327" s="5">
        <v>372.0</v>
      </c>
      <c r="L327" s="5">
        <v>-3.225118</v>
      </c>
      <c r="M327" s="5">
        <v>-0.858507</v>
      </c>
      <c r="N327" s="5">
        <v>-4.083625</v>
      </c>
      <c r="O327" s="5">
        <v>-0.234934</v>
      </c>
    </row>
    <row r="328">
      <c r="A328" s="18" t="str">
        <f>IFERROR(__xludf.DUMMYFUNCTION("""COMPUTED_VALUE"""),"Michael Haucke")</f>
        <v>Michael Haucke</v>
      </c>
      <c r="B328" s="19" t="str">
        <f>IFERROR(__xludf.DUMMYFUNCTION("""COMPUTED_VALUE"""),"AST")</f>
        <v>AST</v>
      </c>
      <c r="C328" s="20">
        <f>IFERROR(__xludf.DUMMYFUNCTION("""COMPUTED_VALUE"""),240.6)</f>
        <v>240.6</v>
      </c>
      <c r="D328" s="21">
        <f>IFERROR(__xludf.DUMMYFUNCTION("""COMPUTED_VALUE"""),-4.8006891983850455)</f>
        <v>-4.800689198</v>
      </c>
      <c r="E328" s="21">
        <f>IFERROR(__xludf.DUMMYFUNCTION("""COMPUTED_VALUE"""),0.6871789055579569)</f>
        <v>0.6871789056</v>
      </c>
      <c r="F328" s="21">
        <f>IFERROR(__xludf.DUMMYFUNCTION("""COMPUTED_VALUE"""),-4.113510292827089)</f>
        <v>-4.113510293</v>
      </c>
      <c r="G328" s="23">
        <f>IFERROR(__xludf.DUMMYFUNCTION("""COMPUTED_VALUE"""),-0.15234054905564876)</f>
        <v>-0.1523405491</v>
      </c>
      <c r="H328" s="4"/>
      <c r="I328" s="5" t="s">
        <v>3524</v>
      </c>
      <c r="J328" s="5" t="s">
        <v>2838</v>
      </c>
      <c r="K328" s="5">
        <v>241.0</v>
      </c>
      <c r="L328" s="5">
        <v>-4.770746</v>
      </c>
      <c r="M328" s="5">
        <v>0.657235</v>
      </c>
      <c r="N328" s="5">
        <v>-4.11351</v>
      </c>
      <c r="O328" s="5">
        <v>-0.152341</v>
      </c>
    </row>
    <row r="329">
      <c r="A329" s="12" t="str">
        <f>IFERROR(__xludf.DUMMYFUNCTION("""COMPUTED_VALUE"""),"Bryan Niessen")</f>
        <v>Bryan Niessen</v>
      </c>
      <c r="B329" s="13" t="str">
        <f>IFERROR(__xludf.DUMMYFUNCTION("""COMPUTED_VALUE"""),"DRE")</f>
        <v>DRE</v>
      </c>
      <c r="C329" s="14">
        <f>IFERROR(__xludf.DUMMYFUNCTION("""COMPUTED_VALUE"""),260.0)</f>
        <v>260</v>
      </c>
      <c r="D329" s="15">
        <f>IFERROR(__xludf.DUMMYFUNCTION("""COMPUTED_VALUE"""),-2.5202727730979113)</f>
        <v>-2.520272773</v>
      </c>
      <c r="E329" s="15">
        <f>IFERROR(__xludf.DUMMYFUNCTION("""COMPUTED_VALUE"""),-1.6247530437719062)</f>
        <v>-1.624753044</v>
      </c>
      <c r="F329" s="15">
        <f>IFERROR(__xludf.DUMMYFUNCTION("""COMPUTED_VALUE"""),-4.1450258168698175)</f>
        <v>-4.145025817</v>
      </c>
      <c r="G329" s="17">
        <f>IFERROR(__xludf.DUMMYFUNCTION("""COMPUTED_VALUE"""),-0.1684219988995935)</f>
        <v>-0.1684219989</v>
      </c>
      <c r="H329" s="4"/>
      <c r="I329" s="5" t="s">
        <v>3525</v>
      </c>
      <c r="J329" s="5" t="s">
        <v>3278</v>
      </c>
      <c r="K329" s="5">
        <v>260.0</v>
      </c>
      <c r="L329" s="5">
        <v>-2.487915</v>
      </c>
      <c r="M329" s="5">
        <v>-1.657111</v>
      </c>
      <c r="N329" s="5">
        <v>-4.145026</v>
      </c>
      <c r="O329" s="5">
        <v>-0.168422</v>
      </c>
    </row>
    <row r="330">
      <c r="A330" s="18" t="str">
        <f>IFERROR(__xludf.DUMMYFUNCTION("""COMPUTED_VALUE"""),"Fabian Ristau")</f>
        <v>Fabian Ristau</v>
      </c>
      <c r="B330" s="19" t="str">
        <f>IFERROR(__xludf.DUMMYFUNCTION("""COMPUTED_VALUE"""),"CUX")</f>
        <v>CUX</v>
      </c>
      <c r="C330" s="20">
        <f>IFERROR(__xludf.DUMMYFUNCTION("""COMPUTED_VALUE"""),117.3)</f>
        <v>117.3</v>
      </c>
      <c r="D330" s="21">
        <f>IFERROR(__xludf.DUMMYFUNCTION("""COMPUTED_VALUE"""),-3.665078436645061)</f>
        <v>-3.665078437</v>
      </c>
      <c r="E330" s="21">
        <f>IFERROR(__xludf.DUMMYFUNCTION("""COMPUTED_VALUE"""),-0.5157238453732731)</f>
        <v>-0.5157238454</v>
      </c>
      <c r="F330" s="21">
        <f>IFERROR(__xludf.DUMMYFUNCTION("""COMPUTED_VALUE"""),-4.180802282018334)</f>
        <v>-4.180802282</v>
      </c>
      <c r="G330" s="23">
        <f>IFERROR(__xludf.DUMMYFUNCTION("""COMPUTED_VALUE"""),-0.08630482159842753)</f>
        <v>-0.0863048216</v>
      </c>
      <c r="H330" s="4"/>
      <c r="I330" s="5" t="s">
        <v>3526</v>
      </c>
      <c r="J330" s="5" t="s">
        <v>3237</v>
      </c>
      <c r="K330" s="5">
        <v>117.0</v>
      </c>
      <c r="L330" s="5">
        <v>-3.65048</v>
      </c>
      <c r="M330" s="5">
        <v>-0.530322</v>
      </c>
      <c r="N330" s="5">
        <v>-4.180802</v>
      </c>
      <c r="O330" s="5">
        <v>-0.086305</v>
      </c>
    </row>
    <row r="331">
      <c r="A331" s="12" t="str">
        <f>IFERROR(__xludf.DUMMYFUNCTION("""COMPUTED_VALUE"""),"Florian Rothenberg")</f>
        <v>Florian Rothenberg</v>
      </c>
      <c r="B331" s="13" t="str">
        <f>IFERROR(__xludf.DUMMYFUNCTION("""COMPUTED_VALUE"""),"KIT")</f>
        <v>KIT</v>
      </c>
      <c r="C331" s="14">
        <f>IFERROR(__xludf.DUMMYFUNCTION("""COMPUTED_VALUE"""),445.9)</f>
        <v>445.9</v>
      </c>
      <c r="D331" s="15">
        <f>IFERROR(__xludf.DUMMYFUNCTION("""COMPUTED_VALUE"""),-3.381579331670913)</f>
        <v>-3.381579332</v>
      </c>
      <c r="E331" s="15">
        <f>IFERROR(__xludf.DUMMYFUNCTION("""COMPUTED_VALUE"""),-0.8601041565120071)</f>
        <v>-0.8601041565</v>
      </c>
      <c r="F331" s="15">
        <f>IFERROR(__xludf.DUMMYFUNCTION("""COMPUTED_VALUE"""),-4.24168348818292)</f>
        <v>-4.241683488</v>
      </c>
      <c r="G331" s="17">
        <f>IFERROR(__xludf.DUMMYFUNCTION("""COMPUTED_VALUE"""),-0.3033807219283845)</f>
        <v>-0.3033807219</v>
      </c>
      <c r="H331" s="4"/>
      <c r="I331" s="5" t="s">
        <v>3527</v>
      </c>
      <c r="J331" s="5" t="s">
        <v>3331</v>
      </c>
      <c r="K331" s="5">
        <v>446.0</v>
      </c>
      <c r="L331" s="5">
        <v>-3.344243</v>
      </c>
      <c r="M331" s="5">
        <v>-0.89744</v>
      </c>
      <c r="N331" s="5">
        <v>-4.241683</v>
      </c>
      <c r="O331" s="5">
        <v>-0.303381</v>
      </c>
    </row>
    <row r="332">
      <c r="A332" s="18" t="str">
        <f>IFERROR(__xludf.DUMMYFUNCTION("""COMPUTED_VALUE"""),"Daniel Boahene")</f>
        <v>Daniel Boahene</v>
      </c>
      <c r="B332" s="19" t="str">
        <f>IFERROR(__xludf.DUMMYFUNCTION("""COMPUTED_VALUE"""),"ITZ")</f>
        <v>ITZ</v>
      </c>
      <c r="C332" s="20">
        <f>IFERROR(__xludf.DUMMYFUNCTION("""COMPUTED_VALUE"""),162.2)</f>
        <v>162.2</v>
      </c>
      <c r="D332" s="21">
        <f>IFERROR(__xludf.DUMMYFUNCTION("""COMPUTED_VALUE"""),-3.174076124543558)</f>
        <v>-3.174076125</v>
      </c>
      <c r="E332" s="21">
        <f>IFERROR(__xludf.DUMMYFUNCTION("""COMPUTED_VALUE"""),-1.091173009624245)</f>
        <v>-1.09117301</v>
      </c>
      <c r="F332" s="21">
        <f>IFERROR(__xludf.DUMMYFUNCTION("""COMPUTED_VALUE"""),-4.265249134167803)</f>
        <v>-4.265249134</v>
      </c>
      <c r="G332" s="23">
        <f>IFERROR(__xludf.DUMMYFUNCTION("""COMPUTED_VALUE"""),-0.10955993978523791)</f>
        <v>-0.1095599398</v>
      </c>
      <c r="H332" s="4"/>
      <c r="I332" s="5" t="s">
        <v>3528</v>
      </c>
      <c r="J332" s="5" t="s">
        <v>3207</v>
      </c>
      <c r="K332" s="5">
        <v>162.0</v>
      </c>
      <c r="L332" s="5">
        <v>-3.15389</v>
      </c>
      <c r="M332" s="5">
        <v>-1.111359</v>
      </c>
      <c r="N332" s="5">
        <v>-4.265249</v>
      </c>
      <c r="O332" s="5">
        <v>-0.10956</v>
      </c>
    </row>
    <row r="333">
      <c r="A333" s="12" t="str">
        <f>IFERROR(__xludf.DUMMYFUNCTION("""COMPUTED_VALUE"""),"Kevin Eichelsdoerfer")</f>
        <v>Kevin Eichelsdoerfer</v>
      </c>
      <c r="B333" s="13" t="str">
        <f>IFERROR(__xludf.DUMMYFUNCTION("""COMPUTED_VALUE"""),"COBU")</f>
        <v>COBU</v>
      </c>
      <c r="C333" s="14">
        <f>IFERROR(__xludf.DUMMYFUNCTION("""COMPUTED_VALUE"""),272.6)</f>
        <v>272.6</v>
      </c>
      <c r="D333" s="15">
        <f>IFERROR(__xludf.DUMMYFUNCTION("""COMPUTED_VALUE"""),-1.3067524741812733)</f>
        <v>-1.306752474</v>
      </c>
      <c r="E333" s="15">
        <f>IFERROR(__xludf.DUMMYFUNCTION("""COMPUTED_VALUE"""),-3.0896478766910445)</f>
        <v>-3.089647877</v>
      </c>
      <c r="F333" s="15">
        <f>IFERROR(__xludf.DUMMYFUNCTION("""COMPUTED_VALUE"""),-4.396400350872318)</f>
        <v>-4.396400351</v>
      </c>
      <c r="G333" s="17">
        <f>IFERROR(__xludf.DUMMYFUNCTION("""COMPUTED_VALUE"""),-0.1984590104039937)</f>
        <v>-0.1984590104</v>
      </c>
      <c r="H333" s="4"/>
      <c r="I333" s="5" t="s">
        <v>3529</v>
      </c>
      <c r="J333" s="5" t="s">
        <v>3251</v>
      </c>
      <c r="K333" s="5">
        <v>273.0</v>
      </c>
      <c r="L333" s="5">
        <v>-1.272826</v>
      </c>
      <c r="M333" s="5">
        <v>-3.123574</v>
      </c>
      <c r="N333" s="5">
        <v>-4.3964</v>
      </c>
      <c r="O333" s="5">
        <v>-0.198459</v>
      </c>
    </row>
    <row r="334">
      <c r="A334" s="18" t="str">
        <f>IFERROR(__xludf.DUMMYFUNCTION("""COMPUTED_VALUE"""),"Galiano Fabio")</f>
        <v>Galiano Fabio</v>
      </c>
      <c r="B334" s="19" t="str">
        <f>IFERROR(__xludf.DUMMYFUNCTION("""COMPUTED_VALUE"""),"ITZ")</f>
        <v>ITZ</v>
      </c>
      <c r="C334" s="20">
        <f>IFERROR(__xludf.DUMMYFUNCTION("""COMPUTED_VALUE"""),386.3)</f>
        <v>386.3</v>
      </c>
      <c r="D334" s="21">
        <f>IFERROR(__xludf.DUMMYFUNCTION("""COMPUTED_VALUE"""),-2.532231687979572)</f>
        <v>-2.532231688</v>
      </c>
      <c r="E334" s="21">
        <f>IFERROR(__xludf.DUMMYFUNCTION("""COMPUTED_VALUE"""),-1.9259129840235496)</f>
        <v>-1.925912984</v>
      </c>
      <c r="F334" s="21">
        <f>IFERROR(__xludf.DUMMYFUNCTION("""COMPUTED_VALUE"""),-4.4581446720031215)</f>
        <v>-4.458144672</v>
      </c>
      <c r="G334" s="23">
        <f>IFERROR(__xludf.DUMMYFUNCTION("""COMPUTED_VALUE"""),-0.28315035431858443)</f>
        <v>-0.2831503543</v>
      </c>
      <c r="H334" s="4"/>
      <c r="I334" s="5" t="s">
        <v>3530</v>
      </c>
      <c r="J334" s="5" t="s">
        <v>3207</v>
      </c>
      <c r="K334" s="5">
        <v>386.0</v>
      </c>
      <c r="L334" s="5">
        <v>-2.494896</v>
      </c>
      <c r="M334" s="5">
        <v>-1.963249</v>
      </c>
      <c r="N334" s="5">
        <v>-4.458145</v>
      </c>
      <c r="O334" s="5">
        <v>-0.28315</v>
      </c>
    </row>
    <row r="335">
      <c r="A335" s="12" t="str">
        <f>IFERROR(__xludf.DUMMYFUNCTION("""COMPUTED_VALUE"""),"Sebastian Rauch")</f>
        <v>Sebastian Rauch</v>
      </c>
      <c r="B335" s="13" t="str">
        <f>IFERROR(__xludf.DUMMYFUNCTION("""COMPUTED_VALUE"""),"MUNII")</f>
        <v>MUNII</v>
      </c>
      <c r="C335" s="14">
        <f>IFERROR(__xludf.DUMMYFUNCTION("""COMPUTED_VALUE"""),289.5)</f>
        <v>289.5</v>
      </c>
      <c r="D335" s="15">
        <f>IFERROR(__xludf.DUMMYFUNCTION("""COMPUTED_VALUE"""),-4.1641857367879975)</f>
        <v>-4.164185737</v>
      </c>
      <c r="E335" s="15">
        <f>IFERROR(__xludf.DUMMYFUNCTION("""COMPUTED_VALUE"""),-0.2955061455758976)</f>
        <v>-0.2955061456</v>
      </c>
      <c r="F335" s="15">
        <f>IFERROR(__xludf.DUMMYFUNCTION("""COMPUTED_VALUE"""),-4.459691882363895)</f>
        <v>-4.459691882</v>
      </c>
      <c r="G335" s="17">
        <f>IFERROR(__xludf.DUMMYFUNCTION("""COMPUTED_VALUE"""),-0.2171443357901795)</f>
        <v>-0.2171443358</v>
      </c>
      <c r="H335" s="4"/>
      <c r="I335" s="5" t="s">
        <v>3531</v>
      </c>
      <c r="J335" s="5" t="s">
        <v>3240</v>
      </c>
      <c r="K335" s="5">
        <v>290.0</v>
      </c>
      <c r="L335" s="5">
        <v>-4.128156</v>
      </c>
      <c r="M335" s="5">
        <v>-0.331535</v>
      </c>
      <c r="N335" s="5">
        <v>-4.459692</v>
      </c>
      <c r="O335" s="5">
        <v>-0.217144</v>
      </c>
    </row>
    <row r="336">
      <c r="A336" s="18" t="str">
        <f>IFERROR(__xludf.DUMMYFUNCTION("""COMPUTED_VALUE"""),"Alexander Rueck")</f>
        <v>Alexander Rueck</v>
      </c>
      <c r="B336" s="19" t="str">
        <f>IFERROR(__xludf.DUMMYFUNCTION("""COMPUTED_VALUE"""),"KIT")</f>
        <v>KIT</v>
      </c>
      <c r="C336" s="20">
        <f>IFERROR(__xludf.DUMMYFUNCTION("""COMPUTED_VALUE"""),258.6)</f>
        <v>258.6</v>
      </c>
      <c r="D336" s="21">
        <f>IFERROR(__xludf.DUMMYFUNCTION("""COMPUTED_VALUE"""),-2.561227596383914)</f>
        <v>-2.561227596</v>
      </c>
      <c r="E336" s="21">
        <f>IFERROR(__xludf.DUMMYFUNCTION("""COMPUTED_VALUE"""),-1.9150262951697195)</f>
        <v>-1.915026295</v>
      </c>
      <c r="F336" s="21">
        <f>IFERROR(__xludf.DUMMYFUNCTION("""COMPUTED_VALUE"""),-4.476253891553633)</f>
        <v>-4.476253892</v>
      </c>
      <c r="G336" s="23">
        <f>IFERROR(__xludf.DUMMYFUNCTION("""COMPUTED_VALUE"""),-0.19435687466029988)</f>
        <v>-0.1943568747</v>
      </c>
      <c r="H336" s="4"/>
      <c r="I336" s="5" t="s">
        <v>3532</v>
      </c>
      <c r="J336" s="5" t="s">
        <v>3331</v>
      </c>
      <c r="K336" s="5">
        <v>259.0</v>
      </c>
      <c r="L336" s="5">
        <v>-2.529044</v>
      </c>
      <c r="M336" s="5">
        <v>-1.94721</v>
      </c>
      <c r="N336" s="5">
        <v>-4.476254</v>
      </c>
      <c r="O336" s="5">
        <v>-0.194357</v>
      </c>
    </row>
    <row r="337">
      <c r="A337" s="12" t="str">
        <f>IFERROR(__xludf.DUMMYFUNCTION("""COMPUTED_VALUE"""),"Luka Burkardt")</f>
        <v>Luka Burkardt</v>
      </c>
      <c r="B337" s="13" t="str">
        <f>IFERROR(__xludf.DUMMYFUNCTION("""COMPUTED_VALUE"""),"MUNII")</f>
        <v>MUNII</v>
      </c>
      <c r="C337" s="14">
        <f>IFERROR(__xludf.DUMMYFUNCTION("""COMPUTED_VALUE"""),473.8)</f>
        <v>473.8</v>
      </c>
      <c r="D337" s="15">
        <f>IFERROR(__xludf.DUMMYFUNCTION("""COMPUTED_VALUE"""),-4.523162742572591)</f>
        <v>-4.523162743</v>
      </c>
      <c r="E337" s="15">
        <f>IFERROR(__xludf.DUMMYFUNCTION("""COMPUTED_VALUE"""),-0.03254423442097476)</f>
        <v>-0.03254423442</v>
      </c>
      <c r="F337" s="15">
        <f>IFERROR(__xludf.DUMMYFUNCTION("""COMPUTED_VALUE"""),-4.555706976993566)</f>
        <v>-4.555706977</v>
      </c>
      <c r="G337" s="17">
        <f>IFERROR(__xludf.DUMMYFUNCTION("""COMPUTED_VALUE"""),-0.3692541154244229)</f>
        <v>-0.3692541154</v>
      </c>
      <c r="H337" s="4"/>
      <c r="I337" s="5" t="s">
        <v>3533</v>
      </c>
      <c r="J337" s="5" t="s">
        <v>3240</v>
      </c>
      <c r="K337" s="5">
        <v>474.0</v>
      </c>
      <c r="L337" s="5">
        <v>-4.485827</v>
      </c>
      <c r="M337" s="5">
        <v>-0.06988</v>
      </c>
      <c r="N337" s="5">
        <v>-4.555707</v>
      </c>
      <c r="O337" s="5">
        <v>-0.369254</v>
      </c>
    </row>
    <row r="338">
      <c r="A338" s="18" t="str">
        <f>IFERROR(__xludf.DUMMYFUNCTION("""COMPUTED_VALUE"""),"Eivydas Molosciakas")</f>
        <v>Eivydas Molosciakas</v>
      </c>
      <c r="B338" s="19" t="str">
        <f>IFERROR(__xludf.DUMMYFUNCTION("""COMPUTED_VALUE"""),"COBU")</f>
        <v>COBU</v>
      </c>
      <c r="C338" s="20">
        <f>IFERROR(__xludf.DUMMYFUNCTION("""COMPUTED_VALUE"""),413.0)</f>
        <v>413</v>
      </c>
      <c r="D338" s="21">
        <f>IFERROR(__xludf.DUMMYFUNCTION("""COMPUTED_VALUE"""),-2.91490916067368)</f>
        <v>-2.914909161</v>
      </c>
      <c r="E338" s="21">
        <f>IFERROR(__xludf.DUMMYFUNCTION("""COMPUTED_VALUE"""),-1.6897272315526437)</f>
        <v>-1.689727232</v>
      </c>
      <c r="F338" s="21">
        <f>IFERROR(__xludf.DUMMYFUNCTION("""COMPUTED_VALUE"""),-4.604636392226324)</f>
        <v>-4.604636392</v>
      </c>
      <c r="G338" s="23">
        <f>IFERROR(__xludf.DUMMYFUNCTION("""COMPUTED_VALUE"""),-0.3268005293873514)</f>
        <v>-0.3268005294</v>
      </c>
      <c r="H338" s="4"/>
      <c r="I338" s="5" t="s">
        <v>3534</v>
      </c>
      <c r="J338" s="5" t="s">
        <v>3251</v>
      </c>
      <c r="K338" s="5">
        <v>413.0</v>
      </c>
      <c r="L338" s="5">
        <v>-2.877573</v>
      </c>
      <c r="M338" s="5">
        <v>-1.727063</v>
      </c>
      <c r="N338" s="5">
        <v>-4.604636</v>
      </c>
      <c r="O338" s="5">
        <v>-0.326801</v>
      </c>
    </row>
    <row r="339">
      <c r="A339" s="12" t="str">
        <f>IFERROR(__xludf.DUMMYFUNCTION("""COMPUTED_VALUE"""),"Luka Drezga")</f>
        <v>Luka Drezga</v>
      </c>
      <c r="B339" s="13" t="str">
        <f>IFERROR(__xludf.DUMMYFUNCTION("""COMPUTED_VALUE"""),"KIT")</f>
        <v>KIT</v>
      </c>
      <c r="C339" s="14">
        <f>IFERROR(__xludf.DUMMYFUNCTION("""COMPUTED_VALUE"""),781.7)</f>
        <v>781.7</v>
      </c>
      <c r="D339" s="15">
        <f>IFERROR(__xludf.DUMMYFUNCTION("""COMPUTED_VALUE"""),0.1549927783846854)</f>
        <v>0.1549927784</v>
      </c>
      <c r="E339" s="15">
        <f>IFERROR(__xludf.DUMMYFUNCTION("""COMPUTED_VALUE"""),-4.9048514516500825)</f>
        <v>-4.904851452</v>
      </c>
      <c r="F339" s="15">
        <f>IFERROR(__xludf.DUMMYFUNCTION("""COMPUTED_VALUE"""),-4.749858673265397)</f>
        <v>-4.749858673</v>
      </c>
      <c r="G339" s="17">
        <f>IFERROR(__xludf.DUMMYFUNCTION("""COMPUTED_VALUE"""),-0.6524191518931761)</f>
        <v>-0.6524191519</v>
      </c>
      <c r="H339" s="4"/>
      <c r="I339" s="5" t="s">
        <v>3535</v>
      </c>
      <c r="J339" s="5" t="s">
        <v>3331</v>
      </c>
      <c r="K339" s="5">
        <v>782.0</v>
      </c>
      <c r="L339" s="5">
        <v>0.192329</v>
      </c>
      <c r="M339" s="5">
        <v>-4.942187</v>
      </c>
      <c r="N339" s="5">
        <v>-4.749859</v>
      </c>
      <c r="O339" s="5">
        <v>-0.652419</v>
      </c>
    </row>
    <row r="340">
      <c r="A340" s="18" t="str">
        <f>IFERROR(__xludf.DUMMYFUNCTION("""COMPUTED_VALUE"""),"Yasin Turan")</f>
        <v>Yasin Turan</v>
      </c>
      <c r="B340" s="19" t="str">
        <f>IFERROR(__xludf.DUMMYFUNCTION("""COMPUTED_VALUE"""),"COBU")</f>
        <v>COBU</v>
      </c>
      <c r="C340" s="20">
        <f>IFERROR(__xludf.DUMMYFUNCTION("""COMPUTED_VALUE"""),355.2)</f>
        <v>355.2</v>
      </c>
      <c r="D340" s="21">
        <f>IFERROR(__xludf.DUMMYFUNCTION("""COMPUTED_VALUE"""),-1.595147982064424)</f>
        <v>-1.595147982</v>
      </c>
      <c r="E340" s="21">
        <f>IFERROR(__xludf.DUMMYFUNCTION("""COMPUTED_VALUE"""),-3.1765211019960766)</f>
        <v>-3.176521102</v>
      </c>
      <c r="F340" s="21">
        <f>IFERROR(__xludf.DUMMYFUNCTION("""COMPUTED_VALUE"""),-4.771669084060501)</f>
        <v>-4.771669084</v>
      </c>
      <c r="G340" s="23">
        <f>IFERROR(__xludf.DUMMYFUNCTION("""COMPUTED_VALUE"""),-0.2990886484226145)</f>
        <v>-0.2990886484</v>
      </c>
      <c r="H340" s="4"/>
      <c r="I340" s="5" t="s">
        <v>3536</v>
      </c>
      <c r="J340" s="5" t="s">
        <v>3251</v>
      </c>
      <c r="K340" s="5">
        <v>355.0</v>
      </c>
      <c r="L340" s="5">
        <v>-1.557812</v>
      </c>
      <c r="M340" s="5">
        <v>-3.213857</v>
      </c>
      <c r="N340" s="5">
        <v>-4.771669</v>
      </c>
      <c r="O340" s="5">
        <v>-0.299089</v>
      </c>
    </row>
    <row r="341">
      <c r="A341" s="12" t="str">
        <f>IFERROR(__xludf.DUMMYFUNCTION("""COMPUTED_VALUE"""),"Simon Kutzschmar")</f>
        <v>Simon Kutzschmar</v>
      </c>
      <c r="B341" s="13" t="str">
        <f>IFERROR(__xludf.DUMMYFUNCTION("""COMPUTED_VALUE"""),"ISER")</f>
        <v>ISER</v>
      </c>
      <c r="C341" s="14">
        <f>IFERROR(__xludf.DUMMYFUNCTION("""COMPUTED_VALUE"""),532.4)</f>
        <v>532.4</v>
      </c>
      <c r="D341" s="15">
        <f>IFERROR(__xludf.DUMMYFUNCTION("""COMPUTED_VALUE"""),-3.7425007404554265)</f>
        <v>-3.74250074</v>
      </c>
      <c r="E341" s="15">
        <f>IFERROR(__xludf.DUMMYFUNCTION("""COMPUTED_VALUE"""),-1.1247674316353429)</f>
        <v>-1.124767432</v>
      </c>
      <c r="F341" s="15">
        <f>IFERROR(__xludf.DUMMYFUNCTION("""COMPUTED_VALUE"""),-4.867268172090769)</f>
        <v>-4.867268172</v>
      </c>
      <c r="G341" s="17">
        <f>IFERROR(__xludf.DUMMYFUNCTION("""COMPUTED_VALUE"""),-0.4593367703666652)</f>
        <v>-0.4593367704</v>
      </c>
      <c r="H341" s="4"/>
      <c r="I341" s="5" t="s">
        <v>3537</v>
      </c>
      <c r="J341" s="5" t="s">
        <v>3210</v>
      </c>
      <c r="K341" s="5">
        <v>532.0</v>
      </c>
      <c r="L341" s="5">
        <v>-3.705165</v>
      </c>
      <c r="M341" s="5">
        <v>-1.162103</v>
      </c>
      <c r="N341" s="5">
        <v>-4.867268</v>
      </c>
      <c r="O341" s="5">
        <v>-0.459337</v>
      </c>
    </row>
    <row r="342">
      <c r="A342" s="18" t="str">
        <f>IFERROR(__xludf.DUMMYFUNCTION("""COMPUTED_VALUE"""),"Tim Decker")</f>
        <v>Tim Decker</v>
      </c>
      <c r="B342" s="19" t="str">
        <f>IFERROR(__xludf.DUMMYFUNCTION("""COMPUTED_VALUE"""),"RSV")</f>
        <v>RSV</v>
      </c>
      <c r="C342" s="20">
        <f>IFERROR(__xludf.DUMMYFUNCTION("""COMPUTED_VALUE"""),380.3)</f>
        <v>380.3</v>
      </c>
      <c r="D342" s="21">
        <f>IFERROR(__xludf.DUMMYFUNCTION("""COMPUTED_VALUE"""),-1.4497463634138197)</f>
        <v>-1.449746363</v>
      </c>
      <c r="E342" s="21">
        <f>IFERROR(__xludf.DUMMYFUNCTION("""COMPUTED_VALUE"""),-3.437833495106213)</f>
        <v>-3.437833495</v>
      </c>
      <c r="F342" s="21">
        <f>IFERROR(__xludf.DUMMYFUNCTION("""COMPUTED_VALUE"""),-4.8875798585200325)</f>
        <v>-4.887579859</v>
      </c>
      <c r="G342" s="23">
        <f>IFERROR(__xludf.DUMMYFUNCTION("""COMPUTED_VALUE"""),-0.3336330830493177)</f>
        <v>-0.333633083</v>
      </c>
      <c r="H342" s="4"/>
      <c r="I342" s="5" t="s">
        <v>3538</v>
      </c>
      <c r="J342" s="5" t="s">
        <v>3283</v>
      </c>
      <c r="K342" s="5">
        <v>380.0</v>
      </c>
      <c r="L342" s="5">
        <v>-1.41241</v>
      </c>
      <c r="M342" s="5">
        <v>-3.47517</v>
      </c>
      <c r="N342" s="5">
        <v>-4.88758</v>
      </c>
      <c r="O342" s="5">
        <v>-0.333633</v>
      </c>
    </row>
    <row r="343">
      <c r="A343" s="12" t="str">
        <f>IFERROR(__xludf.DUMMYFUNCTION("""COMPUTED_VALUE"""),"Elias Gueldenhaupt")</f>
        <v>Elias Gueldenhaupt</v>
      </c>
      <c r="B343" s="13" t="str">
        <f>IFERROR(__xludf.DUMMYFUNCTION("""COMPUTED_VALUE"""),"WOLF")</f>
        <v>WOLF</v>
      </c>
      <c r="C343" s="14">
        <f>IFERROR(__xludf.DUMMYFUNCTION("""COMPUTED_VALUE"""),409.8)</f>
        <v>409.8</v>
      </c>
      <c r="D343" s="15">
        <f>IFERROR(__xludf.DUMMYFUNCTION("""COMPUTED_VALUE"""),-3.450139956672867)</f>
        <v>-3.450139957</v>
      </c>
      <c r="E343" s="15">
        <f>IFERROR(__xludf.DUMMYFUNCTION("""COMPUTED_VALUE"""),-1.4684521047884367)</f>
        <v>-1.468452105</v>
      </c>
      <c r="F343" s="15">
        <f>IFERROR(__xludf.DUMMYFUNCTION("""COMPUTED_VALUE"""),-4.918592061461304)</f>
        <v>-4.918592061</v>
      </c>
      <c r="G343" s="17">
        <f>IFERROR(__xludf.DUMMYFUNCTION("""COMPUTED_VALUE"""),-0.36317317576149777)</f>
        <v>-0.3631731758</v>
      </c>
      <c r="H343" s="4"/>
      <c r="I343" s="5" t="s">
        <v>3539</v>
      </c>
      <c r="J343" s="5" t="s">
        <v>3215</v>
      </c>
      <c r="K343" s="5">
        <v>410.0</v>
      </c>
      <c r="L343" s="5">
        <v>-3.412804</v>
      </c>
      <c r="M343" s="5">
        <v>-1.505788</v>
      </c>
      <c r="N343" s="5">
        <v>-4.918592</v>
      </c>
      <c r="O343" s="5">
        <v>-0.363173</v>
      </c>
    </row>
    <row r="344">
      <c r="A344" s="18" t="str">
        <f>IFERROR(__xludf.DUMMYFUNCTION("""COMPUTED_VALUE"""),"Finn Fleute")</f>
        <v>Finn Fleute</v>
      </c>
      <c r="B344" s="19" t="str">
        <f>IFERROR(__xludf.DUMMYFUNCTION("""COMPUTED_VALUE"""),"ETB")</f>
        <v>ETB</v>
      </c>
      <c r="C344" s="20">
        <f>IFERROR(__xludf.DUMMYFUNCTION("""COMPUTED_VALUE"""),215.1)</f>
        <v>215.1</v>
      </c>
      <c r="D344" s="21">
        <f>IFERROR(__xludf.DUMMYFUNCTION("""COMPUTED_VALUE"""),-2.9226173013179246)</f>
        <v>-2.922617301</v>
      </c>
      <c r="E344" s="21">
        <f>IFERROR(__xludf.DUMMYFUNCTION("""COMPUTED_VALUE"""),-2.0398173921413165)</f>
        <v>-2.039817392</v>
      </c>
      <c r="F344" s="21">
        <f>IFERROR(__xludf.DUMMYFUNCTION("""COMPUTED_VALUE"""),-4.962434693459241)</f>
        <v>-4.962434693</v>
      </c>
      <c r="G344" s="23">
        <f>IFERROR(__xludf.DUMMYFUNCTION("""COMPUTED_VALUE"""),-0.201351429433485)</f>
        <v>-0.2013514294</v>
      </c>
      <c r="H344" s="4"/>
      <c r="I344" s="5" t="s">
        <v>3540</v>
      </c>
      <c r="J344" s="5" t="s">
        <v>3229</v>
      </c>
      <c r="K344" s="5">
        <v>215.0</v>
      </c>
      <c r="L344" s="5">
        <v>-2.895847</v>
      </c>
      <c r="M344" s="5">
        <v>-2.066587</v>
      </c>
      <c r="N344" s="5">
        <v>-4.962435</v>
      </c>
      <c r="O344" s="5">
        <v>-0.201351</v>
      </c>
    </row>
    <row r="345">
      <c r="A345" s="12" t="str">
        <f>IFERROR(__xludf.DUMMYFUNCTION("""COMPUTED_VALUE"""),"Ferdinand Zylka")</f>
        <v>Ferdinand Zylka</v>
      </c>
      <c r="B345" s="13" t="str">
        <f>IFERROR(__xludf.DUMMYFUNCTION("""COMPUTED_VALUE"""),"SSV")</f>
        <v>SSV</v>
      </c>
      <c r="C345" s="14">
        <f>IFERROR(__xludf.DUMMYFUNCTION("""COMPUTED_VALUE"""),277.0)</f>
        <v>277</v>
      </c>
      <c r="D345" s="15">
        <f>IFERROR(__xludf.DUMMYFUNCTION("""COMPUTED_VALUE"""),-2.892685337332671)</f>
        <v>-2.892685337</v>
      </c>
      <c r="E345" s="15">
        <f>IFERROR(__xludf.DUMMYFUNCTION("""COMPUTED_VALUE"""),-2.094258284456647)</f>
        <v>-2.094258284</v>
      </c>
      <c r="F345" s="15">
        <f>IFERROR(__xludf.DUMMYFUNCTION("""COMPUTED_VALUE"""),-4.986943621789318)</f>
        <v>-4.986943622</v>
      </c>
      <c r="G345" s="17">
        <f>IFERROR(__xludf.DUMMYFUNCTION("""COMPUTED_VALUE"""),-0.25246668009686357)</f>
        <v>-0.2524666801</v>
      </c>
      <c r="H345" s="4"/>
      <c r="I345" s="5" t="s">
        <v>1158</v>
      </c>
      <c r="J345" s="5" t="s">
        <v>3226</v>
      </c>
      <c r="K345" s="5">
        <v>277.0</v>
      </c>
      <c r="L345" s="5">
        <v>-2.858212</v>
      </c>
      <c r="M345" s="5">
        <v>-2.128732</v>
      </c>
      <c r="N345" s="5">
        <v>-4.986944</v>
      </c>
      <c r="O345" s="5">
        <v>-0.252467</v>
      </c>
    </row>
    <row r="346">
      <c r="A346" s="18" t="str">
        <f>IFERROR(__xludf.DUMMYFUNCTION("""COMPUTED_VALUE"""),"Yannik Tauch")</f>
        <v>Yannik Tauch</v>
      </c>
      <c r="B346" s="19" t="str">
        <f>IFERROR(__xludf.DUMMYFUNCTION("""COMPUTED_VALUE"""),"ETB")</f>
        <v>ETB</v>
      </c>
      <c r="C346" s="20">
        <f>IFERROR(__xludf.DUMMYFUNCTION("""COMPUTED_VALUE"""),325.9)</f>
        <v>325.9</v>
      </c>
      <c r="D346" s="21">
        <f>IFERROR(__xludf.DUMMYFUNCTION("""COMPUTED_VALUE"""),-0.7437654563917928)</f>
        <v>-0.7437654564</v>
      </c>
      <c r="E346" s="21">
        <f>IFERROR(__xludf.DUMMYFUNCTION("""COMPUTED_VALUE"""),-4.281406615197334)</f>
        <v>-4.281406615</v>
      </c>
      <c r="F346" s="21">
        <f>IFERROR(__xludf.DUMMYFUNCTION("""COMPUTED_VALUE"""),-5.025172071589126)</f>
        <v>-5.025172072</v>
      </c>
      <c r="G346" s="23">
        <f>IFERROR(__xludf.DUMMYFUNCTION("""COMPUTED_VALUE"""),-0.3115300640293546)</f>
        <v>-0.311530064</v>
      </c>
      <c r="H346" s="4"/>
      <c r="I346" s="5" t="s">
        <v>3541</v>
      </c>
      <c r="J346" s="5" t="s">
        <v>3229</v>
      </c>
      <c r="K346" s="5">
        <v>326.0</v>
      </c>
      <c r="L346" s="5">
        <v>-0.706429</v>
      </c>
      <c r="M346" s="5">
        <v>-4.318743</v>
      </c>
      <c r="N346" s="5">
        <v>-5.025172</v>
      </c>
      <c r="O346" s="5">
        <v>-0.31153</v>
      </c>
    </row>
    <row r="347">
      <c r="A347" s="12" t="str">
        <f>IFERROR(__xludf.DUMMYFUNCTION("""COMPUTED_VALUE"""),"Lars Kroeger")</f>
        <v>Lars Kroeger</v>
      </c>
      <c r="B347" s="13" t="str">
        <f>IFERROR(__xludf.DUMMYFUNCTION("""COMPUTED_VALUE"""),"ITZ")</f>
        <v>ITZ</v>
      </c>
      <c r="C347" s="14">
        <f>IFERROR(__xludf.DUMMYFUNCTION("""COMPUTED_VALUE"""),370.1)</f>
        <v>370.1</v>
      </c>
      <c r="D347" s="15">
        <f>IFERROR(__xludf.DUMMYFUNCTION("""COMPUTED_VALUE"""),-3.137256425349222)</f>
        <v>-3.137256425</v>
      </c>
      <c r="E347" s="15">
        <f>IFERROR(__xludf.DUMMYFUNCTION("""COMPUTED_VALUE"""),-1.921593919858696)</f>
        <v>-1.92159392</v>
      </c>
      <c r="F347" s="15">
        <f>IFERROR(__xludf.DUMMYFUNCTION("""COMPUTED_VALUE"""),-5.058850345207918)</f>
        <v>-5.058850345</v>
      </c>
      <c r="G347" s="17">
        <f>IFERROR(__xludf.DUMMYFUNCTION("""COMPUTED_VALUE"""),-0.33756878190759526)</f>
        <v>-0.3375687819</v>
      </c>
      <c r="H347" s="4"/>
      <c r="I347" s="5" t="s">
        <v>3542</v>
      </c>
      <c r="J347" s="5" t="s">
        <v>3207</v>
      </c>
      <c r="K347" s="5">
        <v>370.0</v>
      </c>
      <c r="L347" s="5">
        <v>-3.09992</v>
      </c>
      <c r="M347" s="5">
        <v>-1.95893</v>
      </c>
      <c r="N347" s="5">
        <v>-5.05885</v>
      </c>
      <c r="O347" s="5">
        <v>-0.337569</v>
      </c>
    </row>
    <row r="348">
      <c r="A348" s="18" t="str">
        <f>IFERROR(__xludf.DUMMYFUNCTION("""COMPUTED_VALUE"""),"Lennart Weichsel")</f>
        <v>Lennart Weichsel</v>
      </c>
      <c r="B348" s="19" t="str">
        <f>IFERROR(__xludf.DUMMYFUNCTION("""COMPUTED_VALUE"""),"SHA")</f>
        <v>SHA</v>
      </c>
      <c r="C348" s="20">
        <f>IFERROR(__xludf.DUMMYFUNCTION("""COMPUTED_VALUE"""),370.5)</f>
        <v>370.5</v>
      </c>
      <c r="D348" s="21">
        <f>IFERROR(__xludf.DUMMYFUNCTION("""COMPUTED_VALUE"""),-5.455513270529508)</f>
        <v>-5.455513271</v>
      </c>
      <c r="E348" s="21">
        <f>IFERROR(__xludf.DUMMYFUNCTION("""COMPUTED_VALUE"""),0.3003905360343193)</f>
        <v>0.300390536</v>
      </c>
      <c r="F348" s="21">
        <f>IFERROR(__xludf.DUMMYFUNCTION("""COMPUTED_VALUE"""),-5.155122734495189)</f>
        <v>-5.155122734</v>
      </c>
      <c r="G348" s="23">
        <f>IFERROR(__xludf.DUMMYFUNCTION("""COMPUTED_VALUE"""),-0.3570130216960824)</f>
        <v>-0.3570130217</v>
      </c>
      <c r="H348" s="4"/>
      <c r="I348" s="5" t="s">
        <v>3543</v>
      </c>
      <c r="J348" s="5" t="s">
        <v>2201</v>
      </c>
      <c r="K348" s="5">
        <v>371.0</v>
      </c>
      <c r="L348" s="5">
        <v>-5.418177</v>
      </c>
      <c r="M348" s="5">
        <v>0.263055</v>
      </c>
      <c r="N348" s="5">
        <v>-5.155123</v>
      </c>
      <c r="O348" s="5">
        <v>-0.357013</v>
      </c>
    </row>
    <row r="349">
      <c r="A349" s="12" t="str">
        <f>IFERROR(__xludf.DUMMYFUNCTION("""COMPUTED_VALUE"""),"Till Hornscheidt")</f>
        <v>Till Hornscheidt</v>
      </c>
      <c r="B349" s="13" t="str">
        <f>IFERROR(__xludf.DUMMYFUNCTION("""COMPUTED_VALUE"""),"ETB")</f>
        <v>ETB</v>
      </c>
      <c r="C349" s="14">
        <f>IFERROR(__xludf.DUMMYFUNCTION("""COMPUTED_VALUE"""),223.8)</f>
        <v>223.8</v>
      </c>
      <c r="D349" s="15">
        <f>IFERROR(__xludf.DUMMYFUNCTION("""COMPUTED_VALUE"""),-2.3973592862720037)</f>
        <v>-2.397359286</v>
      </c>
      <c r="E349" s="15">
        <f>IFERROR(__xludf.DUMMYFUNCTION("""COMPUTED_VALUE"""),-2.7744462561476584)</f>
        <v>-2.774446256</v>
      </c>
      <c r="F349" s="15">
        <f>IFERROR(__xludf.DUMMYFUNCTION("""COMPUTED_VALUE"""),-5.171805542419662)</f>
        <v>-5.171805542</v>
      </c>
      <c r="G349" s="17">
        <f>IFERROR(__xludf.DUMMYFUNCTION("""COMPUTED_VALUE"""),-0.22430148941692524)</f>
        <v>-0.2243014894</v>
      </c>
      <c r="H349" s="4"/>
      <c r="I349" s="5" t="s">
        <v>3544</v>
      </c>
      <c r="J349" s="5" t="s">
        <v>3229</v>
      </c>
      <c r="K349" s="5">
        <v>224.0</v>
      </c>
      <c r="L349" s="5">
        <v>-2.369507</v>
      </c>
      <c r="M349" s="5">
        <v>-2.802299</v>
      </c>
      <c r="N349" s="5">
        <v>-5.171806</v>
      </c>
      <c r="O349" s="5">
        <v>-0.224301</v>
      </c>
    </row>
    <row r="350">
      <c r="A350" s="18" t="str">
        <f>IFERROR(__xludf.DUMMYFUNCTION("""COMPUTED_VALUE"""),"Dario Fiorentino")</f>
        <v>Dario Fiorentino</v>
      </c>
      <c r="B350" s="19" t="str">
        <f>IFERROR(__xludf.DUMMYFUNCTION("""COMPUTED_VALUE"""),"SCHW")</f>
        <v>SCHW</v>
      </c>
      <c r="C350" s="20">
        <f>IFERROR(__xludf.DUMMYFUNCTION("""COMPUTED_VALUE"""),248.2)</f>
        <v>248.2</v>
      </c>
      <c r="D350" s="21">
        <f>IFERROR(__xludf.DUMMYFUNCTION("""COMPUTED_VALUE"""),-3.0247264959223843)</f>
        <v>-3.024726496</v>
      </c>
      <c r="E350" s="21">
        <f>IFERROR(__xludf.DUMMYFUNCTION("""COMPUTED_VALUE"""),-2.1685078853906177)</f>
        <v>-2.168507885</v>
      </c>
      <c r="F350" s="21">
        <f>IFERROR(__xludf.DUMMYFUNCTION("""COMPUTED_VALUE"""),-5.193234381313002)</f>
        <v>-5.193234381</v>
      </c>
      <c r="G350" s="23">
        <f>IFERROR(__xludf.DUMMYFUNCTION("""COMPUTED_VALUE"""),-0.24039235497952258)</f>
        <v>-0.240392355</v>
      </c>
      <c r="H350" s="4"/>
      <c r="I350" s="5" t="s">
        <v>3545</v>
      </c>
      <c r="J350" s="5" t="s">
        <v>3205</v>
      </c>
      <c r="K350" s="5">
        <v>248.0</v>
      </c>
      <c r="L350" s="5">
        <v>-2.993837</v>
      </c>
      <c r="M350" s="5">
        <v>-2.199397</v>
      </c>
      <c r="N350" s="5">
        <v>-5.193234</v>
      </c>
      <c r="O350" s="5">
        <v>-0.240392</v>
      </c>
    </row>
    <row r="351">
      <c r="A351" s="12" t="str">
        <f>IFERROR(__xludf.DUMMYFUNCTION("""COMPUTED_VALUE"""),"Arthur Zaletskiy")</f>
        <v>Arthur Zaletskiy</v>
      </c>
      <c r="B351" s="13" t="str">
        <f>IFERROR(__xludf.DUMMYFUNCTION("""COMPUTED_VALUE"""),"ART")</f>
        <v>ART</v>
      </c>
      <c r="C351" s="14">
        <f>IFERROR(__xludf.DUMMYFUNCTION("""COMPUTED_VALUE"""),385.2)</f>
        <v>385.2</v>
      </c>
      <c r="D351" s="15">
        <f>IFERROR(__xludf.DUMMYFUNCTION("""COMPUTED_VALUE"""),-3.844020386231273)</f>
        <v>-3.844020386</v>
      </c>
      <c r="E351" s="15">
        <f>IFERROR(__xludf.DUMMYFUNCTION("""COMPUTED_VALUE"""),-1.3952460991726703)</f>
        <v>-1.395246099</v>
      </c>
      <c r="F351" s="15">
        <f>IFERROR(__xludf.DUMMYFUNCTION("""COMPUTED_VALUE"""),-5.2392664854039435)</f>
        <v>-5.239266485</v>
      </c>
      <c r="G351" s="17">
        <f>IFERROR(__xludf.DUMMYFUNCTION("""COMPUTED_VALUE"""),-0.3687594013756993)</f>
        <v>-0.3687594014</v>
      </c>
      <c r="H351" s="4"/>
      <c r="I351" s="5" t="s">
        <v>3546</v>
      </c>
      <c r="J351" s="5" t="s">
        <v>3229</v>
      </c>
      <c r="K351" s="5">
        <v>238.0</v>
      </c>
      <c r="L351" s="5">
        <v>-3.862095</v>
      </c>
      <c r="M351" s="5">
        <v>-1.385423</v>
      </c>
      <c r="N351" s="5">
        <v>-5.247518</v>
      </c>
      <c r="O351" s="5">
        <v>-0.243919</v>
      </c>
    </row>
    <row r="352">
      <c r="A352" s="18" t="str">
        <f>IFERROR(__xludf.DUMMYFUNCTION("""COMPUTED_VALUE"""),"Kelvin Okundaye")</f>
        <v>Kelvin Okundaye</v>
      </c>
      <c r="B352" s="19" t="str">
        <f>IFERROR(__xludf.DUMMYFUNCTION("""COMPUTED_VALUE"""),"ETB")</f>
        <v>ETB</v>
      </c>
      <c r="C352" s="20">
        <f>IFERROR(__xludf.DUMMYFUNCTION("""COMPUTED_VALUE"""),237.7)</f>
        <v>237.7</v>
      </c>
      <c r="D352" s="21">
        <f>IFERROR(__xludf.DUMMYFUNCTION("""COMPUTED_VALUE"""),-3.8916777173493764)</f>
        <v>-3.891677717</v>
      </c>
      <c r="E352" s="21">
        <f>IFERROR(__xludf.DUMMYFUNCTION("""COMPUTED_VALUE"""),-1.3558402407597216)</f>
        <v>-1.355840241</v>
      </c>
      <c r="F352" s="21">
        <f>IFERROR(__xludf.DUMMYFUNCTION("""COMPUTED_VALUE"""),-5.247517958109098)</f>
        <v>-5.247517958</v>
      </c>
      <c r="G352" s="23">
        <f>IFERROR(__xludf.DUMMYFUNCTION("""COMPUTED_VALUE"""),-0.24391935592740197)</f>
        <v>-0.2439193559</v>
      </c>
      <c r="H352" s="4"/>
      <c r="I352" s="5" t="s">
        <v>3547</v>
      </c>
      <c r="J352" s="5" t="s">
        <v>3223</v>
      </c>
      <c r="K352" s="5">
        <v>317.0</v>
      </c>
      <c r="L352" s="5">
        <v>-4.369315</v>
      </c>
      <c r="M352" s="5">
        <v>-0.90396</v>
      </c>
      <c r="N352" s="5">
        <v>-5.273275</v>
      </c>
      <c r="O352" s="5">
        <v>-0.315154</v>
      </c>
    </row>
    <row r="353">
      <c r="A353" s="12" t="str">
        <f>IFERROR(__xludf.DUMMYFUNCTION("""COMPUTED_VALUE"""),"Marc Kunz")</f>
        <v>Marc Kunz</v>
      </c>
      <c r="B353" s="13" t="str">
        <f>IFERROR(__xludf.DUMMYFUNCTION("""COMPUTED_VALUE"""),"AKAD")</f>
        <v>AKAD</v>
      </c>
      <c r="C353" s="14">
        <f>IFERROR(__xludf.DUMMYFUNCTION("""COMPUTED_VALUE"""),316.8)</f>
        <v>316.8</v>
      </c>
      <c r="D353" s="15">
        <f>IFERROR(__xludf.DUMMYFUNCTION("""COMPUTED_VALUE"""),-4.4066510938507735)</f>
        <v>-4.406651094</v>
      </c>
      <c r="E353" s="15">
        <f>IFERROR(__xludf.DUMMYFUNCTION("""COMPUTED_VALUE"""),-0.8666242978470278)</f>
        <v>-0.8666242978</v>
      </c>
      <c r="F353" s="15">
        <f>IFERROR(__xludf.DUMMYFUNCTION("""COMPUTED_VALUE"""),-5.273275391697801)</f>
        <v>-5.273275392</v>
      </c>
      <c r="G353" s="17">
        <f>IFERROR(__xludf.DUMMYFUNCTION("""COMPUTED_VALUE"""),-0.3151543882697)</f>
        <v>-0.3151543883</v>
      </c>
      <c r="H353" s="4"/>
      <c r="I353" s="5" t="s">
        <v>3548</v>
      </c>
      <c r="J353" s="5" t="s">
        <v>3237</v>
      </c>
      <c r="K353" s="5">
        <v>503.0</v>
      </c>
      <c r="L353" s="5">
        <v>-5.050441</v>
      </c>
      <c r="M353" s="5">
        <v>-0.238524</v>
      </c>
      <c r="N353" s="5">
        <v>-5.288964</v>
      </c>
      <c r="O353" s="5">
        <v>-0.558479</v>
      </c>
    </row>
    <row r="354">
      <c r="A354" s="18" t="str">
        <f>IFERROR(__xludf.DUMMYFUNCTION("""COMPUTED_VALUE"""),"Abdulai Abakar")</f>
        <v>Abdulai Abakar</v>
      </c>
      <c r="B354" s="19" t="str">
        <f>IFERROR(__xludf.DUMMYFUNCTION("""COMPUTED_VALUE"""),"CUX")</f>
        <v>CUX</v>
      </c>
      <c r="C354" s="20">
        <f>IFERROR(__xludf.DUMMYFUNCTION("""COMPUTED_VALUE"""),503.3)</f>
        <v>503.3</v>
      </c>
      <c r="D354" s="21">
        <f>IFERROR(__xludf.DUMMYFUNCTION("""COMPUTED_VALUE"""),-5.087776705715997)</f>
        <v>-5.087776706</v>
      </c>
      <c r="E354" s="21">
        <f>IFERROR(__xludf.DUMMYFUNCTION("""COMPUTED_VALUE"""),-0.20118757854609726)</f>
        <v>-0.2011875785</v>
      </c>
      <c r="F354" s="21">
        <f>IFERROR(__xludf.DUMMYFUNCTION("""COMPUTED_VALUE"""),-5.288964284262094)</f>
        <v>-5.288964284</v>
      </c>
      <c r="G354" s="23">
        <f>IFERROR(__xludf.DUMMYFUNCTION("""COMPUTED_VALUE"""),-0.5584789929600028)</f>
        <v>-0.558478993</v>
      </c>
      <c r="H354" s="4"/>
      <c r="I354" s="5" t="s">
        <v>3549</v>
      </c>
      <c r="J354" s="5" t="s">
        <v>3283</v>
      </c>
      <c r="K354" s="5">
        <v>224.0</v>
      </c>
      <c r="L354" s="5">
        <v>-3.827874</v>
      </c>
      <c r="M354" s="5">
        <v>-1.558083</v>
      </c>
      <c r="N354" s="5">
        <v>-5.385957</v>
      </c>
      <c r="O354" s="5">
        <v>-0.23043</v>
      </c>
    </row>
    <row r="355">
      <c r="A355" s="12" t="str">
        <f>IFERROR(__xludf.DUMMYFUNCTION("""COMPUTED_VALUE"""),"Thabo Paul")</f>
        <v>Thabo Paul</v>
      </c>
      <c r="B355" s="13" t="str">
        <f>IFERROR(__xludf.DUMMYFUNCTION("""COMPUTED_VALUE"""),"RSV")</f>
        <v>RSV</v>
      </c>
      <c r="C355" s="14">
        <f>IFERROR(__xludf.DUMMYFUNCTION("""COMPUTED_VALUE"""),224.0)</f>
        <v>224</v>
      </c>
      <c r="D355" s="15">
        <f>IFERROR(__xludf.DUMMYFUNCTION("""COMPUTED_VALUE"""),-3.8557514620106925)</f>
        <v>-3.855751462</v>
      </c>
      <c r="E355" s="15">
        <f>IFERROR(__xludf.DUMMYFUNCTION("""COMPUTED_VALUE"""),-1.5302052253401257)</f>
        <v>-1.530205225</v>
      </c>
      <c r="F355" s="15">
        <f>IFERROR(__xludf.DUMMYFUNCTION("""COMPUTED_VALUE"""),-5.385956687350818)</f>
        <v>-5.385956687</v>
      </c>
      <c r="G355" s="17">
        <f>IFERROR(__xludf.DUMMYFUNCTION("""COMPUTED_VALUE"""),-0.23042956298278683)</f>
        <v>-0.230429563</v>
      </c>
      <c r="H355" s="4"/>
      <c r="I355" s="5" t="s">
        <v>3550</v>
      </c>
      <c r="J355" s="5" t="s">
        <v>3220</v>
      </c>
      <c r="K355" s="5">
        <v>218.0</v>
      </c>
      <c r="L355" s="5">
        <v>-2.770297</v>
      </c>
      <c r="M355" s="5">
        <v>-2.844008</v>
      </c>
      <c r="N355" s="5">
        <v>-5.614305</v>
      </c>
      <c r="O355" s="5">
        <v>-0.241668</v>
      </c>
    </row>
    <row r="356">
      <c r="A356" s="18" t="str">
        <f>IFERROR(__xludf.DUMMYFUNCTION("""COMPUTED_VALUE"""),"Jeffrey Martin")</f>
        <v>Jeffrey Martin</v>
      </c>
      <c r="B356" s="19" t="str">
        <f>IFERROR(__xludf.DUMMYFUNCTION("""COMPUTED_VALUE"""),"ROST")</f>
        <v>ROST</v>
      </c>
      <c r="C356" s="20">
        <f>IFERROR(__xludf.DUMMYFUNCTION("""COMPUTED_VALUE"""),217.8)</f>
        <v>217.8</v>
      </c>
      <c r="D356" s="21">
        <f>IFERROR(__xludf.DUMMYFUNCTION("""COMPUTED_VALUE"""),-2.8245090692695034)</f>
        <v>-2.824509069</v>
      </c>
      <c r="E356" s="21">
        <f>IFERROR(__xludf.DUMMYFUNCTION("""COMPUTED_VALUE"""),-2.789795762712877)</f>
        <v>-2.789795763</v>
      </c>
      <c r="F356" s="21">
        <f>IFERROR(__xludf.DUMMYFUNCTION("""COMPUTED_VALUE"""),-5.6143048319823805)</f>
        <v>-5.614304832</v>
      </c>
      <c r="G356" s="23">
        <f>IFERROR(__xludf.DUMMYFUNCTION("""COMPUTED_VALUE"""),-0.24166767359201388)</f>
        <v>-0.2416676736</v>
      </c>
      <c r="H356" s="4"/>
      <c r="I356" s="5" t="s">
        <v>3551</v>
      </c>
      <c r="J356" s="5" t="s">
        <v>3223</v>
      </c>
      <c r="K356" s="5">
        <v>666.0</v>
      </c>
      <c r="L356" s="5">
        <v>-4.174864</v>
      </c>
      <c r="M356" s="5">
        <v>-1.490209</v>
      </c>
      <c r="N356" s="5">
        <v>-5.665073</v>
      </c>
      <c r="O356" s="5">
        <v>-0.741732</v>
      </c>
    </row>
    <row r="357">
      <c r="A357" s="12" t="str">
        <f>IFERROR(__xludf.DUMMYFUNCTION("""COMPUTED_VALUE"""),"Philipp Hadenfeldt")</f>
        <v>Philipp Hadenfeldt</v>
      </c>
      <c r="B357" s="13" t="str">
        <f>IFERROR(__xludf.DUMMYFUNCTION("""COMPUTED_VALUE"""),"AKAD")</f>
        <v>AKAD</v>
      </c>
      <c r="C357" s="14">
        <f>IFERROR(__xludf.DUMMYFUNCTION("""COMPUTED_VALUE"""),665.9)</f>
        <v>665.9</v>
      </c>
      <c r="D357" s="15">
        <f>IFERROR(__xludf.DUMMYFUNCTION("""COMPUTED_VALUE"""),-4.212200028866429)</f>
        <v>-4.212200029</v>
      </c>
      <c r="E357" s="15">
        <f>IFERROR(__xludf.DUMMYFUNCTION("""COMPUTED_VALUE"""),-1.4528730303601707)</f>
        <v>-1.45287303</v>
      </c>
      <c r="F357" s="15">
        <f>IFERROR(__xludf.DUMMYFUNCTION("""COMPUTED_VALUE"""),-5.6650730592266)</f>
        <v>-5.665073059</v>
      </c>
      <c r="G357" s="17">
        <f>IFERROR(__xludf.DUMMYFUNCTION("""COMPUTED_VALUE"""),-0.7417324706262892)</f>
        <v>-0.7417324706</v>
      </c>
      <c r="H357" s="4"/>
      <c r="I357" s="5" t="s">
        <v>3552</v>
      </c>
      <c r="J357" s="5" t="s">
        <v>3203</v>
      </c>
      <c r="K357" s="5">
        <v>528.0</v>
      </c>
      <c r="L357" s="5">
        <v>-4.263039</v>
      </c>
      <c r="M357" s="5">
        <v>-1.491363</v>
      </c>
      <c r="N357" s="5">
        <v>-5.754402</v>
      </c>
      <c r="O357" s="5">
        <v>-0.600554</v>
      </c>
    </row>
    <row r="358">
      <c r="A358" s="18" t="str">
        <f>IFERROR(__xludf.DUMMYFUNCTION("""COMPUTED_VALUE"""),"Alexander Moeller")</f>
        <v>Alexander Moeller</v>
      </c>
      <c r="B358" s="19" t="str">
        <f>IFERROR(__xludf.DUMMYFUNCTION("""COMPUTED_VALUE"""),"DRAG")</f>
        <v>DRAG</v>
      </c>
      <c r="C358" s="20">
        <f>IFERROR(__xludf.DUMMYFUNCTION("""COMPUTED_VALUE"""),527.5)</f>
        <v>527.5</v>
      </c>
      <c r="D358" s="21">
        <f>IFERROR(__xludf.DUMMYFUNCTION("""COMPUTED_VALUE"""),-4.300375037757643)</f>
        <v>-4.300375038</v>
      </c>
      <c r="E358" s="21">
        <f>IFERROR(__xludf.DUMMYFUNCTION("""COMPUTED_VALUE"""),-1.4540274310473684)</f>
        <v>-1.454027431</v>
      </c>
      <c r="F358" s="21">
        <f>IFERROR(__xludf.DUMMYFUNCTION("""COMPUTED_VALUE"""),-5.7544024688050115)</f>
        <v>-5.754402469</v>
      </c>
      <c r="G358" s="23">
        <f>IFERROR(__xludf.DUMMYFUNCTION("""COMPUTED_VALUE"""),-0.6005544176907157)</f>
        <v>-0.6005544177</v>
      </c>
      <c r="H358" s="4"/>
      <c r="I358" s="5" t="s">
        <v>1081</v>
      </c>
      <c r="J358" s="5" t="s">
        <v>3263</v>
      </c>
      <c r="K358" s="5">
        <v>411.0</v>
      </c>
      <c r="L358" s="5">
        <v>-5.115751</v>
      </c>
      <c r="M358" s="5">
        <v>-0.771523</v>
      </c>
      <c r="N358" s="5">
        <v>-5.887274</v>
      </c>
      <c r="O358" s="5">
        <v>-0.479956</v>
      </c>
    </row>
    <row r="359">
      <c r="A359" s="12" t="str">
        <f>IFERROR(__xludf.DUMMYFUNCTION("""COMPUTED_VALUE"""),"Armin Trtovac")</f>
        <v>Armin Trtovac</v>
      </c>
      <c r="B359" s="13" t="str">
        <f>IFERROR(__xludf.DUMMYFUNCTION("""COMPUTED_VALUE"""),"JR")</f>
        <v>JR</v>
      </c>
      <c r="C359" s="14">
        <f>IFERROR(__xludf.DUMMYFUNCTION("""COMPUTED_VALUE"""),410.8)</f>
        <v>410.8</v>
      </c>
      <c r="D359" s="15">
        <f>IFERROR(__xludf.DUMMYFUNCTION("""COMPUTED_VALUE"""),-5.153087401012401)</f>
        <v>-5.153087401</v>
      </c>
      <c r="E359" s="15">
        <f>IFERROR(__xludf.DUMMYFUNCTION("""COMPUTED_VALUE"""),-0.7341867179194583)</f>
        <v>-0.7341867179</v>
      </c>
      <c r="F359" s="15">
        <f>IFERROR(__xludf.DUMMYFUNCTION("""COMPUTED_VALUE"""),-5.88727411893186)</f>
        <v>-5.887274119</v>
      </c>
      <c r="G359" s="17">
        <f>IFERROR(__xludf.DUMMYFUNCTION("""COMPUTED_VALUE"""),-0.4799556187082222)</f>
        <v>-0.4799556187</v>
      </c>
      <c r="H359" s="4"/>
      <c r="I359" s="5" t="s">
        <v>3553</v>
      </c>
      <c r="J359" s="5" t="s">
        <v>3331</v>
      </c>
      <c r="K359" s="5">
        <v>305.0</v>
      </c>
      <c r="L359" s="5">
        <v>-0.19092</v>
      </c>
      <c r="M359" s="5">
        <v>-5.699536</v>
      </c>
      <c r="N359" s="5">
        <v>-5.890456</v>
      </c>
      <c r="O359" s="5">
        <v>-0.360262</v>
      </c>
    </row>
    <row r="360">
      <c r="A360" s="18" t="str">
        <f>IFERROR(__xludf.DUMMYFUNCTION("""COMPUTED_VALUE"""),"Davorin Kuntic")</f>
        <v>Davorin Kuntic</v>
      </c>
      <c r="B360" s="19" t="str">
        <f>IFERROR(__xludf.DUMMYFUNCTION("""COMPUTED_VALUE"""),"KIT")</f>
        <v>KIT</v>
      </c>
      <c r="C360" s="20">
        <f>IFERROR(__xludf.DUMMYFUNCTION("""COMPUTED_VALUE"""),305.1)</f>
        <v>305.1</v>
      </c>
      <c r="D360" s="21">
        <f>IFERROR(__xludf.DUMMYFUNCTION("""COMPUTED_VALUE"""),-0.22825594216144285)</f>
        <v>-0.2282559422</v>
      </c>
      <c r="E360" s="21">
        <f>IFERROR(__xludf.DUMMYFUNCTION("""COMPUTED_VALUE"""),-5.6622002500966975)</f>
        <v>-5.66220025</v>
      </c>
      <c r="F360" s="21">
        <f>IFERROR(__xludf.DUMMYFUNCTION("""COMPUTED_VALUE"""),-5.89045619225814)</f>
        <v>-5.890456192</v>
      </c>
      <c r="G360" s="23">
        <f>IFERROR(__xludf.DUMMYFUNCTION("""COMPUTED_VALUE"""),-0.3602624119079868)</f>
        <v>-0.3602624119</v>
      </c>
      <c r="H360" s="4"/>
      <c r="I360" s="5" t="s">
        <v>3554</v>
      </c>
      <c r="J360" s="5" t="s">
        <v>3203</v>
      </c>
      <c r="K360" s="5">
        <v>178.0</v>
      </c>
      <c r="L360" s="5">
        <v>-5.252443</v>
      </c>
      <c r="M360" s="5">
        <v>-0.705728</v>
      </c>
      <c r="N360" s="5">
        <v>-5.95817</v>
      </c>
      <c r="O360" s="5">
        <v>-0.21389</v>
      </c>
    </row>
    <row r="361">
      <c r="A361" s="12" t="str">
        <f>IFERROR(__xludf.DUMMYFUNCTION("""COMPUTED_VALUE"""),"Joachim Kochade")</f>
        <v>Joachim Kochade</v>
      </c>
      <c r="B361" s="13" t="str">
        <f>IFERROR(__xludf.DUMMYFUNCTION("""COMPUTED_VALUE"""),"DRAG")</f>
        <v>DRAG</v>
      </c>
      <c r="C361" s="14">
        <f>IFERROR(__xludf.DUMMYFUNCTION("""COMPUTED_VALUE"""),178.2)</f>
        <v>178.2</v>
      </c>
      <c r="D361" s="15">
        <f>IFERROR(__xludf.DUMMYFUNCTION("""COMPUTED_VALUE"""),-5.274620303017564)</f>
        <v>-5.274620303</v>
      </c>
      <c r="E361" s="15">
        <f>IFERROR(__xludf.DUMMYFUNCTION("""COMPUTED_VALUE"""),-0.6835499877589468)</f>
        <v>-0.6835499878</v>
      </c>
      <c r="F361" s="15">
        <f>IFERROR(__xludf.DUMMYFUNCTION("""COMPUTED_VALUE"""),-5.95817029077651)</f>
        <v>-5.958170291</v>
      </c>
      <c r="G361" s="17">
        <f>IFERROR(__xludf.DUMMYFUNCTION("""COMPUTED_VALUE"""),-0.21389037883990022)</f>
        <v>-0.2138903788</v>
      </c>
      <c r="H361" s="4"/>
      <c r="I361" s="5" t="s">
        <v>3555</v>
      </c>
      <c r="J361" s="5" t="s">
        <v>3229</v>
      </c>
      <c r="K361" s="5">
        <v>362.0</v>
      </c>
      <c r="L361" s="5">
        <v>-4.554743</v>
      </c>
      <c r="M361" s="5">
        <v>-1.418111</v>
      </c>
      <c r="N361" s="5">
        <v>-5.972854</v>
      </c>
      <c r="O361" s="5">
        <v>-0.454817</v>
      </c>
    </row>
    <row r="362">
      <c r="A362" s="18" t="str">
        <f>IFERROR(__xludf.DUMMYFUNCTION("""COMPUTED_VALUE"""),"Jacob Albrecht")</f>
        <v>Jacob Albrecht</v>
      </c>
      <c r="B362" s="19" t="str">
        <f>IFERROR(__xludf.DUMMYFUNCTION("""COMPUTED_VALUE"""),"ETB")</f>
        <v>ETB</v>
      </c>
      <c r="C362" s="20">
        <f>IFERROR(__xludf.DUMMYFUNCTION("""COMPUTED_VALUE"""),362.3)</f>
        <v>362.3</v>
      </c>
      <c r="D362" s="21">
        <f>IFERROR(__xludf.DUMMYFUNCTION("""COMPUTED_VALUE"""),-4.592078803529515)</f>
        <v>-4.592078804</v>
      </c>
      <c r="E362" s="21">
        <f>IFERROR(__xludf.DUMMYFUNCTION("""COMPUTED_VALUE"""),-1.3807748603195344)</f>
        <v>-1.38077486</v>
      </c>
      <c r="F362" s="21">
        <f>IFERROR(__xludf.DUMMYFUNCTION("""COMPUTED_VALUE"""),-5.972853663849049)</f>
        <v>-5.972853664</v>
      </c>
      <c r="G362" s="23">
        <f>IFERROR(__xludf.DUMMYFUNCTION("""COMPUTED_VALUE"""),-0.454816722371242)</f>
        <v>-0.4548167224</v>
      </c>
      <c r="H362" s="4"/>
      <c r="I362" s="5" t="s">
        <v>3556</v>
      </c>
      <c r="J362" s="5" t="s">
        <v>3207</v>
      </c>
      <c r="K362" s="5">
        <v>440.0</v>
      </c>
      <c r="L362" s="5">
        <v>-3.065739</v>
      </c>
      <c r="M362" s="5">
        <v>-2.931699</v>
      </c>
      <c r="N362" s="5">
        <v>-5.997438</v>
      </c>
      <c r="O362" s="5">
        <v>-0.524945</v>
      </c>
    </row>
    <row r="363">
      <c r="A363" s="12" t="str">
        <f>IFERROR(__xludf.DUMMYFUNCTION("""COMPUTED_VALUE"""),"Nick Tienarend")</f>
        <v>Nick Tienarend</v>
      </c>
      <c r="B363" s="13" t="str">
        <f>IFERROR(__xludf.DUMMYFUNCTION("""COMPUTED_VALUE"""),"ITZ")</f>
        <v>ITZ</v>
      </c>
      <c r="C363" s="14">
        <f>IFERROR(__xludf.DUMMYFUNCTION("""COMPUTED_VALUE"""),440.4)</f>
        <v>440.4</v>
      </c>
      <c r="D363" s="15">
        <f>IFERROR(__xludf.DUMMYFUNCTION("""COMPUTED_VALUE"""),-3.1030749963282784)</f>
        <v>-3.103074996</v>
      </c>
      <c r="E363" s="15">
        <f>IFERROR(__xludf.DUMMYFUNCTION("""COMPUTED_VALUE"""),-2.8943631993137537)</f>
        <v>-2.894363199</v>
      </c>
      <c r="F363" s="15">
        <f>IFERROR(__xludf.DUMMYFUNCTION("""COMPUTED_VALUE"""),-5.997438195642032)</f>
        <v>-5.997438196</v>
      </c>
      <c r="G363" s="17">
        <f>IFERROR(__xludf.DUMMYFUNCTION("""COMPUTED_VALUE"""),-0.5249452738719375)</f>
        <v>-0.5249452739</v>
      </c>
      <c r="H363" s="4"/>
      <c r="I363" s="5" t="s">
        <v>3557</v>
      </c>
      <c r="J363" s="5" t="s">
        <v>3283</v>
      </c>
      <c r="K363" s="5">
        <v>527.0</v>
      </c>
      <c r="L363" s="5">
        <v>-2.248328</v>
      </c>
      <c r="M363" s="5">
        <v>-3.756567</v>
      </c>
      <c r="N363" s="5">
        <v>-6.004895</v>
      </c>
      <c r="O363" s="5">
        <v>-0.641103</v>
      </c>
    </row>
    <row r="364">
      <c r="A364" s="18" t="str">
        <f>IFERROR(__xludf.DUMMYFUNCTION("""COMPUTED_VALUE"""),"Colin Craven")</f>
        <v>Colin Craven</v>
      </c>
      <c r="B364" s="19" t="str">
        <f>IFERROR(__xludf.DUMMYFUNCTION("""COMPUTED_VALUE"""),"RSV")</f>
        <v>RSV</v>
      </c>
      <c r="C364" s="20">
        <f>IFERROR(__xludf.DUMMYFUNCTION("""COMPUTED_VALUE"""),526.9)</f>
        <v>526.9</v>
      </c>
      <c r="D364" s="21">
        <f>IFERROR(__xludf.DUMMYFUNCTION("""COMPUTED_VALUE"""),-2.285664431886804)</f>
        <v>-2.285664432</v>
      </c>
      <c r="E364" s="21">
        <f>IFERROR(__xludf.DUMMYFUNCTION("""COMPUTED_VALUE"""),-3.7192306352038975)</f>
        <v>-3.719230635</v>
      </c>
      <c r="F364" s="21">
        <f>IFERROR(__xludf.DUMMYFUNCTION("""COMPUTED_VALUE"""),-6.004895067090701)</f>
        <v>-6.004895067</v>
      </c>
      <c r="G364" s="23">
        <f>IFERROR(__xludf.DUMMYFUNCTION("""COMPUTED_VALUE"""),-0.6411034582771552)</f>
        <v>-0.6411034583</v>
      </c>
      <c r="H364" s="4"/>
      <c r="I364" s="5" t="s">
        <v>3102</v>
      </c>
      <c r="J364" s="5" t="s">
        <v>3281</v>
      </c>
      <c r="K364" s="5">
        <v>393.0</v>
      </c>
      <c r="L364" s="5">
        <v>-6.185429</v>
      </c>
      <c r="M364" s="5">
        <v>-0.142635</v>
      </c>
      <c r="N364" s="5">
        <v>-6.328064</v>
      </c>
      <c r="O364" s="5">
        <v>-0.518482</v>
      </c>
    </row>
    <row r="365">
      <c r="A365" s="12" t="str">
        <f>IFERROR(__xludf.DUMMYFUNCTION("""COMPUTED_VALUE"""),"Marius Behr")</f>
        <v>Marius Behr</v>
      </c>
      <c r="B365" s="13" t="str">
        <f>IFERROR(__xludf.DUMMYFUNCTION("""COMPUTED_VALUE"""),"RIST")</f>
        <v>RIST</v>
      </c>
      <c r="C365" s="14">
        <f>IFERROR(__xludf.DUMMYFUNCTION("""COMPUTED_VALUE"""),392.9)</f>
        <v>392.9</v>
      </c>
      <c r="D365" s="15">
        <f>IFERROR(__xludf.DUMMYFUNCTION("""COMPUTED_VALUE"""),-6.2227650702585855)</f>
        <v>-6.22276507</v>
      </c>
      <c r="E365" s="15">
        <f>IFERROR(__xludf.DUMMYFUNCTION("""COMPUTED_VALUE"""),-0.10529876764176116)</f>
        <v>-0.1052987676</v>
      </c>
      <c r="F365" s="15">
        <f>IFERROR(__xludf.DUMMYFUNCTION("""COMPUTED_VALUE"""),-6.328063837900347)</f>
        <v>-6.328063838</v>
      </c>
      <c r="G365" s="17">
        <f>IFERROR(__xludf.DUMMYFUNCTION("""COMPUTED_VALUE"""),-0.5184823944908097)</f>
        <v>-0.5184823945</v>
      </c>
      <c r="H365" s="4"/>
      <c r="I365" s="5" t="s">
        <v>3558</v>
      </c>
      <c r="J365" s="5" t="s">
        <v>3229</v>
      </c>
      <c r="K365" s="5">
        <v>404.0</v>
      </c>
      <c r="L365" s="5">
        <v>-4.968614</v>
      </c>
      <c r="M365" s="5">
        <v>-1.38248</v>
      </c>
      <c r="N365" s="5">
        <v>-6.351094</v>
      </c>
      <c r="O365" s="5">
        <v>-0.555313</v>
      </c>
    </row>
    <row r="366">
      <c r="A366" s="18" t="str">
        <f>IFERROR(__xludf.DUMMYFUNCTION("""COMPUTED_VALUE"""),"Nikola Gaurina")</f>
        <v>Nikola Gaurina</v>
      </c>
      <c r="B366" s="19" t="str">
        <f>IFERROR(__xludf.DUMMYFUNCTION("""COMPUTED_VALUE"""),"ETB")</f>
        <v>ETB</v>
      </c>
      <c r="C366" s="20">
        <f>IFERROR(__xludf.DUMMYFUNCTION("""COMPUTED_VALUE"""),403.9)</f>
        <v>403.9</v>
      </c>
      <c r="D366" s="21">
        <f>IFERROR(__xludf.DUMMYFUNCTION("""COMPUTED_VALUE"""),-5.0059495201722655)</f>
        <v>-5.00594952</v>
      </c>
      <c r="E366" s="21">
        <f>IFERROR(__xludf.DUMMYFUNCTION("""COMPUTED_VALUE"""),-1.3451441028146043)</f>
        <v>-1.345144103</v>
      </c>
      <c r="F366" s="21">
        <f>IFERROR(__xludf.DUMMYFUNCTION("""COMPUTED_VALUE"""),-6.35109362298687)</f>
        <v>-6.351093623</v>
      </c>
      <c r="G366" s="23">
        <f>IFERROR(__xludf.DUMMYFUNCTION("""COMPUTED_VALUE"""),-0.5553129518781489)</f>
        <v>-0.5553129519</v>
      </c>
      <c r="H366" s="4"/>
      <c r="I366" s="5" t="s">
        <v>3096</v>
      </c>
      <c r="J366" s="5" t="s">
        <v>3205</v>
      </c>
      <c r="K366" s="5">
        <v>202.0</v>
      </c>
      <c r="L366" s="5">
        <v>-5.569053</v>
      </c>
      <c r="M366" s="5">
        <v>-0.857553</v>
      </c>
      <c r="N366" s="5">
        <v>-6.426606</v>
      </c>
      <c r="O366" s="5">
        <v>-0.27081</v>
      </c>
    </row>
    <row r="367">
      <c r="A367" s="12" t="str">
        <f>IFERROR(__xludf.DUMMYFUNCTION("""COMPUTED_VALUE"""),"Jonah Bredt")</f>
        <v>Jonah Bredt</v>
      </c>
      <c r="B367" s="13" t="str">
        <f>IFERROR(__xludf.DUMMYFUNCTION("""COMPUTED_VALUE"""),"SCHW")</f>
        <v>SCHW</v>
      </c>
      <c r="C367" s="14">
        <f>IFERROR(__xludf.DUMMYFUNCTION("""COMPUTED_VALUE"""),201.7)</f>
        <v>201.7</v>
      </c>
      <c r="D367" s="15">
        <f>IFERROR(__xludf.DUMMYFUNCTION("""COMPUTED_VALUE"""),-5.594155654294907)</f>
        <v>-5.594155654</v>
      </c>
      <c r="E367" s="15">
        <f>IFERROR(__xludf.DUMMYFUNCTION("""COMPUTED_VALUE"""),-0.8324508326222562)</f>
        <v>-0.8324508326</v>
      </c>
      <c r="F367" s="15">
        <f>IFERROR(__xludf.DUMMYFUNCTION("""COMPUTED_VALUE"""),-6.426606486917163)</f>
        <v>-6.426606487</v>
      </c>
      <c r="G367" s="17">
        <f>IFERROR(__xludf.DUMMYFUNCTION("""COMPUTED_VALUE"""),-0.27081012181306896)</f>
        <v>-0.2708101218</v>
      </c>
      <c r="H367" s="4"/>
      <c r="I367" s="5" t="s">
        <v>3559</v>
      </c>
      <c r="J367" s="5" t="s">
        <v>3205</v>
      </c>
      <c r="K367" s="5">
        <v>439.0</v>
      </c>
      <c r="L367" s="5">
        <v>-5.368221</v>
      </c>
      <c r="M367" s="5">
        <v>-1.168503</v>
      </c>
      <c r="N367" s="5">
        <v>-6.536724</v>
      </c>
      <c r="O367" s="5">
        <v>-0.604218</v>
      </c>
    </row>
    <row r="368">
      <c r="A368" s="18" t="str">
        <f>IFERROR(__xludf.DUMMYFUNCTION("""COMPUTED_VALUE"""),"Sasha Cuic")</f>
        <v>Sasha Cuic</v>
      </c>
      <c r="B368" s="19" t="str">
        <f>IFERROR(__xludf.DUMMYFUNCTION("""COMPUTED_VALUE"""),"SCHW")</f>
        <v>SCHW</v>
      </c>
      <c r="C368" s="20">
        <f>IFERROR(__xludf.DUMMYFUNCTION("""COMPUTED_VALUE"""),439.1)</f>
        <v>439.1</v>
      </c>
      <c r="D368" s="21">
        <f>IFERROR(__xludf.DUMMYFUNCTION("""COMPUTED_VALUE"""),-5.405557006321212)</f>
        <v>-5.405557006</v>
      </c>
      <c r="E368" s="21">
        <f>IFERROR(__xludf.DUMMYFUNCTION("""COMPUTED_VALUE"""),-1.1311666218701522)</f>
        <v>-1.131166622</v>
      </c>
      <c r="F368" s="21">
        <f>IFERROR(__xludf.DUMMYFUNCTION("""COMPUTED_VALUE"""),-6.536723628191364)</f>
        <v>-6.536723628</v>
      </c>
      <c r="G368" s="23">
        <f>IFERROR(__xludf.DUMMYFUNCTION("""COMPUTED_VALUE"""),-0.604218249958192)</f>
        <v>-0.60421825</v>
      </c>
      <c r="H368" s="4"/>
      <c r="I368" s="5" t="s">
        <v>3560</v>
      </c>
      <c r="J368" s="5" t="s">
        <v>3203</v>
      </c>
      <c r="K368" s="5">
        <v>269.0</v>
      </c>
      <c r="L368" s="5">
        <v>-4.064724</v>
      </c>
      <c r="M368" s="5">
        <v>-2.500528</v>
      </c>
      <c r="N368" s="5">
        <v>-6.565251</v>
      </c>
      <c r="O368" s="5">
        <v>-0.37212</v>
      </c>
    </row>
    <row r="369">
      <c r="A369" s="12" t="str">
        <f>IFERROR(__xludf.DUMMYFUNCTION("""COMPUTED_VALUE"""),"Yannik Kneesch")</f>
        <v>Yannik Kneesch</v>
      </c>
      <c r="B369" s="13" t="str">
        <f>IFERROR(__xludf.DUMMYFUNCTION("""COMPUTED_VALUE"""),"DRAG")</f>
        <v>DRAG</v>
      </c>
      <c r="C369" s="14">
        <f>IFERROR(__xludf.DUMMYFUNCTION("""COMPUTED_VALUE"""),268.8)</f>
        <v>268.8</v>
      </c>
      <c r="D369" s="15">
        <f>IFERROR(__xludf.DUMMYFUNCTION("""COMPUTED_VALUE"""),-4.098176880696734)</f>
        <v>-4.098176881</v>
      </c>
      <c r="E369" s="15">
        <f>IFERROR(__xludf.DUMMYFUNCTION("""COMPUTED_VALUE"""),-2.4670745374845655)</f>
        <v>-2.467074537</v>
      </c>
      <c r="F369" s="15">
        <f>IFERROR(__xludf.DUMMYFUNCTION("""COMPUTED_VALUE"""),-6.565251418181299)</f>
        <v>-6.565251418</v>
      </c>
      <c r="G369" s="17">
        <f>IFERROR(__xludf.DUMMYFUNCTION("""COMPUTED_VALUE"""),-0.37212002347307904)</f>
        <v>-0.3721200235</v>
      </c>
      <c r="H369" s="4"/>
      <c r="I369" s="5" t="s">
        <v>3561</v>
      </c>
      <c r="J369" s="5" t="s">
        <v>3331</v>
      </c>
      <c r="K369" s="5">
        <v>285.0</v>
      </c>
      <c r="L369" s="5">
        <v>-2.194669</v>
      </c>
      <c r="M369" s="5">
        <v>-4.548595</v>
      </c>
      <c r="N369" s="5">
        <v>-6.743264</v>
      </c>
      <c r="O369" s="5">
        <v>-0.410297</v>
      </c>
    </row>
    <row r="370">
      <c r="A370" s="18" t="str">
        <f>IFERROR(__xludf.DUMMYFUNCTION("""COMPUTED_VALUE"""),"Chaed Wellian")</f>
        <v>Chaed Wellian</v>
      </c>
      <c r="B370" s="19" t="str">
        <f>IFERROR(__xludf.DUMMYFUNCTION("""COMPUTED_VALUE"""),"KIT")</f>
        <v>KIT</v>
      </c>
      <c r="C370" s="20">
        <f>IFERROR(__xludf.DUMMYFUNCTION("""COMPUTED_VALUE"""),285.0)</f>
        <v>285</v>
      </c>
      <c r="D370" s="21">
        <f>IFERROR(__xludf.DUMMYFUNCTION("""COMPUTED_VALUE"""),-2.2301380804011655)</f>
        <v>-2.23013808</v>
      </c>
      <c r="E370" s="21">
        <f>IFERROR(__xludf.DUMMYFUNCTION("""COMPUTED_VALUE"""),-4.51312557158108)</f>
        <v>-4.513125572</v>
      </c>
      <c r="F370" s="21">
        <f>IFERROR(__xludf.DUMMYFUNCTION("""COMPUTED_VALUE"""),-6.743263651982246)</f>
        <v>-6.743263652</v>
      </c>
      <c r="G370" s="23">
        <f>IFERROR(__xludf.DUMMYFUNCTION("""COMPUTED_VALUE"""),-0.4102969991182787)</f>
        <v>-0.4102969991</v>
      </c>
      <c r="H370" s="4"/>
      <c r="I370" s="5" t="s">
        <v>3562</v>
      </c>
      <c r="J370" s="5" t="s">
        <v>3331</v>
      </c>
      <c r="K370" s="5">
        <v>319.0</v>
      </c>
      <c r="L370" s="5">
        <v>-6.866288</v>
      </c>
      <c r="M370" s="5">
        <v>-0.174265</v>
      </c>
      <c r="N370" s="5">
        <v>-7.040553</v>
      </c>
      <c r="O370" s="5">
        <v>-0.487875</v>
      </c>
    </row>
    <row r="371">
      <c r="A371" s="12" t="str">
        <f>IFERROR(__xludf.DUMMYFUNCTION("""COMPUTED_VALUE"""),"Nils Maisel")</f>
        <v>Nils Maisel</v>
      </c>
      <c r="B371" s="13" t="str">
        <f>IFERROR(__xludf.DUMMYFUNCTION("""COMPUTED_VALUE"""),"KIT")</f>
        <v>KIT</v>
      </c>
      <c r="C371" s="14">
        <f>IFERROR(__xludf.DUMMYFUNCTION("""COMPUTED_VALUE"""),318.9)</f>
        <v>318.9</v>
      </c>
      <c r="D371" s="15">
        <f>IFERROR(__xludf.DUMMYFUNCTION("""COMPUTED_VALUE"""),-6.903623950619751)</f>
        <v>-6.903623951</v>
      </c>
      <c r="E371" s="15">
        <f>IFERROR(__xludf.DUMMYFUNCTION("""COMPUTED_VALUE"""),-0.13692874306593872)</f>
        <v>-0.1369287431</v>
      </c>
      <c r="F371" s="15">
        <f>IFERROR(__xludf.DUMMYFUNCTION("""COMPUTED_VALUE"""),-7.04055269368569)</f>
        <v>-7.040552694</v>
      </c>
      <c r="G371" s="17">
        <f>IFERROR(__xludf.DUMMYFUNCTION("""COMPUTED_VALUE"""),-0.4878753699863926)</f>
        <v>-0.48787537</v>
      </c>
      <c r="H371" s="4"/>
      <c r="I371" s="5" t="s">
        <v>3563</v>
      </c>
      <c r="J371" s="5" t="s">
        <v>3233</v>
      </c>
      <c r="K371" s="5">
        <v>385.0</v>
      </c>
      <c r="L371" s="5">
        <v>-4.702749</v>
      </c>
      <c r="M371" s="5">
        <v>-2.432518</v>
      </c>
      <c r="N371" s="5">
        <v>-7.135266</v>
      </c>
      <c r="O371" s="5">
        <v>-0.584601</v>
      </c>
    </row>
    <row r="372">
      <c r="A372" s="18" t="str">
        <f>IFERROR(__xludf.DUMMYFUNCTION("""COMPUTED_VALUE"""),"Dilhan Durant")</f>
        <v>Dilhan Durant</v>
      </c>
      <c r="B372" s="19" t="str">
        <f>IFERROR(__xludf.DUMMYFUNCTION("""COMPUTED_VALUE"""),"ETB")</f>
        <v>ETB</v>
      </c>
      <c r="C372" s="20">
        <f>IFERROR(__xludf.DUMMYFUNCTION("""COMPUTED_VALUE"""),541.4)</f>
        <v>541.4</v>
      </c>
      <c r="D372" s="21">
        <f>IFERROR(__xludf.DUMMYFUNCTION("""COMPUTED_VALUE"""),-4.919962664525496)</f>
        <v>-4.919962665</v>
      </c>
      <c r="E372" s="21">
        <f>IFERROR(__xludf.DUMMYFUNCTION("""COMPUTED_VALUE"""),-3.042912196049275)</f>
        <v>-3.042912196</v>
      </c>
      <c r="F372" s="21">
        <f>IFERROR(__xludf.DUMMYFUNCTION("""COMPUTED_VALUE"""),-7.962874860574771)</f>
        <v>-7.962874861</v>
      </c>
      <c r="G372" s="23">
        <f>IFERROR(__xludf.DUMMYFUNCTION("""COMPUTED_VALUE"""),-1.0200922971089295)</f>
        <v>-1.020092297</v>
      </c>
      <c r="H372" s="4"/>
      <c r="I372" s="5" t="s">
        <v>3564</v>
      </c>
      <c r="J372" s="5" t="s">
        <v>3229</v>
      </c>
      <c r="K372" s="5">
        <v>541.0</v>
      </c>
      <c r="L372" s="5">
        <v>-4.882627</v>
      </c>
      <c r="M372" s="5">
        <v>-3.080248</v>
      </c>
      <c r="N372" s="5">
        <v>-7.962875</v>
      </c>
      <c r="O372" s="5">
        <v>-1.020092</v>
      </c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6B26B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3260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IFERROR(__xludf.DUMMYFUNCTION("IMPORTRANGE(""https://docs.google.com/spreadsheets/d/14QKNFmD_Mh3u3bC-0v1FsdUmwlPia92bi-anWxsSvMM/edit#gid=1120027332"",""Leaders!A3:G502"")"),"")</f>
        <v/>
      </c>
      <c r="B3" s="13" t="str">
        <f>IFERROR(__xludf.DUMMYFUNCTION("""COMPUTED_VALUE"""),"")</f>
        <v/>
      </c>
      <c r="C3" s="14" t="str">
        <f>IFERROR(__xludf.DUMMYFUNCTION("""COMPUTED_VALUE"""),"")</f>
        <v/>
      </c>
      <c r="D3" s="15" t="str">
        <f>IFERROR(__xludf.DUMMYFUNCTION("""COMPUTED_VALUE"""),"")</f>
        <v/>
      </c>
      <c r="E3" s="15" t="str">
        <f>IFERROR(__xludf.DUMMYFUNCTION("""COMPUTED_VALUE"""),"")</f>
        <v/>
      </c>
      <c r="F3" s="15" t="str">
        <f>IFERROR(__xludf.DUMMYFUNCTION("""COMPUTED_VALUE"""),"")</f>
        <v/>
      </c>
      <c r="G3" s="17" t="str">
        <f>IFERROR(__xludf.DUMMYFUNCTION("""COMPUTED_VALUE"""),"")</f>
        <v/>
      </c>
      <c r="H3" s="4"/>
      <c r="I3" s="5" t="s">
        <v>760</v>
      </c>
      <c r="J3" s="5" t="s">
        <v>3203</v>
      </c>
      <c r="K3" s="24">
        <v>787.0</v>
      </c>
      <c r="L3" s="5">
        <v>9.304387</v>
      </c>
      <c r="M3" s="5">
        <v>4.0299</v>
      </c>
      <c r="N3" s="5">
        <v>13.334288</v>
      </c>
      <c r="O3" s="5">
        <v>3.657688</v>
      </c>
    </row>
    <row r="4">
      <c r="A4" s="18" t="str">
        <f>IFERROR(__xludf.DUMMYFUNCTION("""COMPUTED_VALUE"""),"")</f>
        <v/>
      </c>
      <c r="B4" s="19" t="str">
        <f>IFERROR(__xludf.DUMMYFUNCTION("""COMPUTED_VALUE"""),"")</f>
        <v/>
      </c>
      <c r="C4" s="20" t="str">
        <f>IFERROR(__xludf.DUMMYFUNCTION("""COMPUTED_VALUE"""),"")</f>
        <v/>
      </c>
      <c r="D4" s="21" t="str">
        <f>IFERROR(__xludf.DUMMYFUNCTION("""COMPUTED_VALUE"""),"")</f>
        <v/>
      </c>
      <c r="E4" s="21" t="str">
        <f>IFERROR(__xludf.DUMMYFUNCTION("""COMPUTED_VALUE"""),"")</f>
        <v/>
      </c>
      <c r="F4" s="21" t="str">
        <f>IFERROR(__xludf.DUMMYFUNCTION("""COMPUTED_VALUE"""),"")</f>
        <v/>
      </c>
      <c r="G4" s="23" t="str">
        <f>IFERROR(__xludf.DUMMYFUNCTION("""COMPUTED_VALUE"""),"")</f>
        <v/>
      </c>
      <c r="H4" s="4"/>
      <c r="I4" s="5" t="s">
        <v>3204</v>
      </c>
      <c r="J4" s="5" t="s">
        <v>3205</v>
      </c>
      <c r="K4" s="24">
        <v>319.0</v>
      </c>
      <c r="L4" s="5">
        <v>7.686434</v>
      </c>
      <c r="M4" s="5">
        <v>2.529961</v>
      </c>
      <c r="N4" s="5">
        <v>10.216395</v>
      </c>
      <c r="O4" s="5">
        <v>1.181641</v>
      </c>
    </row>
    <row r="5">
      <c r="A5" s="12" t="str">
        <f>IFERROR(__xludf.DUMMYFUNCTION("""COMPUTED_VALUE"""),"")</f>
        <v/>
      </c>
      <c r="B5" s="13" t="str">
        <f>IFERROR(__xludf.DUMMYFUNCTION("""COMPUTED_VALUE"""),"")</f>
        <v/>
      </c>
      <c r="C5" s="14" t="str">
        <f>IFERROR(__xludf.DUMMYFUNCTION("""COMPUTED_VALUE"""),"")</f>
        <v/>
      </c>
      <c r="D5" s="15" t="str">
        <f>IFERROR(__xludf.DUMMYFUNCTION("""COMPUTED_VALUE"""),"")</f>
        <v/>
      </c>
      <c r="E5" s="15" t="str">
        <f>IFERROR(__xludf.DUMMYFUNCTION("""COMPUTED_VALUE"""),"")</f>
        <v/>
      </c>
      <c r="F5" s="15" t="str">
        <f>IFERROR(__xludf.DUMMYFUNCTION("""COMPUTED_VALUE"""),"")</f>
        <v/>
      </c>
      <c r="G5" s="17" t="str">
        <f>IFERROR(__xludf.DUMMYFUNCTION("""COMPUTED_VALUE"""),"")</f>
        <v/>
      </c>
      <c r="H5" s="4"/>
      <c r="I5" s="5" t="s">
        <v>3206</v>
      </c>
      <c r="J5" s="5" t="s">
        <v>3207</v>
      </c>
      <c r="K5" s="24">
        <v>675.0</v>
      </c>
      <c r="L5" s="5">
        <v>5.835798</v>
      </c>
      <c r="M5" s="5">
        <v>3.764705</v>
      </c>
      <c r="N5" s="5">
        <v>9.600503</v>
      </c>
      <c r="O5" s="5">
        <v>2.335577</v>
      </c>
    </row>
    <row r="6">
      <c r="A6" s="18" t="str">
        <f>IFERROR(__xludf.DUMMYFUNCTION("""COMPUTED_VALUE"""),"")</f>
        <v/>
      </c>
      <c r="B6" s="19" t="str">
        <f>IFERROR(__xludf.DUMMYFUNCTION("""COMPUTED_VALUE"""),"")</f>
        <v/>
      </c>
      <c r="C6" s="20" t="str">
        <f>IFERROR(__xludf.DUMMYFUNCTION("""COMPUTED_VALUE"""),"")</f>
        <v/>
      </c>
      <c r="D6" s="21" t="str">
        <f>IFERROR(__xludf.DUMMYFUNCTION("""COMPUTED_VALUE"""),"")</f>
        <v/>
      </c>
      <c r="E6" s="21" t="str">
        <f>IFERROR(__xludf.DUMMYFUNCTION("""COMPUTED_VALUE"""),"")</f>
        <v/>
      </c>
      <c r="F6" s="21" t="str">
        <f>IFERROR(__xludf.DUMMYFUNCTION("""COMPUTED_VALUE"""),"")</f>
        <v/>
      </c>
      <c r="G6" s="23" t="str">
        <f>IFERROR(__xludf.DUMMYFUNCTION("""COMPUTED_VALUE"""),"")</f>
        <v/>
      </c>
      <c r="H6" s="4"/>
      <c r="I6" s="5" t="s">
        <v>3209</v>
      </c>
      <c r="J6" s="5" t="s">
        <v>3210</v>
      </c>
      <c r="K6" s="24">
        <v>980.0</v>
      </c>
      <c r="L6" s="5">
        <v>4.540372</v>
      </c>
      <c r="M6" s="5">
        <v>4.283512</v>
      </c>
      <c r="N6" s="5">
        <v>8.823884</v>
      </c>
      <c r="O6" s="5">
        <v>3.192114</v>
      </c>
    </row>
    <row r="7">
      <c r="A7" s="12" t="str">
        <f>IFERROR(__xludf.DUMMYFUNCTION("""COMPUTED_VALUE"""),"")</f>
        <v/>
      </c>
      <c r="B7" s="13" t="str">
        <f>IFERROR(__xludf.DUMMYFUNCTION("""COMPUTED_VALUE"""),"")</f>
        <v/>
      </c>
      <c r="C7" s="14" t="str">
        <f>IFERROR(__xludf.DUMMYFUNCTION("""COMPUTED_VALUE"""),"")</f>
        <v/>
      </c>
      <c r="D7" s="15" t="str">
        <f>IFERROR(__xludf.DUMMYFUNCTION("""COMPUTED_VALUE"""),"")</f>
        <v/>
      </c>
      <c r="E7" s="15" t="str">
        <f>IFERROR(__xludf.DUMMYFUNCTION("""COMPUTED_VALUE"""),"")</f>
        <v/>
      </c>
      <c r="F7" s="15" t="str">
        <f>IFERROR(__xludf.DUMMYFUNCTION("""COMPUTED_VALUE"""),"")</f>
        <v/>
      </c>
      <c r="G7" s="17" t="str">
        <f>IFERROR(__xludf.DUMMYFUNCTION("""COMPUTED_VALUE"""),"")</f>
        <v/>
      </c>
      <c r="H7" s="4"/>
      <c r="I7" s="5" t="s">
        <v>3211</v>
      </c>
      <c r="J7" s="5" t="s">
        <v>3212</v>
      </c>
      <c r="K7" s="24">
        <v>609.0</v>
      </c>
      <c r="L7" s="5">
        <v>1.44291</v>
      </c>
      <c r="M7" s="5">
        <v>6.472633</v>
      </c>
      <c r="N7" s="5">
        <v>7.915543</v>
      </c>
      <c r="O7" s="5">
        <v>1.83412</v>
      </c>
    </row>
    <row r="8">
      <c r="A8" s="18" t="str">
        <f>IFERROR(__xludf.DUMMYFUNCTION("""COMPUTED_VALUE"""),"")</f>
        <v/>
      </c>
      <c r="B8" s="19" t="str">
        <f>IFERROR(__xludf.DUMMYFUNCTION("""COMPUTED_VALUE"""),"")</f>
        <v/>
      </c>
      <c r="C8" s="20" t="str">
        <f>IFERROR(__xludf.DUMMYFUNCTION("""COMPUTED_VALUE"""),"")</f>
        <v/>
      </c>
      <c r="D8" s="21" t="str">
        <f>IFERROR(__xludf.DUMMYFUNCTION("""COMPUTED_VALUE"""),"")</f>
        <v/>
      </c>
      <c r="E8" s="21" t="str">
        <f>IFERROR(__xludf.DUMMYFUNCTION("""COMPUTED_VALUE"""),"")</f>
        <v/>
      </c>
      <c r="F8" s="21" t="str">
        <f>IFERROR(__xludf.DUMMYFUNCTION("""COMPUTED_VALUE"""),"")</f>
        <v/>
      </c>
      <c r="G8" s="23" t="str">
        <f>IFERROR(__xludf.DUMMYFUNCTION("""COMPUTED_VALUE"""),"")</f>
        <v/>
      </c>
      <c r="H8" s="4"/>
      <c r="I8" s="5" t="s">
        <v>3214</v>
      </c>
      <c r="J8" s="5" t="s">
        <v>3215</v>
      </c>
      <c r="K8" s="24">
        <v>928.0</v>
      </c>
      <c r="L8" s="5">
        <v>6.881294</v>
      </c>
      <c r="M8" s="5">
        <v>0.935864</v>
      </c>
      <c r="N8" s="5">
        <v>7.817158</v>
      </c>
      <c r="O8" s="5">
        <v>2.767511</v>
      </c>
    </row>
    <row r="9">
      <c r="A9" s="12" t="str">
        <f>IFERROR(__xludf.DUMMYFUNCTION("""COMPUTED_VALUE"""),"")</f>
        <v/>
      </c>
      <c r="B9" s="13" t="str">
        <f>IFERROR(__xludf.DUMMYFUNCTION("""COMPUTED_VALUE"""),"")</f>
        <v/>
      </c>
      <c r="C9" s="14" t="str">
        <f>IFERROR(__xludf.DUMMYFUNCTION("""COMPUTED_VALUE"""),"")</f>
        <v/>
      </c>
      <c r="D9" s="15" t="str">
        <f>IFERROR(__xludf.DUMMYFUNCTION("""COMPUTED_VALUE"""),"")</f>
        <v/>
      </c>
      <c r="E9" s="15" t="str">
        <f>IFERROR(__xludf.DUMMYFUNCTION("""COMPUTED_VALUE"""),"")</f>
        <v/>
      </c>
      <c r="F9" s="15" t="str">
        <f>IFERROR(__xludf.DUMMYFUNCTION("""COMPUTED_VALUE"""),"")</f>
        <v/>
      </c>
      <c r="G9" s="17" t="str">
        <f>IFERROR(__xludf.DUMMYFUNCTION("""COMPUTED_VALUE"""),"")</f>
        <v/>
      </c>
      <c r="H9" s="4"/>
      <c r="I9" s="5" t="s">
        <v>1140</v>
      </c>
      <c r="J9" s="5" t="s">
        <v>3217</v>
      </c>
      <c r="K9" s="24">
        <v>457.0</v>
      </c>
      <c r="L9" s="5">
        <v>5.895741</v>
      </c>
      <c r="M9" s="5">
        <v>1.733466</v>
      </c>
      <c r="N9" s="5">
        <v>7.629206</v>
      </c>
      <c r="O9" s="5">
        <v>1.325572</v>
      </c>
    </row>
    <row r="10">
      <c r="A10" s="18" t="str">
        <f>IFERROR(__xludf.DUMMYFUNCTION("""COMPUTED_VALUE"""),"")</f>
        <v/>
      </c>
      <c r="B10" s="19" t="str">
        <f>IFERROR(__xludf.DUMMYFUNCTION("""COMPUTED_VALUE"""),"")</f>
        <v/>
      </c>
      <c r="C10" s="20" t="str">
        <f>IFERROR(__xludf.DUMMYFUNCTION("""COMPUTED_VALUE"""),"")</f>
        <v/>
      </c>
      <c r="D10" s="21" t="str">
        <f>IFERROR(__xludf.DUMMYFUNCTION("""COMPUTED_VALUE"""),"")</f>
        <v/>
      </c>
      <c r="E10" s="21" t="str">
        <f>IFERROR(__xludf.DUMMYFUNCTION("""COMPUTED_VALUE"""),"")</f>
        <v/>
      </c>
      <c r="F10" s="21" t="str">
        <f>IFERROR(__xludf.DUMMYFUNCTION("""COMPUTED_VALUE"""),"")</f>
        <v/>
      </c>
      <c r="G10" s="23" t="str">
        <f>IFERROR(__xludf.DUMMYFUNCTION("""COMPUTED_VALUE"""),"")</f>
        <v/>
      </c>
      <c r="H10" s="4"/>
      <c r="I10" s="5" t="s">
        <v>3218</v>
      </c>
      <c r="J10" s="5" t="s">
        <v>3212</v>
      </c>
      <c r="K10" s="24">
        <v>834.0</v>
      </c>
      <c r="L10" s="5">
        <v>4.064481</v>
      </c>
      <c r="M10" s="5">
        <v>3.393426</v>
      </c>
      <c r="N10" s="5">
        <v>7.457906</v>
      </c>
      <c r="O10" s="5">
        <v>2.395249</v>
      </c>
    </row>
    <row r="11">
      <c r="A11" s="12" t="str">
        <f>IFERROR(__xludf.DUMMYFUNCTION("""COMPUTED_VALUE"""),"")</f>
        <v/>
      </c>
      <c r="B11" s="13" t="str">
        <f>IFERROR(__xludf.DUMMYFUNCTION("""COMPUTED_VALUE"""),"")</f>
        <v/>
      </c>
      <c r="C11" s="14" t="str">
        <f>IFERROR(__xludf.DUMMYFUNCTION("""COMPUTED_VALUE"""),"")</f>
        <v/>
      </c>
      <c r="D11" s="15" t="str">
        <f>IFERROR(__xludf.DUMMYFUNCTION("""COMPUTED_VALUE"""),"")</f>
        <v/>
      </c>
      <c r="E11" s="15" t="str">
        <f>IFERROR(__xludf.DUMMYFUNCTION("""COMPUTED_VALUE"""),"")</f>
        <v/>
      </c>
      <c r="F11" s="15" t="str">
        <f>IFERROR(__xludf.DUMMYFUNCTION("""COMPUTED_VALUE"""),"")</f>
        <v/>
      </c>
      <c r="G11" s="17" t="str">
        <f>IFERROR(__xludf.DUMMYFUNCTION("""COMPUTED_VALUE"""),"")</f>
        <v/>
      </c>
      <c r="H11" s="4"/>
      <c r="I11" s="5" t="s">
        <v>3219</v>
      </c>
      <c r="J11" s="5" t="s">
        <v>3220</v>
      </c>
      <c r="K11" s="24">
        <v>910.0</v>
      </c>
      <c r="L11" s="5">
        <v>5.471494</v>
      </c>
      <c r="M11" s="5">
        <v>1.969011</v>
      </c>
      <c r="N11" s="5">
        <v>7.440505</v>
      </c>
      <c r="O11" s="5">
        <v>2.637379</v>
      </c>
    </row>
    <row r="12">
      <c r="A12" s="18" t="str">
        <f>IFERROR(__xludf.DUMMYFUNCTION("""COMPUTED_VALUE"""),"")</f>
        <v/>
      </c>
      <c r="B12" s="19" t="str">
        <f>IFERROR(__xludf.DUMMYFUNCTION("""COMPUTED_VALUE"""),"")</f>
        <v/>
      </c>
      <c r="C12" s="20" t="str">
        <f>IFERROR(__xludf.DUMMYFUNCTION("""COMPUTED_VALUE"""),"")</f>
        <v/>
      </c>
      <c r="D12" s="21" t="str">
        <f>IFERROR(__xludf.DUMMYFUNCTION("""COMPUTED_VALUE"""),"")</f>
        <v/>
      </c>
      <c r="E12" s="21" t="str">
        <f>IFERROR(__xludf.DUMMYFUNCTION("""COMPUTED_VALUE"""),"")</f>
        <v/>
      </c>
      <c r="F12" s="21" t="str">
        <f>IFERROR(__xludf.DUMMYFUNCTION("""COMPUTED_VALUE"""),"")</f>
        <v/>
      </c>
      <c r="G12" s="23" t="str">
        <f>IFERROR(__xludf.DUMMYFUNCTION("""COMPUTED_VALUE"""),"")</f>
        <v/>
      </c>
      <c r="H12" s="4"/>
      <c r="I12" s="5" t="s">
        <v>3222</v>
      </c>
      <c r="J12" s="5" t="s">
        <v>3220</v>
      </c>
      <c r="K12" s="24">
        <v>925.0</v>
      </c>
      <c r="L12" s="5">
        <v>3.51806</v>
      </c>
      <c r="M12" s="5">
        <v>3.3403</v>
      </c>
      <c r="N12" s="5">
        <v>6.85836</v>
      </c>
      <c r="O12" s="5">
        <v>2.514995</v>
      </c>
    </row>
    <row r="13">
      <c r="A13" s="12" t="str">
        <f>IFERROR(__xludf.DUMMYFUNCTION("""COMPUTED_VALUE"""),"")</f>
        <v/>
      </c>
      <c r="B13" s="13" t="str">
        <f>IFERROR(__xludf.DUMMYFUNCTION("""COMPUTED_VALUE"""),"")</f>
        <v/>
      </c>
      <c r="C13" s="14" t="str">
        <f>IFERROR(__xludf.DUMMYFUNCTION("""COMPUTED_VALUE"""),"")</f>
        <v/>
      </c>
      <c r="D13" s="15" t="str">
        <f>IFERROR(__xludf.DUMMYFUNCTION("""COMPUTED_VALUE"""),"")</f>
        <v/>
      </c>
      <c r="E13" s="15" t="str">
        <f>IFERROR(__xludf.DUMMYFUNCTION("""COMPUTED_VALUE"""),"")</f>
        <v/>
      </c>
      <c r="F13" s="15" t="str">
        <f>IFERROR(__xludf.DUMMYFUNCTION("""COMPUTED_VALUE"""),"")</f>
        <v/>
      </c>
      <c r="G13" s="17" t="str">
        <f>IFERROR(__xludf.DUMMYFUNCTION("""COMPUTED_VALUE"""),"")</f>
        <v/>
      </c>
      <c r="H13" s="4"/>
      <c r="I13" s="5" t="s">
        <v>775</v>
      </c>
      <c r="J13" s="5" t="s">
        <v>3223</v>
      </c>
      <c r="K13" s="24">
        <v>867.0</v>
      </c>
      <c r="L13" s="5">
        <v>5.796982</v>
      </c>
      <c r="M13" s="5">
        <v>0.726599</v>
      </c>
      <c r="N13" s="5">
        <v>6.523581</v>
      </c>
      <c r="O13" s="5">
        <v>2.245933</v>
      </c>
    </row>
    <row r="14">
      <c r="A14" s="18" t="str">
        <f>IFERROR(__xludf.DUMMYFUNCTION("""COMPUTED_VALUE"""),"")</f>
        <v/>
      </c>
      <c r="B14" s="19" t="str">
        <f>IFERROR(__xludf.DUMMYFUNCTION("""COMPUTED_VALUE"""),"")</f>
        <v/>
      </c>
      <c r="C14" s="20" t="str">
        <f>IFERROR(__xludf.DUMMYFUNCTION("""COMPUTED_VALUE"""),"")</f>
        <v/>
      </c>
      <c r="D14" s="21" t="str">
        <f>IFERROR(__xludf.DUMMYFUNCTION("""COMPUTED_VALUE"""),"")</f>
        <v/>
      </c>
      <c r="E14" s="21" t="str">
        <f>IFERROR(__xludf.DUMMYFUNCTION("""COMPUTED_VALUE"""),"")</f>
        <v/>
      </c>
      <c r="F14" s="21" t="str">
        <f>IFERROR(__xludf.DUMMYFUNCTION("""COMPUTED_VALUE"""),"")</f>
        <v/>
      </c>
      <c r="G14" s="23" t="str">
        <f>IFERROR(__xludf.DUMMYFUNCTION("""COMPUTED_VALUE"""),"")</f>
        <v/>
      </c>
      <c r="H14" s="4"/>
      <c r="I14" s="5" t="s">
        <v>3225</v>
      </c>
      <c r="J14" s="5" t="s">
        <v>3226</v>
      </c>
      <c r="K14" s="24">
        <v>610.0</v>
      </c>
      <c r="L14" s="5">
        <v>2.714476</v>
      </c>
      <c r="M14" s="5">
        <v>3.702478</v>
      </c>
      <c r="N14" s="5">
        <v>6.416954</v>
      </c>
      <c r="O14" s="5">
        <v>1.5672</v>
      </c>
    </row>
    <row r="15">
      <c r="A15" s="12" t="str">
        <f>IFERROR(__xludf.DUMMYFUNCTION("""COMPUTED_VALUE"""),"")</f>
        <v/>
      </c>
      <c r="B15" s="13" t="str">
        <f>IFERROR(__xludf.DUMMYFUNCTION("""COMPUTED_VALUE"""),"")</f>
        <v/>
      </c>
      <c r="C15" s="14" t="str">
        <f>IFERROR(__xludf.DUMMYFUNCTION("""COMPUTED_VALUE"""),"")</f>
        <v/>
      </c>
      <c r="D15" s="15" t="str">
        <f>IFERROR(__xludf.DUMMYFUNCTION("""COMPUTED_VALUE"""),"")</f>
        <v/>
      </c>
      <c r="E15" s="15" t="str">
        <f>IFERROR(__xludf.DUMMYFUNCTION("""COMPUTED_VALUE"""),"")</f>
        <v/>
      </c>
      <c r="F15" s="15" t="str">
        <f>IFERROR(__xludf.DUMMYFUNCTION("""COMPUTED_VALUE"""),"")</f>
        <v/>
      </c>
      <c r="G15" s="17" t="str">
        <f>IFERROR(__xludf.DUMMYFUNCTION("""COMPUTED_VALUE"""),"")</f>
        <v/>
      </c>
      <c r="H15" s="4"/>
      <c r="I15" s="5" t="s">
        <v>3228</v>
      </c>
      <c r="J15" s="5" t="s">
        <v>3229</v>
      </c>
      <c r="K15" s="24">
        <v>405.0</v>
      </c>
      <c r="L15" s="5">
        <v>5.820243</v>
      </c>
      <c r="M15" s="5">
        <v>0.396638</v>
      </c>
      <c r="N15" s="5">
        <v>6.216881</v>
      </c>
      <c r="O15" s="5">
        <v>1.050765</v>
      </c>
    </row>
    <row r="16">
      <c r="A16" s="18" t="str">
        <f>IFERROR(__xludf.DUMMYFUNCTION("""COMPUTED_VALUE"""),"")</f>
        <v/>
      </c>
      <c r="B16" s="19" t="str">
        <f>IFERROR(__xludf.DUMMYFUNCTION("""COMPUTED_VALUE"""),"")</f>
        <v/>
      </c>
      <c r="C16" s="20" t="str">
        <f>IFERROR(__xludf.DUMMYFUNCTION("""COMPUTED_VALUE"""),"")</f>
        <v/>
      </c>
      <c r="D16" s="21" t="str">
        <f>IFERROR(__xludf.DUMMYFUNCTION("""COMPUTED_VALUE"""),"")</f>
        <v/>
      </c>
      <c r="E16" s="21" t="str">
        <f>IFERROR(__xludf.DUMMYFUNCTION("""COMPUTED_VALUE"""),"")</f>
        <v/>
      </c>
      <c r="F16" s="21" t="str">
        <f>IFERROR(__xludf.DUMMYFUNCTION("""COMPUTED_VALUE"""),"")</f>
        <v/>
      </c>
      <c r="G16" s="23" t="str">
        <f>IFERROR(__xludf.DUMMYFUNCTION("""COMPUTED_VALUE"""),"")</f>
        <v/>
      </c>
      <c r="H16" s="4"/>
      <c r="I16" s="5" t="s">
        <v>3230</v>
      </c>
      <c r="J16" s="5" t="s">
        <v>3229</v>
      </c>
      <c r="K16" s="24">
        <v>915.0</v>
      </c>
      <c r="L16" s="5">
        <v>5.388908</v>
      </c>
      <c r="M16" s="5">
        <v>0.784124</v>
      </c>
      <c r="N16" s="5">
        <v>6.173032</v>
      </c>
      <c r="O16" s="5">
        <v>2.363291</v>
      </c>
    </row>
    <row r="17">
      <c r="A17" s="12" t="str">
        <f>IFERROR(__xludf.DUMMYFUNCTION("""COMPUTED_VALUE"""),"")</f>
        <v/>
      </c>
      <c r="B17" s="13" t="str">
        <f>IFERROR(__xludf.DUMMYFUNCTION("""COMPUTED_VALUE"""),"")</f>
        <v/>
      </c>
      <c r="C17" s="14" t="str">
        <f>IFERROR(__xludf.DUMMYFUNCTION("""COMPUTED_VALUE"""),"")</f>
        <v/>
      </c>
      <c r="D17" s="15" t="str">
        <f>IFERROR(__xludf.DUMMYFUNCTION("""COMPUTED_VALUE"""),"")</f>
        <v/>
      </c>
      <c r="E17" s="15" t="str">
        <f>IFERROR(__xludf.DUMMYFUNCTION("""COMPUTED_VALUE"""),"")</f>
        <v/>
      </c>
      <c r="F17" s="15" t="str">
        <f>IFERROR(__xludf.DUMMYFUNCTION("""COMPUTED_VALUE"""),"")</f>
        <v/>
      </c>
      <c r="G17" s="17" t="str">
        <f>IFERROR(__xludf.DUMMYFUNCTION("""COMPUTED_VALUE"""),"")</f>
        <v/>
      </c>
      <c r="H17" s="4"/>
      <c r="I17" s="5" t="s">
        <v>3231</v>
      </c>
      <c r="J17" s="5" t="s">
        <v>3233</v>
      </c>
      <c r="K17" s="24">
        <v>960.0</v>
      </c>
      <c r="L17" s="5">
        <v>5.432202</v>
      </c>
      <c r="M17" s="5">
        <v>0.563188</v>
      </c>
      <c r="N17" s="5">
        <v>5.995391</v>
      </c>
      <c r="O17" s="5">
        <v>2.269116</v>
      </c>
    </row>
    <row r="18">
      <c r="A18" s="18" t="str">
        <f>IFERROR(__xludf.DUMMYFUNCTION("""COMPUTED_VALUE"""),"")</f>
        <v/>
      </c>
      <c r="B18" s="19" t="str">
        <f>IFERROR(__xludf.DUMMYFUNCTION("""COMPUTED_VALUE"""),"")</f>
        <v/>
      </c>
      <c r="C18" s="20" t="str">
        <f>IFERROR(__xludf.DUMMYFUNCTION("""COMPUTED_VALUE"""),"")</f>
        <v/>
      </c>
      <c r="D18" s="21" t="str">
        <f>IFERROR(__xludf.DUMMYFUNCTION("""COMPUTED_VALUE"""),"")</f>
        <v/>
      </c>
      <c r="E18" s="21" t="str">
        <f>IFERROR(__xludf.DUMMYFUNCTION("""COMPUTED_VALUE"""),"")</f>
        <v/>
      </c>
      <c r="F18" s="21" t="str">
        <f>IFERROR(__xludf.DUMMYFUNCTION("""COMPUTED_VALUE"""),"")</f>
        <v/>
      </c>
      <c r="G18" s="23" t="str">
        <f>IFERROR(__xludf.DUMMYFUNCTION("""COMPUTED_VALUE"""),"")</f>
        <v/>
      </c>
      <c r="H18" s="4"/>
      <c r="I18" s="5" t="s">
        <v>3234</v>
      </c>
      <c r="J18" s="5" t="s">
        <v>3212</v>
      </c>
      <c r="K18" s="24">
        <v>772.0</v>
      </c>
      <c r="L18" s="5">
        <v>3.281958</v>
      </c>
      <c r="M18" s="5">
        <v>2.330674</v>
      </c>
      <c r="N18" s="5">
        <v>5.612631</v>
      </c>
      <c r="O18" s="5">
        <v>1.7848</v>
      </c>
    </row>
    <row r="19">
      <c r="A19" s="12" t="str">
        <f>IFERROR(__xludf.DUMMYFUNCTION("""COMPUTED_VALUE"""),"")</f>
        <v/>
      </c>
      <c r="B19" s="13" t="str">
        <f>IFERROR(__xludf.DUMMYFUNCTION("""COMPUTED_VALUE"""),"")</f>
        <v/>
      </c>
      <c r="C19" s="14" t="str">
        <f>IFERROR(__xludf.DUMMYFUNCTION("""COMPUTED_VALUE"""),"")</f>
        <v/>
      </c>
      <c r="D19" s="15" t="str">
        <f>IFERROR(__xludf.DUMMYFUNCTION("""COMPUTED_VALUE"""),"")</f>
        <v/>
      </c>
      <c r="E19" s="15" t="str">
        <f>IFERROR(__xludf.DUMMYFUNCTION("""COMPUTED_VALUE"""),"")</f>
        <v/>
      </c>
      <c r="F19" s="15" t="str">
        <f>IFERROR(__xludf.DUMMYFUNCTION("""COMPUTED_VALUE"""),"")</f>
        <v/>
      </c>
      <c r="G19" s="17" t="str">
        <f>IFERROR(__xludf.DUMMYFUNCTION("""COMPUTED_VALUE"""),"")</f>
        <v/>
      </c>
      <c r="H19" s="4"/>
      <c r="I19" s="5" t="s">
        <v>3235</v>
      </c>
      <c r="J19" s="5" t="s">
        <v>3212</v>
      </c>
      <c r="K19" s="24">
        <v>621.0</v>
      </c>
      <c r="L19" s="5">
        <v>3.630073</v>
      </c>
      <c r="M19" s="5">
        <v>1.849615</v>
      </c>
      <c r="N19" s="5">
        <v>5.479688</v>
      </c>
      <c r="O19" s="5">
        <v>1.410357</v>
      </c>
    </row>
    <row r="20">
      <c r="A20" s="18" t="str">
        <f>IFERROR(__xludf.DUMMYFUNCTION("""COMPUTED_VALUE"""),"")</f>
        <v/>
      </c>
      <c r="B20" s="19" t="str">
        <f>IFERROR(__xludf.DUMMYFUNCTION("""COMPUTED_VALUE"""),"")</f>
        <v/>
      </c>
      <c r="C20" s="20" t="str">
        <f>IFERROR(__xludf.DUMMYFUNCTION("""COMPUTED_VALUE"""),"")</f>
        <v/>
      </c>
      <c r="D20" s="21" t="str">
        <f>IFERROR(__xludf.DUMMYFUNCTION("""COMPUTED_VALUE"""),"")</f>
        <v/>
      </c>
      <c r="E20" s="21" t="str">
        <f>IFERROR(__xludf.DUMMYFUNCTION("""COMPUTED_VALUE"""),"")</f>
        <v/>
      </c>
      <c r="F20" s="21" t="str">
        <f>IFERROR(__xludf.DUMMYFUNCTION("""COMPUTED_VALUE"""),"")</f>
        <v/>
      </c>
      <c r="G20" s="23" t="str">
        <f>IFERROR(__xludf.DUMMYFUNCTION("""COMPUTED_VALUE"""),"")</f>
        <v/>
      </c>
      <c r="H20" s="4"/>
      <c r="I20" s="5" t="s">
        <v>3236</v>
      </c>
      <c r="J20" s="5" t="s">
        <v>3237</v>
      </c>
      <c r="K20" s="5">
        <v>694.0</v>
      </c>
      <c r="L20" s="5">
        <v>4.652773</v>
      </c>
      <c r="M20" s="5">
        <v>0.735438</v>
      </c>
      <c r="N20" s="5">
        <v>5.388211</v>
      </c>
      <c r="O20" s="5">
        <v>1.729146</v>
      </c>
    </row>
    <row r="21">
      <c r="A21" s="12" t="str">
        <f>IFERROR(__xludf.DUMMYFUNCTION("""COMPUTED_VALUE"""),"")</f>
        <v/>
      </c>
      <c r="B21" s="13" t="str">
        <f>IFERROR(__xludf.DUMMYFUNCTION("""COMPUTED_VALUE"""),"")</f>
        <v/>
      </c>
      <c r="C21" s="14" t="str">
        <f>IFERROR(__xludf.DUMMYFUNCTION("""COMPUTED_VALUE"""),"")</f>
        <v/>
      </c>
      <c r="D21" s="15" t="str">
        <f>IFERROR(__xludf.DUMMYFUNCTION("""COMPUTED_VALUE"""),"")</f>
        <v/>
      </c>
      <c r="E21" s="15" t="str">
        <f>IFERROR(__xludf.DUMMYFUNCTION("""COMPUTED_VALUE"""),"")</f>
        <v/>
      </c>
      <c r="F21" s="15" t="str">
        <f>IFERROR(__xludf.DUMMYFUNCTION("""COMPUTED_VALUE"""),"")</f>
        <v/>
      </c>
      <c r="G21" s="17" t="str">
        <f>IFERROR(__xludf.DUMMYFUNCTION("""COMPUTED_VALUE"""),"")</f>
        <v/>
      </c>
      <c r="H21" s="4"/>
      <c r="I21" s="5" t="s">
        <v>3238</v>
      </c>
      <c r="J21" s="5" t="s">
        <v>2838</v>
      </c>
      <c r="K21" s="24">
        <v>353.0</v>
      </c>
      <c r="L21" s="5">
        <v>3.646424</v>
      </c>
      <c r="M21" s="5">
        <v>1.637954</v>
      </c>
      <c r="N21" s="5">
        <v>5.284378</v>
      </c>
      <c r="O21" s="5">
        <v>0.770777</v>
      </c>
    </row>
    <row r="22">
      <c r="A22" s="18" t="str">
        <f>IFERROR(__xludf.DUMMYFUNCTION("""COMPUTED_VALUE"""),"")</f>
        <v/>
      </c>
      <c r="B22" s="19" t="str">
        <f>IFERROR(__xludf.DUMMYFUNCTION("""COMPUTED_VALUE"""),"")</f>
        <v/>
      </c>
      <c r="C22" s="20" t="str">
        <f>IFERROR(__xludf.DUMMYFUNCTION("""COMPUTED_VALUE"""),"")</f>
        <v/>
      </c>
      <c r="D22" s="21" t="str">
        <f>IFERROR(__xludf.DUMMYFUNCTION("""COMPUTED_VALUE"""),"")</f>
        <v/>
      </c>
      <c r="E22" s="21" t="str">
        <f>IFERROR(__xludf.DUMMYFUNCTION("""COMPUTED_VALUE"""),"")</f>
        <v/>
      </c>
      <c r="F22" s="21" t="str">
        <f>IFERROR(__xludf.DUMMYFUNCTION("""COMPUTED_VALUE"""),"")</f>
        <v/>
      </c>
      <c r="G22" s="23" t="str">
        <f>IFERROR(__xludf.DUMMYFUNCTION("""COMPUTED_VALUE"""),"")</f>
        <v/>
      </c>
      <c r="H22" s="4"/>
      <c r="I22" s="5" t="s">
        <v>963</v>
      </c>
      <c r="J22" s="5" t="s">
        <v>3217</v>
      </c>
      <c r="K22" s="5">
        <v>808.0</v>
      </c>
      <c r="L22" s="5">
        <v>2.128232</v>
      </c>
      <c r="M22" s="5">
        <v>3.143818</v>
      </c>
      <c r="N22" s="5">
        <v>5.272049</v>
      </c>
      <c r="O22" s="5">
        <v>1.769293</v>
      </c>
    </row>
    <row r="23">
      <c r="A23" s="12" t="str">
        <f>IFERROR(__xludf.DUMMYFUNCTION("""COMPUTED_VALUE"""),"")</f>
        <v/>
      </c>
      <c r="B23" s="13" t="str">
        <f>IFERROR(__xludf.DUMMYFUNCTION("""COMPUTED_VALUE"""),"")</f>
        <v/>
      </c>
      <c r="C23" s="14" t="str">
        <f>IFERROR(__xludf.DUMMYFUNCTION("""COMPUTED_VALUE"""),"")</f>
        <v/>
      </c>
      <c r="D23" s="15" t="str">
        <f>IFERROR(__xludf.DUMMYFUNCTION("""COMPUTED_VALUE"""),"")</f>
        <v/>
      </c>
      <c r="E23" s="15" t="str">
        <f>IFERROR(__xludf.DUMMYFUNCTION("""COMPUTED_VALUE"""),"")</f>
        <v/>
      </c>
      <c r="F23" s="15" t="str">
        <f>IFERROR(__xludf.DUMMYFUNCTION("""COMPUTED_VALUE"""),"")</f>
        <v/>
      </c>
      <c r="G23" s="17" t="str">
        <f>IFERROR(__xludf.DUMMYFUNCTION("""COMPUTED_VALUE"""),"")</f>
        <v/>
      </c>
      <c r="H23" s="4"/>
      <c r="I23" s="5" t="s">
        <v>1065</v>
      </c>
      <c r="J23" s="5" t="s">
        <v>3240</v>
      </c>
      <c r="K23" s="24">
        <v>810.0</v>
      </c>
      <c r="L23" s="5">
        <v>4.064939</v>
      </c>
      <c r="M23" s="5">
        <v>0.887572</v>
      </c>
      <c r="N23" s="5">
        <v>4.952511</v>
      </c>
      <c r="O23" s="5">
        <v>1.716451</v>
      </c>
    </row>
    <row r="24">
      <c r="A24" s="18" t="str">
        <f>IFERROR(__xludf.DUMMYFUNCTION("""COMPUTED_VALUE"""),"")</f>
        <v/>
      </c>
      <c r="B24" s="19" t="str">
        <f>IFERROR(__xludf.DUMMYFUNCTION("""COMPUTED_VALUE"""),"")</f>
        <v/>
      </c>
      <c r="C24" s="20" t="str">
        <f>IFERROR(__xludf.DUMMYFUNCTION("""COMPUTED_VALUE"""),"")</f>
        <v/>
      </c>
      <c r="D24" s="21" t="str">
        <f>IFERROR(__xludf.DUMMYFUNCTION("""COMPUTED_VALUE"""),"")</f>
        <v/>
      </c>
      <c r="E24" s="21" t="str">
        <f>IFERROR(__xludf.DUMMYFUNCTION("""COMPUTED_VALUE"""),"")</f>
        <v/>
      </c>
      <c r="F24" s="21" t="str">
        <f>IFERROR(__xludf.DUMMYFUNCTION("""COMPUTED_VALUE"""),"")</f>
        <v/>
      </c>
      <c r="G24" s="23" t="str">
        <f>IFERROR(__xludf.DUMMYFUNCTION("""COMPUTED_VALUE"""),"")</f>
        <v/>
      </c>
      <c r="H24" s="4"/>
      <c r="I24" s="5" t="s">
        <v>3241</v>
      </c>
      <c r="J24" s="5" t="s">
        <v>2201</v>
      </c>
      <c r="K24" s="24">
        <v>985.0</v>
      </c>
      <c r="L24" s="5">
        <v>2.989934</v>
      </c>
      <c r="M24" s="5">
        <v>1.943075</v>
      </c>
      <c r="N24" s="5">
        <v>4.933009</v>
      </c>
      <c r="O24" s="5">
        <v>2.086479</v>
      </c>
    </row>
    <row r="25">
      <c r="A25" s="12" t="str">
        <f>IFERROR(__xludf.DUMMYFUNCTION("""COMPUTED_VALUE"""),"")</f>
        <v/>
      </c>
      <c r="B25" s="13" t="str">
        <f>IFERROR(__xludf.DUMMYFUNCTION("""COMPUTED_VALUE"""),"")</f>
        <v/>
      </c>
      <c r="C25" s="14" t="str">
        <f>IFERROR(__xludf.DUMMYFUNCTION("""COMPUTED_VALUE"""),"")</f>
        <v/>
      </c>
      <c r="D25" s="15" t="str">
        <f>IFERROR(__xludf.DUMMYFUNCTION("""COMPUTED_VALUE"""),"")</f>
        <v/>
      </c>
      <c r="E25" s="15" t="str">
        <f>IFERROR(__xludf.DUMMYFUNCTION("""COMPUTED_VALUE"""),"")</f>
        <v/>
      </c>
      <c r="F25" s="15" t="str">
        <f>IFERROR(__xludf.DUMMYFUNCTION("""COMPUTED_VALUE"""),"")</f>
        <v/>
      </c>
      <c r="G25" s="17" t="str">
        <f>IFERROR(__xludf.DUMMYFUNCTION("""COMPUTED_VALUE"""),"")</f>
        <v/>
      </c>
      <c r="H25" s="4"/>
      <c r="I25" s="5" t="s">
        <v>3243</v>
      </c>
      <c r="J25" s="5" t="s">
        <v>3203</v>
      </c>
      <c r="K25" s="24">
        <v>227.0</v>
      </c>
      <c r="L25" s="5">
        <v>-0.375312</v>
      </c>
      <c r="M25" s="5">
        <v>5.284305</v>
      </c>
      <c r="N25" s="5">
        <v>4.908992</v>
      </c>
      <c r="O25" s="5">
        <v>0.475587</v>
      </c>
    </row>
    <row r="26">
      <c r="A26" s="18" t="str">
        <f>IFERROR(__xludf.DUMMYFUNCTION("""COMPUTED_VALUE"""),"")</f>
        <v/>
      </c>
      <c r="B26" s="19" t="str">
        <f>IFERROR(__xludf.DUMMYFUNCTION("""COMPUTED_VALUE"""),"")</f>
        <v/>
      </c>
      <c r="C26" s="20" t="str">
        <f>IFERROR(__xludf.DUMMYFUNCTION("""COMPUTED_VALUE"""),"")</f>
        <v/>
      </c>
      <c r="D26" s="21" t="str">
        <f>IFERROR(__xludf.DUMMYFUNCTION("""COMPUTED_VALUE"""),"")</f>
        <v/>
      </c>
      <c r="E26" s="21" t="str">
        <f>IFERROR(__xludf.DUMMYFUNCTION("""COMPUTED_VALUE"""),"")</f>
        <v/>
      </c>
      <c r="F26" s="21" t="str">
        <f>IFERROR(__xludf.DUMMYFUNCTION("""COMPUTED_VALUE"""),"")</f>
        <v/>
      </c>
      <c r="G26" s="23" t="str">
        <f>IFERROR(__xludf.DUMMYFUNCTION("""COMPUTED_VALUE"""),"")</f>
        <v/>
      </c>
      <c r="H26" s="4"/>
      <c r="I26" s="5" t="s">
        <v>1191</v>
      </c>
      <c r="J26" s="5" t="s">
        <v>3215</v>
      </c>
      <c r="K26" s="24">
        <v>552.0</v>
      </c>
      <c r="L26" s="5">
        <v>1.862639</v>
      </c>
      <c r="M26" s="5">
        <v>2.942286</v>
      </c>
      <c r="N26" s="5">
        <v>4.804925</v>
      </c>
      <c r="O26" s="5">
        <v>1.140593</v>
      </c>
    </row>
    <row r="27">
      <c r="A27" s="12" t="str">
        <f>IFERROR(__xludf.DUMMYFUNCTION("""COMPUTED_VALUE"""),"")</f>
        <v/>
      </c>
      <c r="B27" s="13" t="str">
        <f>IFERROR(__xludf.DUMMYFUNCTION("""COMPUTED_VALUE"""),"")</f>
        <v/>
      </c>
      <c r="C27" s="14" t="str">
        <f>IFERROR(__xludf.DUMMYFUNCTION("""COMPUTED_VALUE"""),"")</f>
        <v/>
      </c>
      <c r="D27" s="15" t="str">
        <f>IFERROR(__xludf.DUMMYFUNCTION("""COMPUTED_VALUE"""),"")</f>
        <v/>
      </c>
      <c r="E27" s="15" t="str">
        <f>IFERROR(__xludf.DUMMYFUNCTION("""COMPUTED_VALUE"""),"")</f>
        <v/>
      </c>
      <c r="F27" s="15" t="str">
        <f>IFERROR(__xludf.DUMMYFUNCTION("""COMPUTED_VALUE"""),"")</f>
        <v/>
      </c>
      <c r="G27" s="17" t="str">
        <f>IFERROR(__xludf.DUMMYFUNCTION("""COMPUTED_VALUE"""),"")</f>
        <v/>
      </c>
      <c r="H27" s="4"/>
      <c r="I27" s="5" t="s">
        <v>3245</v>
      </c>
      <c r="J27" s="5" t="s">
        <v>3212</v>
      </c>
      <c r="K27" s="24">
        <v>821.0</v>
      </c>
      <c r="L27" s="5">
        <v>1.315072</v>
      </c>
      <c r="M27" s="5">
        <v>3.471349</v>
      </c>
      <c r="N27" s="5">
        <v>4.786421</v>
      </c>
      <c r="O27" s="5">
        <v>1.69292</v>
      </c>
    </row>
    <row r="28">
      <c r="A28" s="18" t="str">
        <f>IFERROR(__xludf.DUMMYFUNCTION("""COMPUTED_VALUE"""),"")</f>
        <v/>
      </c>
      <c r="B28" s="19" t="str">
        <f>IFERROR(__xludf.DUMMYFUNCTION("""COMPUTED_VALUE"""),"")</f>
        <v/>
      </c>
      <c r="C28" s="20" t="str">
        <f>IFERROR(__xludf.DUMMYFUNCTION("""COMPUTED_VALUE"""),"")</f>
        <v/>
      </c>
      <c r="D28" s="21" t="str">
        <f>IFERROR(__xludf.DUMMYFUNCTION("""COMPUTED_VALUE"""),"")</f>
        <v/>
      </c>
      <c r="E28" s="21" t="str">
        <f>IFERROR(__xludf.DUMMYFUNCTION("""COMPUTED_VALUE"""),"")</f>
        <v/>
      </c>
      <c r="F28" s="21" t="str">
        <f>IFERROR(__xludf.DUMMYFUNCTION("""COMPUTED_VALUE"""),"")</f>
        <v/>
      </c>
      <c r="G28" s="23" t="str">
        <f>IFERROR(__xludf.DUMMYFUNCTION("""COMPUTED_VALUE"""),"")</f>
        <v/>
      </c>
      <c r="H28" s="4"/>
      <c r="I28" s="5" t="s">
        <v>3246</v>
      </c>
      <c r="J28" s="5" t="s">
        <v>3226</v>
      </c>
      <c r="K28" s="24">
        <v>604.0</v>
      </c>
      <c r="L28" s="5">
        <v>2.566124</v>
      </c>
      <c r="M28" s="5">
        <v>2.108607</v>
      </c>
      <c r="N28" s="5">
        <v>4.67473</v>
      </c>
      <c r="O28" s="5">
        <v>1.230178</v>
      </c>
    </row>
    <row r="29">
      <c r="A29" s="12" t="str">
        <f>IFERROR(__xludf.DUMMYFUNCTION("""COMPUTED_VALUE"""),"")</f>
        <v/>
      </c>
      <c r="B29" s="13" t="str">
        <f>IFERROR(__xludf.DUMMYFUNCTION("""COMPUTED_VALUE"""),"")</f>
        <v/>
      </c>
      <c r="C29" s="14" t="str">
        <f>IFERROR(__xludf.DUMMYFUNCTION("""COMPUTED_VALUE"""),"")</f>
        <v/>
      </c>
      <c r="D29" s="15" t="str">
        <f>IFERROR(__xludf.DUMMYFUNCTION("""COMPUTED_VALUE"""),"")</f>
        <v/>
      </c>
      <c r="E29" s="15" t="str">
        <f>IFERROR(__xludf.DUMMYFUNCTION("""COMPUTED_VALUE"""),"")</f>
        <v/>
      </c>
      <c r="F29" s="15" t="str">
        <f>IFERROR(__xludf.DUMMYFUNCTION("""COMPUTED_VALUE"""),"")</f>
        <v/>
      </c>
      <c r="G29" s="17" t="str">
        <f>IFERROR(__xludf.DUMMYFUNCTION("""COMPUTED_VALUE"""),"")</f>
        <v/>
      </c>
      <c r="H29" s="4"/>
      <c r="I29" s="5" t="s">
        <v>3248</v>
      </c>
      <c r="J29" s="5" t="s">
        <v>3220</v>
      </c>
      <c r="K29" s="24">
        <v>665.0</v>
      </c>
      <c r="L29" s="5">
        <v>3.025228</v>
      </c>
      <c r="M29" s="5">
        <v>1.648312</v>
      </c>
      <c r="N29" s="5">
        <v>4.67354</v>
      </c>
      <c r="O29" s="5">
        <v>1.363248</v>
      </c>
    </row>
    <row r="30">
      <c r="A30" s="18" t="str">
        <f>IFERROR(__xludf.DUMMYFUNCTION("""COMPUTED_VALUE"""),"")</f>
        <v/>
      </c>
      <c r="B30" s="19" t="str">
        <f>IFERROR(__xludf.DUMMYFUNCTION("""COMPUTED_VALUE"""),"")</f>
        <v/>
      </c>
      <c r="C30" s="20" t="str">
        <f>IFERROR(__xludf.DUMMYFUNCTION("""COMPUTED_VALUE"""),"")</f>
        <v/>
      </c>
      <c r="D30" s="21" t="str">
        <f>IFERROR(__xludf.DUMMYFUNCTION("""COMPUTED_VALUE"""),"")</f>
        <v/>
      </c>
      <c r="E30" s="21" t="str">
        <f>IFERROR(__xludf.DUMMYFUNCTION("""COMPUTED_VALUE"""),"")</f>
        <v/>
      </c>
      <c r="F30" s="21" t="str">
        <f>IFERROR(__xludf.DUMMYFUNCTION("""COMPUTED_VALUE"""),"")</f>
        <v/>
      </c>
      <c r="G30" s="23" t="str">
        <f>IFERROR(__xludf.DUMMYFUNCTION("""COMPUTED_VALUE"""),"")</f>
        <v/>
      </c>
      <c r="H30" s="4"/>
      <c r="I30" s="5" t="s">
        <v>3250</v>
      </c>
      <c r="J30" s="5" t="s">
        <v>3251</v>
      </c>
      <c r="K30" s="5">
        <v>902.0</v>
      </c>
      <c r="L30" s="5">
        <v>3.685912</v>
      </c>
      <c r="M30" s="5">
        <v>0.967933</v>
      </c>
      <c r="N30" s="5">
        <v>4.653846</v>
      </c>
      <c r="O30" s="5">
        <v>1.822317</v>
      </c>
    </row>
    <row r="31">
      <c r="A31" s="12" t="str">
        <f>IFERROR(__xludf.DUMMYFUNCTION("""COMPUTED_VALUE"""),"")</f>
        <v/>
      </c>
      <c r="B31" s="13" t="str">
        <f>IFERROR(__xludf.DUMMYFUNCTION("""COMPUTED_VALUE"""),"")</f>
        <v/>
      </c>
      <c r="C31" s="14" t="str">
        <f>IFERROR(__xludf.DUMMYFUNCTION("""COMPUTED_VALUE"""),"")</f>
        <v/>
      </c>
      <c r="D31" s="15" t="str">
        <f>IFERROR(__xludf.DUMMYFUNCTION("""COMPUTED_VALUE"""),"")</f>
        <v/>
      </c>
      <c r="E31" s="15" t="str">
        <f>IFERROR(__xludf.DUMMYFUNCTION("""COMPUTED_VALUE"""),"")</f>
        <v/>
      </c>
      <c r="F31" s="15" t="str">
        <f>IFERROR(__xludf.DUMMYFUNCTION("""COMPUTED_VALUE"""),"")</f>
        <v/>
      </c>
      <c r="G31" s="17" t="str">
        <f>IFERROR(__xludf.DUMMYFUNCTION("""COMPUTED_VALUE"""),"")</f>
        <v/>
      </c>
      <c r="H31" s="4"/>
      <c r="I31" s="5" t="s">
        <v>3252</v>
      </c>
      <c r="J31" s="5" t="s">
        <v>2201</v>
      </c>
      <c r="K31" s="24">
        <v>816.0</v>
      </c>
      <c r="L31" s="5">
        <v>3.311386</v>
      </c>
      <c r="M31" s="5">
        <v>1.05207</v>
      </c>
      <c r="N31" s="5">
        <v>4.363456</v>
      </c>
      <c r="O31" s="5">
        <v>1.584881</v>
      </c>
    </row>
    <row r="32">
      <c r="A32" s="18" t="str">
        <f>IFERROR(__xludf.DUMMYFUNCTION("""COMPUTED_VALUE"""),"")</f>
        <v/>
      </c>
      <c r="B32" s="19" t="str">
        <f>IFERROR(__xludf.DUMMYFUNCTION("""COMPUTED_VALUE"""),"")</f>
        <v/>
      </c>
      <c r="C32" s="20" t="str">
        <f>IFERROR(__xludf.DUMMYFUNCTION("""COMPUTED_VALUE"""),"")</f>
        <v/>
      </c>
      <c r="D32" s="21" t="str">
        <f>IFERROR(__xludf.DUMMYFUNCTION("""COMPUTED_VALUE"""),"")</f>
        <v/>
      </c>
      <c r="E32" s="21" t="str">
        <f>IFERROR(__xludf.DUMMYFUNCTION("""COMPUTED_VALUE"""),"")</f>
        <v/>
      </c>
      <c r="F32" s="21" t="str">
        <f>IFERROR(__xludf.DUMMYFUNCTION("""COMPUTED_VALUE"""),"")</f>
        <v/>
      </c>
      <c r="G32" s="23" t="str">
        <f>IFERROR(__xludf.DUMMYFUNCTION("""COMPUTED_VALUE"""),"")</f>
        <v/>
      </c>
      <c r="H32" s="4"/>
      <c r="I32" s="5" t="s">
        <v>3254</v>
      </c>
      <c r="J32" s="5" t="s">
        <v>3212</v>
      </c>
      <c r="K32" s="24">
        <v>580.0</v>
      </c>
      <c r="L32" s="5">
        <v>3.750552</v>
      </c>
      <c r="M32" s="5">
        <v>0.237034</v>
      </c>
      <c r="N32" s="5">
        <v>3.987586</v>
      </c>
      <c r="O32" s="5">
        <v>1.054445</v>
      </c>
    </row>
    <row r="33">
      <c r="A33" s="12" t="str">
        <f>IFERROR(__xludf.DUMMYFUNCTION("""COMPUTED_VALUE"""),"")</f>
        <v/>
      </c>
      <c r="B33" s="13" t="str">
        <f>IFERROR(__xludf.DUMMYFUNCTION("""COMPUTED_VALUE"""),"")</f>
        <v/>
      </c>
      <c r="C33" s="14" t="str">
        <f>IFERROR(__xludf.DUMMYFUNCTION("""COMPUTED_VALUE"""),"")</f>
        <v/>
      </c>
      <c r="D33" s="15" t="str">
        <f>IFERROR(__xludf.DUMMYFUNCTION("""COMPUTED_VALUE"""),"")</f>
        <v/>
      </c>
      <c r="E33" s="15" t="str">
        <f>IFERROR(__xludf.DUMMYFUNCTION("""COMPUTED_VALUE"""),"")</f>
        <v/>
      </c>
      <c r="F33" s="15" t="str">
        <f>IFERROR(__xludf.DUMMYFUNCTION("""COMPUTED_VALUE"""),"")</f>
        <v/>
      </c>
      <c r="G33" s="17" t="str">
        <f>IFERROR(__xludf.DUMMYFUNCTION("""COMPUTED_VALUE"""),"")</f>
        <v/>
      </c>
      <c r="H33" s="4"/>
      <c r="I33" s="5" t="s">
        <v>900</v>
      </c>
      <c r="J33" s="5" t="s">
        <v>3256</v>
      </c>
      <c r="K33" s="24">
        <v>516.0</v>
      </c>
      <c r="L33" s="5">
        <v>3.742439</v>
      </c>
      <c r="M33" s="5">
        <v>0.238245</v>
      </c>
      <c r="N33" s="5">
        <v>3.980684</v>
      </c>
      <c r="O33" s="5">
        <v>0.936448</v>
      </c>
    </row>
    <row r="34">
      <c r="A34" s="18" t="str">
        <f>IFERROR(__xludf.DUMMYFUNCTION("""COMPUTED_VALUE"""),"")</f>
        <v/>
      </c>
      <c r="B34" s="19" t="str">
        <f>IFERROR(__xludf.DUMMYFUNCTION("""COMPUTED_VALUE"""),"")</f>
        <v/>
      </c>
      <c r="C34" s="20" t="str">
        <f>IFERROR(__xludf.DUMMYFUNCTION("""COMPUTED_VALUE"""),"")</f>
        <v/>
      </c>
      <c r="D34" s="21" t="str">
        <f>IFERROR(__xludf.DUMMYFUNCTION("""COMPUTED_VALUE"""),"")</f>
        <v/>
      </c>
      <c r="E34" s="21" t="str">
        <f>IFERROR(__xludf.DUMMYFUNCTION("""COMPUTED_VALUE"""),"")</f>
        <v/>
      </c>
      <c r="F34" s="21" t="str">
        <f>IFERROR(__xludf.DUMMYFUNCTION("""COMPUTED_VALUE"""),"")</f>
        <v/>
      </c>
      <c r="G34" s="23" t="str">
        <f>IFERROR(__xludf.DUMMYFUNCTION("""COMPUTED_VALUE"""),"")</f>
        <v/>
      </c>
      <c r="H34" s="4"/>
      <c r="I34" s="5" t="s">
        <v>3258</v>
      </c>
      <c r="J34" s="5" t="s">
        <v>3233</v>
      </c>
      <c r="K34" s="24">
        <v>759.0</v>
      </c>
      <c r="L34" s="5">
        <v>4.817133</v>
      </c>
      <c r="M34" s="5">
        <v>-0.983738</v>
      </c>
      <c r="N34" s="5">
        <v>3.833395</v>
      </c>
      <c r="O34" s="5">
        <v>1.307637</v>
      </c>
    </row>
    <row r="35">
      <c r="A35" s="12" t="str">
        <f>IFERROR(__xludf.DUMMYFUNCTION("""COMPUTED_VALUE"""),"")</f>
        <v/>
      </c>
      <c r="B35" s="13" t="str">
        <f>IFERROR(__xludf.DUMMYFUNCTION("""COMPUTED_VALUE"""),"")</f>
        <v/>
      </c>
      <c r="C35" s="14" t="str">
        <f>IFERROR(__xludf.DUMMYFUNCTION("""COMPUTED_VALUE"""),"")</f>
        <v/>
      </c>
      <c r="D35" s="15" t="str">
        <f>IFERROR(__xludf.DUMMYFUNCTION("""COMPUTED_VALUE"""),"")</f>
        <v/>
      </c>
      <c r="E35" s="15" t="str">
        <f>IFERROR(__xludf.DUMMYFUNCTION("""COMPUTED_VALUE"""),"")</f>
        <v/>
      </c>
      <c r="F35" s="15" t="str">
        <f>IFERROR(__xludf.DUMMYFUNCTION("""COMPUTED_VALUE"""),"")</f>
        <v/>
      </c>
      <c r="G35" s="17" t="str">
        <f>IFERROR(__xludf.DUMMYFUNCTION("""COMPUTED_VALUE"""),"")</f>
        <v/>
      </c>
      <c r="H35" s="4"/>
      <c r="I35" s="5" t="s">
        <v>3261</v>
      </c>
      <c r="J35" s="5" t="s">
        <v>2838</v>
      </c>
      <c r="K35" s="24">
        <v>625.0</v>
      </c>
      <c r="L35" s="5">
        <v>0.961712</v>
      </c>
      <c r="M35" s="5">
        <v>2.847781</v>
      </c>
      <c r="N35" s="5">
        <v>3.809493</v>
      </c>
      <c r="O35" s="5">
        <v>1.08724</v>
      </c>
    </row>
    <row r="36">
      <c r="A36" s="18" t="str">
        <f>IFERROR(__xludf.DUMMYFUNCTION("""COMPUTED_VALUE"""),"")</f>
        <v/>
      </c>
      <c r="B36" s="19" t="str">
        <f>IFERROR(__xludf.DUMMYFUNCTION("""COMPUTED_VALUE"""),"")</f>
        <v/>
      </c>
      <c r="C36" s="20" t="str">
        <f>IFERROR(__xludf.DUMMYFUNCTION("""COMPUTED_VALUE"""),"")</f>
        <v/>
      </c>
      <c r="D36" s="21" t="str">
        <f>IFERROR(__xludf.DUMMYFUNCTION("""COMPUTED_VALUE"""),"")</f>
        <v/>
      </c>
      <c r="E36" s="21" t="str">
        <f>IFERROR(__xludf.DUMMYFUNCTION("""COMPUTED_VALUE"""),"")</f>
        <v/>
      </c>
      <c r="F36" s="21" t="str">
        <f>IFERROR(__xludf.DUMMYFUNCTION("""COMPUTED_VALUE"""),"")</f>
        <v/>
      </c>
      <c r="G36" s="23" t="str">
        <f>IFERROR(__xludf.DUMMYFUNCTION("""COMPUTED_VALUE"""),"")</f>
        <v/>
      </c>
      <c r="H36" s="4"/>
      <c r="I36" s="5" t="s">
        <v>1059</v>
      </c>
      <c r="J36" s="5" t="s">
        <v>3263</v>
      </c>
      <c r="K36" s="24">
        <v>185.0</v>
      </c>
      <c r="L36" s="5">
        <v>1.223865</v>
      </c>
      <c r="M36" s="5">
        <v>2.421583</v>
      </c>
      <c r="N36" s="5">
        <v>3.645448</v>
      </c>
      <c r="O36" s="5">
        <v>0.314242</v>
      </c>
    </row>
    <row r="37">
      <c r="A37" s="12" t="str">
        <f>IFERROR(__xludf.DUMMYFUNCTION("""COMPUTED_VALUE"""),"")</f>
        <v/>
      </c>
      <c r="B37" s="13" t="str">
        <f>IFERROR(__xludf.DUMMYFUNCTION("""COMPUTED_VALUE"""),"")</f>
        <v/>
      </c>
      <c r="C37" s="14" t="str">
        <f>IFERROR(__xludf.DUMMYFUNCTION("""COMPUTED_VALUE"""),"")</f>
        <v/>
      </c>
      <c r="D37" s="15" t="str">
        <f>IFERROR(__xludf.DUMMYFUNCTION("""COMPUTED_VALUE"""),"")</f>
        <v/>
      </c>
      <c r="E37" s="15" t="str">
        <f>IFERROR(__xludf.DUMMYFUNCTION("""COMPUTED_VALUE"""),"")</f>
        <v/>
      </c>
      <c r="F37" s="15" t="str">
        <f>IFERROR(__xludf.DUMMYFUNCTION("""COMPUTED_VALUE"""),"")</f>
        <v/>
      </c>
      <c r="G37" s="17" t="str">
        <f>IFERROR(__xludf.DUMMYFUNCTION("""COMPUTED_VALUE"""),"")</f>
        <v/>
      </c>
      <c r="H37" s="4"/>
      <c r="I37" s="5" t="s">
        <v>3264</v>
      </c>
      <c r="J37" s="5" t="s">
        <v>3251</v>
      </c>
      <c r="K37" s="24">
        <v>667.0</v>
      </c>
      <c r="L37" s="5">
        <v>3.584636</v>
      </c>
      <c r="M37" s="5">
        <v>-0.098471</v>
      </c>
      <c r="N37" s="5">
        <v>3.486165</v>
      </c>
      <c r="O37" s="5">
        <v>1.111848</v>
      </c>
    </row>
    <row r="38">
      <c r="A38" s="18" t="str">
        <f>IFERROR(__xludf.DUMMYFUNCTION("""COMPUTED_VALUE"""),"")</f>
        <v/>
      </c>
      <c r="B38" s="19" t="str">
        <f>IFERROR(__xludf.DUMMYFUNCTION("""COMPUTED_VALUE"""),"")</f>
        <v/>
      </c>
      <c r="C38" s="20" t="str">
        <f>IFERROR(__xludf.DUMMYFUNCTION("""COMPUTED_VALUE"""),"")</f>
        <v/>
      </c>
      <c r="D38" s="21" t="str">
        <f>IFERROR(__xludf.DUMMYFUNCTION("""COMPUTED_VALUE"""),"")</f>
        <v/>
      </c>
      <c r="E38" s="21" t="str">
        <f>IFERROR(__xludf.DUMMYFUNCTION("""COMPUTED_VALUE"""),"")</f>
        <v/>
      </c>
      <c r="F38" s="21" t="str">
        <f>IFERROR(__xludf.DUMMYFUNCTION("""COMPUTED_VALUE"""),"")</f>
        <v/>
      </c>
      <c r="G38" s="23" t="str">
        <f>IFERROR(__xludf.DUMMYFUNCTION("""COMPUTED_VALUE"""),"")</f>
        <v/>
      </c>
      <c r="H38" s="4"/>
      <c r="I38" s="5" t="s">
        <v>3266</v>
      </c>
      <c r="J38" s="5" t="s">
        <v>2838</v>
      </c>
      <c r="K38" s="5">
        <v>384.0</v>
      </c>
      <c r="L38" s="5">
        <v>3.735435</v>
      </c>
      <c r="M38" s="5">
        <v>-0.358083</v>
      </c>
      <c r="N38" s="5">
        <v>3.377352</v>
      </c>
      <c r="O38" s="5">
        <v>0.618769</v>
      </c>
    </row>
    <row r="39">
      <c r="A39" s="12" t="str">
        <f>IFERROR(__xludf.DUMMYFUNCTION("""COMPUTED_VALUE"""),"")</f>
        <v/>
      </c>
      <c r="B39" s="13" t="str">
        <f>IFERROR(__xludf.DUMMYFUNCTION("""COMPUTED_VALUE"""),"")</f>
        <v/>
      </c>
      <c r="C39" s="14" t="str">
        <f>IFERROR(__xludf.DUMMYFUNCTION("""COMPUTED_VALUE"""),"")</f>
        <v/>
      </c>
      <c r="D39" s="15" t="str">
        <f>IFERROR(__xludf.DUMMYFUNCTION("""COMPUTED_VALUE"""),"")</f>
        <v/>
      </c>
      <c r="E39" s="15" t="str">
        <f>IFERROR(__xludf.DUMMYFUNCTION("""COMPUTED_VALUE"""),"")</f>
        <v/>
      </c>
      <c r="F39" s="15" t="str">
        <f>IFERROR(__xludf.DUMMYFUNCTION("""COMPUTED_VALUE"""),"")</f>
        <v/>
      </c>
      <c r="G39" s="17" t="str">
        <f>IFERROR(__xludf.DUMMYFUNCTION("""COMPUTED_VALUE"""),"")</f>
        <v/>
      </c>
      <c r="H39" s="4"/>
      <c r="I39" s="5" t="s">
        <v>3268</v>
      </c>
      <c r="J39" s="5" t="s">
        <v>3223</v>
      </c>
      <c r="K39" s="24">
        <v>551.0</v>
      </c>
      <c r="L39" s="5">
        <v>2.461333</v>
      </c>
      <c r="M39" s="5">
        <v>0.890418</v>
      </c>
      <c r="N39" s="5">
        <v>3.351751</v>
      </c>
      <c r="O39" s="5">
        <v>0.896847</v>
      </c>
    </row>
    <row r="40">
      <c r="A40" s="18" t="str">
        <f>IFERROR(__xludf.DUMMYFUNCTION("""COMPUTED_VALUE"""),"")</f>
        <v/>
      </c>
      <c r="B40" s="19" t="str">
        <f>IFERROR(__xludf.DUMMYFUNCTION("""COMPUTED_VALUE"""),"")</f>
        <v/>
      </c>
      <c r="C40" s="20" t="str">
        <f>IFERROR(__xludf.DUMMYFUNCTION("""COMPUTED_VALUE"""),"")</f>
        <v/>
      </c>
      <c r="D40" s="21" t="str">
        <f>IFERROR(__xludf.DUMMYFUNCTION("""COMPUTED_VALUE"""),"")</f>
        <v/>
      </c>
      <c r="E40" s="21" t="str">
        <f>IFERROR(__xludf.DUMMYFUNCTION("""COMPUTED_VALUE"""),"")</f>
        <v/>
      </c>
      <c r="F40" s="21" t="str">
        <f>IFERROR(__xludf.DUMMYFUNCTION("""COMPUTED_VALUE"""),"")</f>
        <v/>
      </c>
      <c r="G40" s="23" t="str">
        <f>IFERROR(__xludf.DUMMYFUNCTION("""COMPUTED_VALUE"""),"")</f>
        <v/>
      </c>
      <c r="H40" s="4"/>
      <c r="I40" s="5" t="s">
        <v>1046</v>
      </c>
      <c r="J40" s="5" t="s">
        <v>3217</v>
      </c>
      <c r="K40" s="24">
        <v>633.0</v>
      </c>
      <c r="L40" s="5">
        <v>-0.064647</v>
      </c>
      <c r="M40" s="5">
        <v>3.374524</v>
      </c>
      <c r="N40" s="5">
        <v>3.309876</v>
      </c>
      <c r="O40" s="5">
        <v>1.011111</v>
      </c>
    </row>
    <row r="41">
      <c r="A41" s="12" t="str">
        <f>IFERROR(__xludf.DUMMYFUNCTION("""COMPUTED_VALUE"""),"")</f>
        <v/>
      </c>
      <c r="B41" s="13" t="str">
        <f>IFERROR(__xludf.DUMMYFUNCTION("""COMPUTED_VALUE"""),"")</f>
        <v/>
      </c>
      <c r="C41" s="14" t="str">
        <f>IFERROR(__xludf.DUMMYFUNCTION("""COMPUTED_VALUE"""),"")</f>
        <v/>
      </c>
      <c r="D41" s="15" t="str">
        <f>IFERROR(__xludf.DUMMYFUNCTION("""COMPUTED_VALUE"""),"")</f>
        <v/>
      </c>
      <c r="E41" s="15" t="str">
        <f>IFERROR(__xludf.DUMMYFUNCTION("""COMPUTED_VALUE"""),"")</f>
        <v/>
      </c>
      <c r="F41" s="15" t="str">
        <f>IFERROR(__xludf.DUMMYFUNCTION("""COMPUTED_VALUE"""),"")</f>
        <v/>
      </c>
      <c r="G41" s="17" t="str">
        <f>IFERROR(__xludf.DUMMYFUNCTION("""COMPUTED_VALUE"""),"")</f>
        <v/>
      </c>
      <c r="H41" s="4"/>
      <c r="I41" s="5" t="s">
        <v>1153</v>
      </c>
      <c r="J41" s="5" t="s">
        <v>3215</v>
      </c>
      <c r="K41" s="24">
        <v>209.0</v>
      </c>
      <c r="L41" s="5">
        <v>3.973163</v>
      </c>
      <c r="M41" s="5">
        <v>-0.769295</v>
      </c>
      <c r="N41" s="5">
        <v>3.203868</v>
      </c>
      <c r="O41" s="5">
        <v>0.329617</v>
      </c>
    </row>
    <row r="42">
      <c r="A42" s="18" t="str">
        <f>IFERROR(__xludf.DUMMYFUNCTION("""COMPUTED_VALUE"""),"")</f>
        <v/>
      </c>
      <c r="B42" s="19" t="str">
        <f>IFERROR(__xludf.DUMMYFUNCTION("""COMPUTED_VALUE"""),"")</f>
        <v/>
      </c>
      <c r="C42" s="20" t="str">
        <f>IFERROR(__xludf.DUMMYFUNCTION("""COMPUTED_VALUE"""),"")</f>
        <v/>
      </c>
      <c r="D42" s="21" t="str">
        <f>IFERROR(__xludf.DUMMYFUNCTION("""COMPUTED_VALUE"""),"")</f>
        <v/>
      </c>
      <c r="E42" s="21" t="str">
        <f>IFERROR(__xludf.DUMMYFUNCTION("""COMPUTED_VALUE"""),"")</f>
        <v/>
      </c>
      <c r="F42" s="21" t="str">
        <f>IFERROR(__xludf.DUMMYFUNCTION("""COMPUTED_VALUE"""),"")</f>
        <v/>
      </c>
      <c r="G42" s="23" t="str">
        <f>IFERROR(__xludf.DUMMYFUNCTION("""COMPUTED_VALUE"""),"")</f>
        <v/>
      </c>
      <c r="H42" s="4"/>
      <c r="I42" s="5" t="s">
        <v>3271</v>
      </c>
      <c r="J42" s="5" t="s">
        <v>3203</v>
      </c>
      <c r="K42" s="24">
        <v>169.0</v>
      </c>
      <c r="L42" s="5">
        <v>-0.022316</v>
      </c>
      <c r="M42" s="5">
        <v>3.219429</v>
      </c>
      <c r="N42" s="5">
        <v>3.197113</v>
      </c>
      <c r="O42" s="5">
        <v>0.266026</v>
      </c>
    </row>
    <row r="43">
      <c r="A43" s="12" t="str">
        <f>IFERROR(__xludf.DUMMYFUNCTION("""COMPUTED_VALUE"""),"")</f>
        <v/>
      </c>
      <c r="B43" s="13" t="str">
        <f>IFERROR(__xludf.DUMMYFUNCTION("""COMPUTED_VALUE"""),"")</f>
        <v/>
      </c>
      <c r="C43" s="14" t="str">
        <f>IFERROR(__xludf.DUMMYFUNCTION("""COMPUTED_VALUE"""),"")</f>
        <v/>
      </c>
      <c r="D43" s="15" t="str">
        <f>IFERROR(__xludf.DUMMYFUNCTION("""COMPUTED_VALUE"""),"")</f>
        <v/>
      </c>
      <c r="E43" s="15" t="str">
        <f>IFERROR(__xludf.DUMMYFUNCTION("""COMPUTED_VALUE"""),"")</f>
        <v/>
      </c>
      <c r="F43" s="15" t="str">
        <f>IFERROR(__xludf.DUMMYFUNCTION("""COMPUTED_VALUE"""),"")</f>
        <v/>
      </c>
      <c r="G43" s="17" t="str">
        <f>IFERROR(__xludf.DUMMYFUNCTION("""COMPUTED_VALUE"""),"")</f>
        <v/>
      </c>
      <c r="H43" s="4"/>
      <c r="I43" s="5" t="s">
        <v>3272</v>
      </c>
      <c r="J43" s="5" t="s">
        <v>3205</v>
      </c>
      <c r="K43" s="24">
        <v>651.0</v>
      </c>
      <c r="L43" s="5">
        <v>5.35383</v>
      </c>
      <c r="M43" s="5">
        <v>-2.184378</v>
      </c>
      <c r="N43" s="5">
        <v>3.169452</v>
      </c>
      <c r="O43" s="5">
        <v>1.020423</v>
      </c>
    </row>
    <row r="44">
      <c r="A44" s="18" t="str">
        <f>IFERROR(__xludf.DUMMYFUNCTION("""COMPUTED_VALUE"""),"")</f>
        <v/>
      </c>
      <c r="B44" s="19" t="str">
        <f>IFERROR(__xludf.DUMMYFUNCTION("""COMPUTED_VALUE"""),"")</f>
        <v/>
      </c>
      <c r="C44" s="20" t="str">
        <f>IFERROR(__xludf.DUMMYFUNCTION("""COMPUTED_VALUE"""),"")</f>
        <v/>
      </c>
      <c r="D44" s="21" t="str">
        <f>IFERROR(__xludf.DUMMYFUNCTION("""COMPUTED_VALUE"""),"")</f>
        <v/>
      </c>
      <c r="E44" s="21" t="str">
        <f>IFERROR(__xludf.DUMMYFUNCTION("""COMPUTED_VALUE"""),"")</f>
        <v/>
      </c>
      <c r="F44" s="21" t="str">
        <f>IFERROR(__xludf.DUMMYFUNCTION("""COMPUTED_VALUE"""),"")</f>
        <v/>
      </c>
      <c r="G44" s="23" t="str">
        <f>IFERROR(__xludf.DUMMYFUNCTION("""COMPUTED_VALUE"""),"")</f>
        <v/>
      </c>
      <c r="H44" s="4"/>
      <c r="I44" s="5" t="s">
        <v>3273</v>
      </c>
      <c r="J44" s="5" t="s">
        <v>3263</v>
      </c>
      <c r="K44" s="24">
        <v>655.0</v>
      </c>
      <c r="L44" s="5">
        <v>2.297783</v>
      </c>
      <c r="M44" s="5">
        <v>0.857242</v>
      </c>
      <c r="N44" s="5">
        <v>3.155025</v>
      </c>
      <c r="O44" s="5">
        <v>1.014685</v>
      </c>
    </row>
    <row r="45">
      <c r="A45" s="12" t="str">
        <f>IFERROR(__xludf.DUMMYFUNCTION("""COMPUTED_VALUE"""),"")</f>
        <v/>
      </c>
      <c r="B45" s="13" t="str">
        <f>IFERROR(__xludf.DUMMYFUNCTION("""COMPUTED_VALUE"""),"")</f>
        <v/>
      </c>
      <c r="C45" s="14" t="str">
        <f>IFERROR(__xludf.DUMMYFUNCTION("""COMPUTED_VALUE"""),"")</f>
        <v/>
      </c>
      <c r="D45" s="15" t="str">
        <f>IFERROR(__xludf.DUMMYFUNCTION("""COMPUTED_VALUE"""),"")</f>
        <v/>
      </c>
      <c r="E45" s="15" t="str">
        <f>IFERROR(__xludf.DUMMYFUNCTION("""COMPUTED_VALUE"""),"")</f>
        <v/>
      </c>
      <c r="F45" s="15" t="str">
        <f>IFERROR(__xludf.DUMMYFUNCTION("""COMPUTED_VALUE"""),"")</f>
        <v/>
      </c>
      <c r="G45" s="17" t="str">
        <f>IFERROR(__xludf.DUMMYFUNCTION("""COMPUTED_VALUE"""),"")</f>
        <v/>
      </c>
      <c r="H45" s="4"/>
      <c r="I45" s="5" t="s">
        <v>3274</v>
      </c>
      <c r="J45" s="5" t="s">
        <v>3207</v>
      </c>
      <c r="K45" s="24">
        <v>715.0</v>
      </c>
      <c r="L45" s="5">
        <v>6.187436</v>
      </c>
      <c r="M45" s="5">
        <v>-3.077226</v>
      </c>
      <c r="N45" s="5">
        <v>3.11021</v>
      </c>
      <c r="O45" s="5">
        <v>1.089659</v>
      </c>
    </row>
    <row r="46">
      <c r="A46" s="18" t="str">
        <f>IFERROR(__xludf.DUMMYFUNCTION("""COMPUTED_VALUE"""),"")</f>
        <v/>
      </c>
      <c r="B46" s="19" t="str">
        <f>IFERROR(__xludf.DUMMYFUNCTION("""COMPUTED_VALUE"""),"")</f>
        <v/>
      </c>
      <c r="C46" s="20" t="str">
        <f>IFERROR(__xludf.DUMMYFUNCTION("""COMPUTED_VALUE"""),"")</f>
        <v/>
      </c>
      <c r="D46" s="21" t="str">
        <f>IFERROR(__xludf.DUMMYFUNCTION("""COMPUTED_VALUE"""),"")</f>
        <v/>
      </c>
      <c r="E46" s="21" t="str">
        <f>IFERROR(__xludf.DUMMYFUNCTION("""COMPUTED_VALUE"""),"")</f>
        <v/>
      </c>
      <c r="F46" s="21" t="str">
        <f>IFERROR(__xludf.DUMMYFUNCTION("""COMPUTED_VALUE"""),"")</f>
        <v/>
      </c>
      <c r="G46" s="23" t="str">
        <f>IFERROR(__xludf.DUMMYFUNCTION("""COMPUTED_VALUE"""),"")</f>
        <v/>
      </c>
      <c r="H46" s="4"/>
      <c r="I46" s="5" t="s">
        <v>3275</v>
      </c>
      <c r="J46" s="5" t="s">
        <v>3215</v>
      </c>
      <c r="K46" s="24">
        <v>272.0</v>
      </c>
      <c r="L46" s="5">
        <v>2.065216</v>
      </c>
      <c r="M46" s="5">
        <v>0.964367</v>
      </c>
      <c r="N46" s="5">
        <v>3.029583</v>
      </c>
      <c r="O46" s="5">
        <v>0.415097</v>
      </c>
    </row>
    <row r="47">
      <c r="A47" s="12" t="str">
        <f>IFERROR(__xludf.DUMMYFUNCTION("""COMPUTED_VALUE"""),"")</f>
        <v/>
      </c>
      <c r="B47" s="13" t="str">
        <f>IFERROR(__xludf.DUMMYFUNCTION("""COMPUTED_VALUE"""),"")</f>
        <v/>
      </c>
      <c r="C47" s="14" t="str">
        <f>IFERROR(__xludf.DUMMYFUNCTION("""COMPUTED_VALUE"""),"")</f>
        <v/>
      </c>
      <c r="D47" s="15" t="str">
        <f>IFERROR(__xludf.DUMMYFUNCTION("""COMPUTED_VALUE"""),"")</f>
        <v/>
      </c>
      <c r="E47" s="15" t="str">
        <f>IFERROR(__xludf.DUMMYFUNCTION("""COMPUTED_VALUE"""),"")</f>
        <v/>
      </c>
      <c r="F47" s="15" t="str">
        <f>IFERROR(__xludf.DUMMYFUNCTION("""COMPUTED_VALUE"""),"")</f>
        <v/>
      </c>
      <c r="G47" s="17" t="str">
        <f>IFERROR(__xludf.DUMMYFUNCTION("""COMPUTED_VALUE"""),"")</f>
        <v/>
      </c>
      <c r="H47" s="4"/>
      <c r="I47" s="5" t="s">
        <v>909</v>
      </c>
      <c r="J47" s="5" t="s">
        <v>3263</v>
      </c>
      <c r="K47" s="24">
        <v>526.0</v>
      </c>
      <c r="L47" s="5">
        <v>3.516881</v>
      </c>
      <c r="M47" s="5">
        <v>-0.684136</v>
      </c>
      <c r="N47" s="5">
        <v>2.832746</v>
      </c>
      <c r="O47" s="5">
        <v>0.763585</v>
      </c>
    </row>
    <row r="48">
      <c r="A48" s="18" t="str">
        <f>IFERROR(__xludf.DUMMYFUNCTION("""COMPUTED_VALUE"""),"")</f>
        <v/>
      </c>
      <c r="B48" s="19" t="str">
        <f>IFERROR(__xludf.DUMMYFUNCTION("""COMPUTED_VALUE"""),"")</f>
        <v/>
      </c>
      <c r="C48" s="20" t="str">
        <f>IFERROR(__xludf.DUMMYFUNCTION("""COMPUTED_VALUE"""),"")</f>
        <v/>
      </c>
      <c r="D48" s="21" t="str">
        <f>IFERROR(__xludf.DUMMYFUNCTION("""COMPUTED_VALUE"""),"")</f>
        <v/>
      </c>
      <c r="E48" s="21" t="str">
        <f>IFERROR(__xludf.DUMMYFUNCTION("""COMPUTED_VALUE"""),"")</f>
        <v/>
      </c>
      <c r="F48" s="21" t="str">
        <f>IFERROR(__xludf.DUMMYFUNCTION("""COMPUTED_VALUE"""),"")</f>
        <v/>
      </c>
      <c r="G48" s="23" t="str">
        <f>IFERROR(__xludf.DUMMYFUNCTION("""COMPUTED_VALUE"""),"")</f>
        <v/>
      </c>
      <c r="H48" s="4"/>
      <c r="I48" s="5" t="s">
        <v>3276</v>
      </c>
      <c r="J48" s="5" t="s">
        <v>3229</v>
      </c>
      <c r="K48" s="24">
        <v>608.0</v>
      </c>
      <c r="L48" s="5">
        <v>2.688464</v>
      </c>
      <c r="M48" s="5">
        <v>0.142456</v>
      </c>
      <c r="N48" s="5">
        <v>2.83092</v>
      </c>
      <c r="O48" s="5">
        <v>0.927956</v>
      </c>
    </row>
    <row r="49">
      <c r="A49" s="12" t="str">
        <f>IFERROR(__xludf.DUMMYFUNCTION("""COMPUTED_VALUE"""),"")</f>
        <v/>
      </c>
      <c r="B49" s="13" t="str">
        <f>IFERROR(__xludf.DUMMYFUNCTION("""COMPUTED_VALUE"""),"")</f>
        <v/>
      </c>
      <c r="C49" s="14" t="str">
        <f>IFERROR(__xludf.DUMMYFUNCTION("""COMPUTED_VALUE"""),"")</f>
        <v/>
      </c>
      <c r="D49" s="15" t="str">
        <f>IFERROR(__xludf.DUMMYFUNCTION("""COMPUTED_VALUE"""),"")</f>
        <v/>
      </c>
      <c r="E49" s="15" t="str">
        <f>IFERROR(__xludf.DUMMYFUNCTION("""COMPUTED_VALUE"""),"")</f>
        <v/>
      </c>
      <c r="F49" s="15" t="str">
        <f>IFERROR(__xludf.DUMMYFUNCTION("""COMPUTED_VALUE"""),"")</f>
        <v/>
      </c>
      <c r="G49" s="17" t="str">
        <f>IFERROR(__xludf.DUMMYFUNCTION("""COMPUTED_VALUE"""),"")</f>
        <v/>
      </c>
      <c r="H49" s="4"/>
      <c r="I49" s="5" t="s">
        <v>3277</v>
      </c>
      <c r="J49" s="5" t="s">
        <v>3278</v>
      </c>
      <c r="K49" s="24">
        <v>815.0</v>
      </c>
      <c r="L49" s="5">
        <v>3.277836</v>
      </c>
      <c r="M49" s="5">
        <v>-0.477433</v>
      </c>
      <c r="N49" s="5">
        <v>2.800403</v>
      </c>
      <c r="O49" s="5">
        <v>1.181775</v>
      </c>
    </row>
    <row r="50">
      <c r="A50" s="18" t="str">
        <f>IFERROR(__xludf.DUMMYFUNCTION("""COMPUTED_VALUE"""),"")</f>
        <v/>
      </c>
      <c r="B50" s="19" t="str">
        <f>IFERROR(__xludf.DUMMYFUNCTION("""COMPUTED_VALUE"""),"")</f>
        <v/>
      </c>
      <c r="C50" s="20" t="str">
        <f>IFERROR(__xludf.DUMMYFUNCTION("""COMPUTED_VALUE"""),"")</f>
        <v/>
      </c>
      <c r="D50" s="21" t="str">
        <f>IFERROR(__xludf.DUMMYFUNCTION("""COMPUTED_VALUE"""),"")</f>
        <v/>
      </c>
      <c r="E50" s="21" t="str">
        <f>IFERROR(__xludf.DUMMYFUNCTION("""COMPUTED_VALUE"""),"")</f>
        <v/>
      </c>
      <c r="F50" s="21" t="str">
        <f>IFERROR(__xludf.DUMMYFUNCTION("""COMPUTED_VALUE"""),"")</f>
        <v/>
      </c>
      <c r="G50" s="23" t="str">
        <f>IFERROR(__xludf.DUMMYFUNCTION("""COMPUTED_VALUE"""),"")</f>
        <v/>
      </c>
      <c r="H50" s="4"/>
      <c r="I50" s="5" t="s">
        <v>3279</v>
      </c>
      <c r="J50" s="5" t="s">
        <v>3217</v>
      </c>
      <c r="K50" s="24">
        <v>837.0</v>
      </c>
      <c r="L50" s="5">
        <v>1.514834</v>
      </c>
      <c r="M50" s="5">
        <v>0.978611</v>
      </c>
      <c r="N50" s="5">
        <v>2.493444</v>
      </c>
      <c r="O50" s="5">
        <v>1.132476</v>
      </c>
    </row>
    <row r="51">
      <c r="A51" s="12" t="str">
        <f>IFERROR(__xludf.DUMMYFUNCTION("""COMPUTED_VALUE"""),"")</f>
        <v/>
      </c>
      <c r="B51" s="13" t="str">
        <f>IFERROR(__xludf.DUMMYFUNCTION("""COMPUTED_VALUE"""),"")</f>
        <v/>
      </c>
      <c r="C51" s="14" t="str">
        <f>IFERROR(__xludf.DUMMYFUNCTION("""COMPUTED_VALUE"""),"")</f>
        <v/>
      </c>
      <c r="D51" s="15" t="str">
        <f>IFERROR(__xludf.DUMMYFUNCTION("""COMPUTED_VALUE"""),"")</f>
        <v/>
      </c>
      <c r="E51" s="15" t="str">
        <f>IFERROR(__xludf.DUMMYFUNCTION("""COMPUTED_VALUE"""),"")</f>
        <v/>
      </c>
      <c r="F51" s="15" t="str">
        <f>IFERROR(__xludf.DUMMYFUNCTION("""COMPUTED_VALUE"""),"")</f>
        <v/>
      </c>
      <c r="G51" s="17" t="str">
        <f>IFERROR(__xludf.DUMMYFUNCTION("""COMPUTED_VALUE"""),"")</f>
        <v/>
      </c>
      <c r="H51" s="4"/>
      <c r="I51" s="5" t="s">
        <v>3280</v>
      </c>
      <c r="J51" s="5" t="s">
        <v>3281</v>
      </c>
      <c r="K51" s="5">
        <v>315.0</v>
      </c>
      <c r="L51" s="5">
        <v>-2.097568</v>
      </c>
      <c r="M51" s="5">
        <v>4.589667</v>
      </c>
      <c r="N51" s="5">
        <v>2.492099</v>
      </c>
      <c r="O51" s="5">
        <v>0.431164</v>
      </c>
    </row>
    <row r="52">
      <c r="A52" s="18" t="str">
        <f>IFERROR(__xludf.DUMMYFUNCTION("""COMPUTED_VALUE"""),"")</f>
        <v/>
      </c>
      <c r="B52" s="19" t="str">
        <f>IFERROR(__xludf.DUMMYFUNCTION("""COMPUTED_VALUE"""),"")</f>
        <v/>
      </c>
      <c r="C52" s="20" t="str">
        <f>IFERROR(__xludf.DUMMYFUNCTION("""COMPUTED_VALUE"""),"")</f>
        <v/>
      </c>
      <c r="D52" s="21" t="str">
        <f>IFERROR(__xludf.DUMMYFUNCTION("""COMPUTED_VALUE"""),"")</f>
        <v/>
      </c>
      <c r="E52" s="21" t="str">
        <f>IFERROR(__xludf.DUMMYFUNCTION("""COMPUTED_VALUE"""),"")</f>
        <v/>
      </c>
      <c r="F52" s="21" t="str">
        <f>IFERROR(__xludf.DUMMYFUNCTION("""COMPUTED_VALUE"""),"")</f>
        <v/>
      </c>
      <c r="G52" s="23" t="str">
        <f>IFERROR(__xludf.DUMMYFUNCTION("""COMPUTED_VALUE"""),"")</f>
        <v/>
      </c>
      <c r="H52" s="4"/>
      <c r="I52" s="5" t="s">
        <v>3282</v>
      </c>
      <c r="J52" s="5" t="s">
        <v>3283</v>
      </c>
      <c r="K52" s="24">
        <v>847.0</v>
      </c>
      <c r="L52" s="5">
        <v>5.325886</v>
      </c>
      <c r="M52" s="5">
        <v>-2.852219</v>
      </c>
      <c r="N52" s="5">
        <v>2.473667</v>
      </c>
      <c r="O52" s="5">
        <v>1.151349</v>
      </c>
    </row>
    <row r="53">
      <c r="A53" s="12" t="str">
        <f>IFERROR(__xludf.DUMMYFUNCTION("""COMPUTED_VALUE"""),"")</f>
        <v/>
      </c>
      <c r="B53" s="13" t="str">
        <f>IFERROR(__xludf.DUMMYFUNCTION("""COMPUTED_VALUE"""),"")</f>
        <v/>
      </c>
      <c r="C53" s="14" t="str">
        <f>IFERROR(__xludf.DUMMYFUNCTION("""COMPUTED_VALUE"""),"")</f>
        <v/>
      </c>
      <c r="D53" s="15" t="str">
        <f>IFERROR(__xludf.DUMMYFUNCTION("""COMPUTED_VALUE"""),"")</f>
        <v/>
      </c>
      <c r="E53" s="15" t="str">
        <f>IFERROR(__xludf.DUMMYFUNCTION("""COMPUTED_VALUE"""),"")</f>
        <v/>
      </c>
      <c r="F53" s="15" t="str">
        <f>IFERROR(__xludf.DUMMYFUNCTION("""COMPUTED_VALUE"""),"")</f>
        <v/>
      </c>
      <c r="G53" s="17" t="str">
        <f>IFERROR(__xludf.DUMMYFUNCTION("""COMPUTED_VALUE"""),"")</f>
        <v/>
      </c>
      <c r="H53" s="4"/>
      <c r="I53" s="5" t="s">
        <v>3284</v>
      </c>
      <c r="J53" s="5" t="s">
        <v>3210</v>
      </c>
      <c r="K53" s="24">
        <v>395.0</v>
      </c>
      <c r="L53" s="5">
        <v>0.379536</v>
      </c>
      <c r="M53" s="5">
        <v>2.078441</v>
      </c>
      <c r="N53" s="5">
        <v>2.457977</v>
      </c>
      <c r="O53" s="5">
        <v>0.530127</v>
      </c>
    </row>
    <row r="54">
      <c r="A54" s="18" t="str">
        <f>IFERROR(__xludf.DUMMYFUNCTION("""COMPUTED_VALUE"""),"")</f>
        <v/>
      </c>
      <c r="B54" s="19" t="str">
        <f>IFERROR(__xludf.DUMMYFUNCTION("""COMPUTED_VALUE"""),"")</f>
        <v/>
      </c>
      <c r="C54" s="20" t="str">
        <f>IFERROR(__xludf.DUMMYFUNCTION("""COMPUTED_VALUE"""),"")</f>
        <v/>
      </c>
      <c r="D54" s="21" t="str">
        <f>IFERROR(__xludf.DUMMYFUNCTION("""COMPUTED_VALUE"""),"")</f>
        <v/>
      </c>
      <c r="E54" s="21" t="str">
        <f>IFERROR(__xludf.DUMMYFUNCTION("""COMPUTED_VALUE"""),"")</f>
        <v/>
      </c>
      <c r="F54" s="21" t="str">
        <f>IFERROR(__xludf.DUMMYFUNCTION("""COMPUTED_VALUE"""),"")</f>
        <v/>
      </c>
      <c r="G54" s="23" t="str">
        <f>IFERROR(__xludf.DUMMYFUNCTION("""COMPUTED_VALUE"""),"")</f>
        <v/>
      </c>
      <c r="H54" s="4"/>
      <c r="I54" s="5" t="s">
        <v>1199</v>
      </c>
      <c r="J54" s="5" t="s">
        <v>3263</v>
      </c>
      <c r="K54" s="24">
        <v>685.0</v>
      </c>
      <c r="L54" s="5">
        <v>3.338251</v>
      </c>
      <c r="M54" s="5">
        <v>-0.923543</v>
      </c>
      <c r="N54" s="5">
        <v>2.414708</v>
      </c>
      <c r="O54" s="5">
        <v>0.908904</v>
      </c>
    </row>
    <row r="55">
      <c r="A55" s="12" t="str">
        <f>IFERROR(__xludf.DUMMYFUNCTION("""COMPUTED_VALUE"""),"")</f>
        <v/>
      </c>
      <c r="B55" s="13" t="str">
        <f>IFERROR(__xludf.DUMMYFUNCTION("""COMPUTED_VALUE"""),"")</f>
        <v/>
      </c>
      <c r="C55" s="14" t="str">
        <f>IFERROR(__xludf.DUMMYFUNCTION("""COMPUTED_VALUE"""),"")</f>
        <v/>
      </c>
      <c r="D55" s="15" t="str">
        <f>IFERROR(__xludf.DUMMYFUNCTION("""COMPUTED_VALUE"""),"")</f>
        <v/>
      </c>
      <c r="E55" s="15" t="str">
        <f>IFERROR(__xludf.DUMMYFUNCTION("""COMPUTED_VALUE"""),"")</f>
        <v/>
      </c>
      <c r="F55" s="15" t="str">
        <f>IFERROR(__xludf.DUMMYFUNCTION("""COMPUTED_VALUE"""),"")</f>
        <v/>
      </c>
      <c r="G55" s="17" t="str">
        <f>IFERROR(__xludf.DUMMYFUNCTION("""COMPUTED_VALUE"""),"")</f>
        <v/>
      </c>
      <c r="H55" s="4"/>
      <c r="I55" s="5" t="s">
        <v>3285</v>
      </c>
      <c r="J55" s="5" t="s">
        <v>3223</v>
      </c>
      <c r="K55" s="24">
        <v>299.0</v>
      </c>
      <c r="L55" s="5">
        <v>2.114402</v>
      </c>
      <c r="M55" s="5">
        <v>0.266771</v>
      </c>
      <c r="N55" s="5">
        <v>2.381174</v>
      </c>
      <c r="O55" s="5">
        <v>0.39799</v>
      </c>
    </row>
    <row r="56">
      <c r="A56" s="18" t="str">
        <f>IFERROR(__xludf.DUMMYFUNCTION("""COMPUTED_VALUE"""),"")</f>
        <v/>
      </c>
      <c r="B56" s="19" t="str">
        <f>IFERROR(__xludf.DUMMYFUNCTION("""COMPUTED_VALUE"""),"")</f>
        <v/>
      </c>
      <c r="C56" s="20" t="str">
        <f>IFERROR(__xludf.DUMMYFUNCTION("""COMPUTED_VALUE"""),"")</f>
        <v/>
      </c>
      <c r="D56" s="21" t="str">
        <f>IFERROR(__xludf.DUMMYFUNCTION("""COMPUTED_VALUE"""),"")</f>
        <v/>
      </c>
      <c r="E56" s="21" t="str">
        <f>IFERROR(__xludf.DUMMYFUNCTION("""COMPUTED_VALUE"""),"")</f>
        <v/>
      </c>
      <c r="F56" s="21" t="str">
        <f>IFERROR(__xludf.DUMMYFUNCTION("""COMPUTED_VALUE"""),"")</f>
        <v/>
      </c>
      <c r="G56" s="23" t="str">
        <f>IFERROR(__xludf.DUMMYFUNCTION("""COMPUTED_VALUE"""),"")</f>
        <v/>
      </c>
      <c r="H56" s="4"/>
      <c r="I56" s="5" t="s">
        <v>3286</v>
      </c>
      <c r="J56" s="5" t="s">
        <v>3281</v>
      </c>
      <c r="K56" s="24">
        <v>447.0</v>
      </c>
      <c r="L56" s="5">
        <v>-0.709714</v>
      </c>
      <c r="M56" s="5">
        <v>3.043585</v>
      </c>
      <c r="N56" s="5">
        <v>2.333871</v>
      </c>
      <c r="O56" s="5">
        <v>0.590269</v>
      </c>
    </row>
    <row r="57">
      <c r="A57" s="12" t="str">
        <f>IFERROR(__xludf.DUMMYFUNCTION("""COMPUTED_VALUE"""),"")</f>
        <v/>
      </c>
      <c r="B57" s="13" t="str">
        <f>IFERROR(__xludf.DUMMYFUNCTION("""COMPUTED_VALUE"""),"")</f>
        <v/>
      </c>
      <c r="C57" s="14" t="str">
        <f>IFERROR(__xludf.DUMMYFUNCTION("""COMPUTED_VALUE"""),"")</f>
        <v/>
      </c>
      <c r="D57" s="15" t="str">
        <f>IFERROR(__xludf.DUMMYFUNCTION("""COMPUTED_VALUE"""),"")</f>
        <v/>
      </c>
      <c r="E57" s="15" t="str">
        <f>IFERROR(__xludf.DUMMYFUNCTION("""COMPUTED_VALUE"""),"")</f>
        <v/>
      </c>
      <c r="F57" s="15" t="str">
        <f>IFERROR(__xludf.DUMMYFUNCTION("""COMPUTED_VALUE"""),"")</f>
        <v/>
      </c>
      <c r="G57" s="17" t="str">
        <f>IFERROR(__xludf.DUMMYFUNCTION("""COMPUTED_VALUE"""),"")</f>
        <v/>
      </c>
      <c r="H57" s="4"/>
      <c r="I57" s="5" t="s">
        <v>3287</v>
      </c>
      <c r="J57" s="5" t="s">
        <v>3281</v>
      </c>
      <c r="K57" s="24">
        <v>613.0</v>
      </c>
      <c r="L57" s="5">
        <v>1.212388</v>
      </c>
      <c r="M57" s="5">
        <v>1.082671</v>
      </c>
      <c r="N57" s="5">
        <v>2.29506</v>
      </c>
      <c r="O57" s="5">
        <v>0.802109</v>
      </c>
    </row>
    <row r="58">
      <c r="A58" s="18" t="str">
        <f>IFERROR(__xludf.DUMMYFUNCTION("""COMPUTED_VALUE"""),"")</f>
        <v/>
      </c>
      <c r="B58" s="19" t="str">
        <f>IFERROR(__xludf.DUMMYFUNCTION("""COMPUTED_VALUE"""),"")</f>
        <v/>
      </c>
      <c r="C58" s="20" t="str">
        <f>IFERROR(__xludf.DUMMYFUNCTION("""COMPUTED_VALUE"""),"")</f>
        <v/>
      </c>
      <c r="D58" s="21" t="str">
        <f>IFERROR(__xludf.DUMMYFUNCTION("""COMPUTED_VALUE"""),"")</f>
        <v/>
      </c>
      <c r="E58" s="21" t="str">
        <f>IFERROR(__xludf.DUMMYFUNCTION("""COMPUTED_VALUE"""),"")</f>
        <v/>
      </c>
      <c r="F58" s="21" t="str">
        <f>IFERROR(__xludf.DUMMYFUNCTION("""COMPUTED_VALUE"""),"")</f>
        <v/>
      </c>
      <c r="G58" s="23" t="str">
        <f>IFERROR(__xludf.DUMMYFUNCTION("""COMPUTED_VALUE"""),"")</f>
        <v/>
      </c>
      <c r="H58" s="4"/>
      <c r="I58" s="5" t="s">
        <v>3288</v>
      </c>
      <c r="J58" s="5" t="s">
        <v>644</v>
      </c>
      <c r="K58" s="5">
        <v>590.0</v>
      </c>
      <c r="L58" s="5">
        <v>1.508431</v>
      </c>
      <c r="M58" s="5">
        <v>0.77959</v>
      </c>
      <c r="N58" s="5">
        <v>2.288021</v>
      </c>
      <c r="O58" s="5">
        <v>0.768179</v>
      </c>
    </row>
    <row r="59">
      <c r="A59" s="12" t="str">
        <f>IFERROR(__xludf.DUMMYFUNCTION("""COMPUTED_VALUE"""),"")</f>
        <v/>
      </c>
      <c r="B59" s="13" t="str">
        <f>IFERROR(__xludf.DUMMYFUNCTION("""COMPUTED_VALUE"""),"")</f>
        <v/>
      </c>
      <c r="C59" s="14" t="str">
        <f>IFERROR(__xludf.DUMMYFUNCTION("""COMPUTED_VALUE"""),"")</f>
        <v/>
      </c>
      <c r="D59" s="15" t="str">
        <f>IFERROR(__xludf.DUMMYFUNCTION("""COMPUTED_VALUE"""),"")</f>
        <v/>
      </c>
      <c r="E59" s="15" t="str">
        <f>IFERROR(__xludf.DUMMYFUNCTION("""COMPUTED_VALUE"""),"")</f>
        <v/>
      </c>
      <c r="F59" s="15" t="str">
        <f>IFERROR(__xludf.DUMMYFUNCTION("""COMPUTED_VALUE"""),"")</f>
        <v/>
      </c>
      <c r="G59" s="17" t="str">
        <f>IFERROR(__xludf.DUMMYFUNCTION("""COMPUTED_VALUE"""),"")</f>
        <v/>
      </c>
      <c r="H59" s="4"/>
      <c r="I59" s="5" t="s">
        <v>1120</v>
      </c>
      <c r="J59" s="5" t="s">
        <v>3223</v>
      </c>
      <c r="K59" s="24">
        <v>221.0</v>
      </c>
      <c r="L59" s="5">
        <v>0.314999</v>
      </c>
      <c r="M59" s="5">
        <v>1.971491</v>
      </c>
      <c r="N59" s="5">
        <v>2.28649</v>
      </c>
      <c r="O59" s="5">
        <v>0.288296</v>
      </c>
    </row>
    <row r="60">
      <c r="A60" s="18" t="str">
        <f>IFERROR(__xludf.DUMMYFUNCTION("""COMPUTED_VALUE"""),"")</f>
        <v/>
      </c>
      <c r="B60" s="19" t="str">
        <f>IFERROR(__xludf.DUMMYFUNCTION("""COMPUTED_VALUE"""),"")</f>
        <v/>
      </c>
      <c r="C60" s="20" t="str">
        <f>IFERROR(__xludf.DUMMYFUNCTION("""COMPUTED_VALUE"""),"")</f>
        <v/>
      </c>
      <c r="D60" s="21" t="str">
        <f>IFERROR(__xludf.DUMMYFUNCTION("""COMPUTED_VALUE"""),"")</f>
        <v/>
      </c>
      <c r="E60" s="21" t="str">
        <f>IFERROR(__xludf.DUMMYFUNCTION("""COMPUTED_VALUE"""),"")</f>
        <v/>
      </c>
      <c r="F60" s="21" t="str">
        <f>IFERROR(__xludf.DUMMYFUNCTION("""COMPUTED_VALUE"""),"")</f>
        <v/>
      </c>
      <c r="G60" s="23" t="str">
        <f>IFERROR(__xludf.DUMMYFUNCTION("""COMPUTED_VALUE"""),"")</f>
        <v/>
      </c>
      <c r="H60" s="4"/>
      <c r="I60" s="5" t="s">
        <v>3289</v>
      </c>
      <c r="J60" s="5" t="s">
        <v>3212</v>
      </c>
      <c r="K60" s="24">
        <v>446.0</v>
      </c>
      <c r="L60" s="5">
        <v>0.830691</v>
      </c>
      <c r="M60" s="5">
        <v>1.379282</v>
      </c>
      <c r="N60" s="5">
        <v>2.209973</v>
      </c>
      <c r="O60" s="5">
        <v>0.569922</v>
      </c>
    </row>
    <row r="61">
      <c r="A61" s="12" t="str">
        <f>IFERROR(__xludf.DUMMYFUNCTION("""COMPUTED_VALUE"""),"")</f>
        <v/>
      </c>
      <c r="B61" s="13" t="str">
        <f>IFERROR(__xludf.DUMMYFUNCTION("""COMPUTED_VALUE"""),"")</f>
        <v/>
      </c>
      <c r="C61" s="14" t="str">
        <f>IFERROR(__xludf.DUMMYFUNCTION("""COMPUTED_VALUE"""),"")</f>
        <v/>
      </c>
      <c r="D61" s="15" t="str">
        <f>IFERROR(__xludf.DUMMYFUNCTION("""COMPUTED_VALUE"""),"")</f>
        <v/>
      </c>
      <c r="E61" s="15" t="str">
        <f>IFERROR(__xludf.DUMMYFUNCTION("""COMPUTED_VALUE"""),"")</f>
        <v/>
      </c>
      <c r="F61" s="15" t="str">
        <f>IFERROR(__xludf.DUMMYFUNCTION("""COMPUTED_VALUE"""),"")</f>
        <v/>
      </c>
      <c r="G61" s="17" t="str">
        <f>IFERROR(__xludf.DUMMYFUNCTION("""COMPUTED_VALUE"""),"")</f>
        <v/>
      </c>
      <c r="H61" s="4"/>
      <c r="I61" s="5" t="s">
        <v>3290</v>
      </c>
      <c r="J61" s="5" t="s">
        <v>2201</v>
      </c>
      <c r="K61" s="24">
        <v>504.0</v>
      </c>
      <c r="L61" s="5">
        <v>-1.466241</v>
      </c>
      <c r="M61" s="5">
        <v>3.6389</v>
      </c>
      <c r="N61" s="5">
        <v>2.172659</v>
      </c>
      <c r="O61" s="5">
        <v>0.642405</v>
      </c>
    </row>
    <row r="62">
      <c r="A62" s="18" t="str">
        <f>IFERROR(__xludf.DUMMYFUNCTION("""COMPUTED_VALUE"""),"")</f>
        <v/>
      </c>
      <c r="B62" s="19" t="str">
        <f>IFERROR(__xludf.DUMMYFUNCTION("""COMPUTED_VALUE"""),"")</f>
        <v/>
      </c>
      <c r="C62" s="20" t="str">
        <f>IFERROR(__xludf.DUMMYFUNCTION("""COMPUTED_VALUE"""),"")</f>
        <v/>
      </c>
      <c r="D62" s="21" t="str">
        <f>IFERROR(__xludf.DUMMYFUNCTION("""COMPUTED_VALUE"""),"")</f>
        <v/>
      </c>
      <c r="E62" s="21" t="str">
        <f>IFERROR(__xludf.DUMMYFUNCTION("""COMPUTED_VALUE"""),"")</f>
        <v/>
      </c>
      <c r="F62" s="21" t="str">
        <f>IFERROR(__xludf.DUMMYFUNCTION("""COMPUTED_VALUE"""),"")</f>
        <v/>
      </c>
      <c r="G62" s="23" t="str">
        <f>IFERROR(__xludf.DUMMYFUNCTION("""COMPUTED_VALUE"""),"")</f>
        <v/>
      </c>
      <c r="H62" s="4"/>
      <c r="I62" s="5" t="s">
        <v>3291</v>
      </c>
      <c r="J62" s="5" t="s">
        <v>3215</v>
      </c>
      <c r="K62" s="24">
        <v>754.0</v>
      </c>
      <c r="L62" s="5">
        <v>2.036048</v>
      </c>
      <c r="M62" s="5">
        <v>0.107098</v>
      </c>
      <c r="N62" s="5">
        <v>2.143147</v>
      </c>
      <c r="O62" s="5">
        <v>0.948823</v>
      </c>
    </row>
    <row r="63">
      <c r="A63" s="12" t="str">
        <f>IFERROR(__xludf.DUMMYFUNCTION("""COMPUTED_VALUE"""),"")</f>
        <v/>
      </c>
      <c r="B63" s="13" t="str">
        <f>IFERROR(__xludf.DUMMYFUNCTION("""COMPUTED_VALUE"""),"")</f>
        <v/>
      </c>
      <c r="C63" s="14" t="str">
        <f>IFERROR(__xludf.DUMMYFUNCTION("""COMPUTED_VALUE"""),"")</f>
        <v/>
      </c>
      <c r="D63" s="15" t="str">
        <f>IFERROR(__xludf.DUMMYFUNCTION("""COMPUTED_VALUE"""),"")</f>
        <v/>
      </c>
      <c r="E63" s="15" t="str">
        <f>IFERROR(__xludf.DUMMYFUNCTION("""COMPUTED_VALUE"""),"")</f>
        <v/>
      </c>
      <c r="F63" s="15" t="str">
        <f>IFERROR(__xludf.DUMMYFUNCTION("""COMPUTED_VALUE"""),"")</f>
        <v/>
      </c>
      <c r="G63" s="17" t="str">
        <f>IFERROR(__xludf.DUMMYFUNCTION("""COMPUTED_VALUE"""),"")</f>
        <v/>
      </c>
      <c r="H63" s="4"/>
      <c r="I63" s="5" t="s">
        <v>3292</v>
      </c>
      <c r="J63" s="5" t="s">
        <v>3281</v>
      </c>
      <c r="K63" s="24">
        <v>727.0</v>
      </c>
      <c r="L63" s="5">
        <v>2.182755</v>
      </c>
      <c r="M63" s="5">
        <v>-0.049466</v>
      </c>
      <c r="N63" s="5">
        <v>2.133289</v>
      </c>
      <c r="O63" s="5">
        <v>0.916448</v>
      </c>
    </row>
    <row r="64">
      <c r="A64" s="18" t="str">
        <f>IFERROR(__xludf.DUMMYFUNCTION("""COMPUTED_VALUE"""),"")</f>
        <v/>
      </c>
      <c r="B64" s="19" t="str">
        <f>IFERROR(__xludf.DUMMYFUNCTION("""COMPUTED_VALUE"""),"")</f>
        <v/>
      </c>
      <c r="C64" s="20" t="str">
        <f>IFERROR(__xludf.DUMMYFUNCTION("""COMPUTED_VALUE"""),"")</f>
        <v/>
      </c>
      <c r="D64" s="21" t="str">
        <f>IFERROR(__xludf.DUMMYFUNCTION("""COMPUTED_VALUE"""),"")</f>
        <v/>
      </c>
      <c r="E64" s="21" t="str">
        <f>IFERROR(__xludf.DUMMYFUNCTION("""COMPUTED_VALUE"""),"")</f>
        <v/>
      </c>
      <c r="F64" s="21" t="str">
        <f>IFERROR(__xludf.DUMMYFUNCTION("""COMPUTED_VALUE"""),"")</f>
        <v/>
      </c>
      <c r="G64" s="23" t="str">
        <f>IFERROR(__xludf.DUMMYFUNCTION("""COMPUTED_VALUE"""),"")</f>
        <v/>
      </c>
      <c r="H64" s="4"/>
      <c r="I64" s="5" t="s">
        <v>3293</v>
      </c>
      <c r="J64" s="5" t="s">
        <v>3203</v>
      </c>
      <c r="K64" s="24">
        <v>651.0</v>
      </c>
      <c r="L64" s="5">
        <v>1.965802</v>
      </c>
      <c r="M64" s="5">
        <v>0.163826</v>
      </c>
      <c r="N64" s="5">
        <v>2.129628</v>
      </c>
      <c r="O64" s="5">
        <v>0.814856</v>
      </c>
    </row>
    <row r="65">
      <c r="A65" s="12" t="str">
        <f>IFERROR(__xludf.DUMMYFUNCTION("""COMPUTED_VALUE"""),"")</f>
        <v/>
      </c>
      <c r="B65" s="13" t="str">
        <f>IFERROR(__xludf.DUMMYFUNCTION("""COMPUTED_VALUE"""),"")</f>
        <v/>
      </c>
      <c r="C65" s="14" t="str">
        <f>IFERROR(__xludf.DUMMYFUNCTION("""COMPUTED_VALUE"""),"")</f>
        <v/>
      </c>
      <c r="D65" s="15" t="str">
        <f>IFERROR(__xludf.DUMMYFUNCTION("""COMPUTED_VALUE"""),"")</f>
        <v/>
      </c>
      <c r="E65" s="15" t="str">
        <f>IFERROR(__xludf.DUMMYFUNCTION("""COMPUTED_VALUE"""),"")</f>
        <v/>
      </c>
      <c r="F65" s="15" t="str">
        <f>IFERROR(__xludf.DUMMYFUNCTION("""COMPUTED_VALUE"""),"")</f>
        <v/>
      </c>
      <c r="G65" s="17" t="str">
        <f>IFERROR(__xludf.DUMMYFUNCTION("""COMPUTED_VALUE"""),"")</f>
        <v/>
      </c>
      <c r="H65" s="4"/>
      <c r="I65" s="5" t="s">
        <v>3294</v>
      </c>
      <c r="J65" s="5" t="s">
        <v>3283</v>
      </c>
      <c r="K65" s="24">
        <v>275.0</v>
      </c>
      <c r="L65" s="5">
        <v>3.148509</v>
      </c>
      <c r="M65" s="5">
        <v>-1.083142</v>
      </c>
      <c r="N65" s="5">
        <v>2.065367</v>
      </c>
      <c r="O65" s="5">
        <v>0.339163</v>
      </c>
    </row>
    <row r="66">
      <c r="A66" s="18" t="str">
        <f>IFERROR(__xludf.DUMMYFUNCTION("""COMPUTED_VALUE"""),"")</f>
        <v/>
      </c>
      <c r="B66" s="19" t="str">
        <f>IFERROR(__xludf.DUMMYFUNCTION("""COMPUTED_VALUE"""),"")</f>
        <v/>
      </c>
      <c r="C66" s="20" t="str">
        <f>IFERROR(__xludf.DUMMYFUNCTION("""COMPUTED_VALUE"""),"")</f>
        <v/>
      </c>
      <c r="D66" s="21" t="str">
        <f>IFERROR(__xludf.DUMMYFUNCTION("""COMPUTED_VALUE"""),"")</f>
        <v/>
      </c>
      <c r="E66" s="21" t="str">
        <f>IFERROR(__xludf.DUMMYFUNCTION("""COMPUTED_VALUE"""),"")</f>
        <v/>
      </c>
      <c r="F66" s="21" t="str">
        <f>IFERROR(__xludf.DUMMYFUNCTION("""COMPUTED_VALUE"""),"")</f>
        <v/>
      </c>
      <c r="G66" s="23" t="str">
        <f>IFERROR(__xludf.DUMMYFUNCTION("""COMPUTED_VALUE"""),"")</f>
        <v/>
      </c>
      <c r="H66" s="4"/>
      <c r="I66" s="5" t="s">
        <v>3295</v>
      </c>
      <c r="J66" s="5" t="s">
        <v>3226</v>
      </c>
      <c r="K66" s="24">
        <v>216.0</v>
      </c>
      <c r="L66" s="5">
        <v>1.177333</v>
      </c>
      <c r="M66" s="5">
        <v>0.868176</v>
      </c>
      <c r="N66" s="5">
        <v>2.045509</v>
      </c>
      <c r="O66" s="5">
        <v>0.266886</v>
      </c>
    </row>
    <row r="67">
      <c r="A67" s="12" t="str">
        <f>IFERROR(__xludf.DUMMYFUNCTION("""COMPUTED_VALUE"""),"")</f>
        <v/>
      </c>
      <c r="B67" s="13" t="str">
        <f>IFERROR(__xludf.DUMMYFUNCTION("""COMPUTED_VALUE"""),"")</f>
        <v/>
      </c>
      <c r="C67" s="14" t="str">
        <f>IFERROR(__xludf.DUMMYFUNCTION("""COMPUTED_VALUE"""),"")</f>
        <v/>
      </c>
      <c r="D67" s="15" t="str">
        <f>IFERROR(__xludf.DUMMYFUNCTION("""COMPUTED_VALUE"""),"")</f>
        <v/>
      </c>
      <c r="E67" s="15" t="str">
        <f>IFERROR(__xludf.DUMMYFUNCTION("""COMPUTED_VALUE"""),"")</f>
        <v/>
      </c>
      <c r="F67" s="15" t="str">
        <f>IFERROR(__xludf.DUMMYFUNCTION("""COMPUTED_VALUE"""),"")</f>
        <v/>
      </c>
      <c r="G67" s="17" t="str">
        <f>IFERROR(__xludf.DUMMYFUNCTION("""COMPUTED_VALUE"""),"")</f>
        <v/>
      </c>
      <c r="H67" s="4"/>
      <c r="I67" s="5" t="s">
        <v>3296</v>
      </c>
      <c r="J67" s="5" t="s">
        <v>3283</v>
      </c>
      <c r="K67" s="24">
        <v>868.0</v>
      </c>
      <c r="L67" s="5">
        <v>0.716895</v>
      </c>
      <c r="M67" s="5">
        <v>1.256238</v>
      </c>
      <c r="N67" s="5">
        <v>1.973133</v>
      </c>
      <c r="O67" s="5">
        <v>1.047639</v>
      </c>
    </row>
    <row r="68">
      <c r="A68" s="18" t="str">
        <f>IFERROR(__xludf.DUMMYFUNCTION("""COMPUTED_VALUE"""),"")</f>
        <v/>
      </c>
      <c r="B68" s="19" t="str">
        <f>IFERROR(__xludf.DUMMYFUNCTION("""COMPUTED_VALUE"""),"")</f>
        <v/>
      </c>
      <c r="C68" s="20" t="str">
        <f>IFERROR(__xludf.DUMMYFUNCTION("""COMPUTED_VALUE"""),"")</f>
        <v/>
      </c>
      <c r="D68" s="21" t="str">
        <f>IFERROR(__xludf.DUMMYFUNCTION("""COMPUTED_VALUE"""),"")</f>
        <v/>
      </c>
      <c r="E68" s="21" t="str">
        <f>IFERROR(__xludf.DUMMYFUNCTION("""COMPUTED_VALUE"""),"")</f>
        <v/>
      </c>
      <c r="F68" s="21" t="str">
        <f>IFERROR(__xludf.DUMMYFUNCTION("""COMPUTED_VALUE"""),"")</f>
        <v/>
      </c>
      <c r="G68" s="23" t="str">
        <f>IFERROR(__xludf.DUMMYFUNCTION("""COMPUTED_VALUE"""),"")</f>
        <v/>
      </c>
      <c r="H68" s="4"/>
      <c r="I68" s="5" t="s">
        <v>1151</v>
      </c>
      <c r="J68" s="5" t="s">
        <v>3256</v>
      </c>
      <c r="K68" s="5">
        <v>466.0</v>
      </c>
      <c r="L68" s="5">
        <v>0.755282</v>
      </c>
      <c r="M68" s="5">
        <v>1.15204</v>
      </c>
      <c r="N68" s="5">
        <v>1.907322</v>
      </c>
      <c r="O68" s="5">
        <v>0.552272</v>
      </c>
    </row>
    <row r="69">
      <c r="A69" s="12" t="str">
        <f>IFERROR(__xludf.DUMMYFUNCTION("""COMPUTED_VALUE"""),"")</f>
        <v/>
      </c>
      <c r="B69" s="13" t="str">
        <f>IFERROR(__xludf.DUMMYFUNCTION("""COMPUTED_VALUE"""),"")</f>
        <v/>
      </c>
      <c r="C69" s="14" t="str">
        <f>IFERROR(__xludf.DUMMYFUNCTION("""COMPUTED_VALUE"""),"")</f>
        <v/>
      </c>
      <c r="D69" s="15" t="str">
        <f>IFERROR(__xludf.DUMMYFUNCTION("""COMPUTED_VALUE"""),"")</f>
        <v/>
      </c>
      <c r="E69" s="15" t="str">
        <f>IFERROR(__xludf.DUMMYFUNCTION("""COMPUTED_VALUE"""),"")</f>
        <v/>
      </c>
      <c r="F69" s="15" t="str">
        <f>IFERROR(__xludf.DUMMYFUNCTION("""COMPUTED_VALUE"""),"")</f>
        <v/>
      </c>
      <c r="G69" s="17" t="str">
        <f>IFERROR(__xludf.DUMMYFUNCTION("""COMPUTED_VALUE"""),"")</f>
        <v/>
      </c>
      <c r="H69" s="4"/>
      <c r="I69" s="5" t="s">
        <v>3297</v>
      </c>
      <c r="J69" s="5" t="s">
        <v>3256</v>
      </c>
      <c r="K69" s="24">
        <v>352.0</v>
      </c>
      <c r="L69" s="5">
        <v>2.142986</v>
      </c>
      <c r="M69" s="5">
        <v>-0.236418</v>
      </c>
      <c r="N69" s="5">
        <v>1.906568</v>
      </c>
      <c r="O69" s="5">
        <v>0.417236</v>
      </c>
    </row>
    <row r="70">
      <c r="A70" s="18" t="str">
        <f>IFERROR(__xludf.DUMMYFUNCTION("""COMPUTED_VALUE"""),"")</f>
        <v/>
      </c>
      <c r="B70" s="19" t="str">
        <f>IFERROR(__xludf.DUMMYFUNCTION("""COMPUTED_VALUE"""),"")</f>
        <v/>
      </c>
      <c r="C70" s="20" t="str">
        <f>IFERROR(__xludf.DUMMYFUNCTION("""COMPUTED_VALUE"""),"")</f>
        <v/>
      </c>
      <c r="D70" s="21" t="str">
        <f>IFERROR(__xludf.DUMMYFUNCTION("""COMPUTED_VALUE"""),"")</f>
        <v/>
      </c>
      <c r="E70" s="21" t="str">
        <f>IFERROR(__xludf.DUMMYFUNCTION("""COMPUTED_VALUE"""),"")</f>
        <v/>
      </c>
      <c r="F70" s="21" t="str">
        <f>IFERROR(__xludf.DUMMYFUNCTION("""COMPUTED_VALUE"""),"")</f>
        <v/>
      </c>
      <c r="G70" s="23" t="str">
        <f>IFERROR(__xludf.DUMMYFUNCTION("""COMPUTED_VALUE"""),"")</f>
        <v/>
      </c>
      <c r="H70" s="4"/>
      <c r="I70" s="5" t="s">
        <v>3298</v>
      </c>
      <c r="J70" s="5" t="s">
        <v>3256</v>
      </c>
      <c r="K70" s="24">
        <v>557.0</v>
      </c>
      <c r="L70" s="5">
        <v>-0.896476</v>
      </c>
      <c r="M70" s="5">
        <v>2.717459</v>
      </c>
      <c r="N70" s="5">
        <v>1.820983</v>
      </c>
      <c r="O70" s="5">
        <v>0.64618</v>
      </c>
    </row>
    <row r="71">
      <c r="A71" s="12" t="str">
        <f>IFERROR(__xludf.DUMMYFUNCTION("""COMPUTED_VALUE"""),"")</f>
        <v/>
      </c>
      <c r="B71" s="13" t="str">
        <f>IFERROR(__xludf.DUMMYFUNCTION("""COMPUTED_VALUE"""),"")</f>
        <v/>
      </c>
      <c r="C71" s="14" t="str">
        <f>IFERROR(__xludf.DUMMYFUNCTION("""COMPUTED_VALUE"""),"")</f>
        <v/>
      </c>
      <c r="D71" s="15" t="str">
        <f>IFERROR(__xludf.DUMMYFUNCTION("""COMPUTED_VALUE"""),"")</f>
        <v/>
      </c>
      <c r="E71" s="15" t="str">
        <f>IFERROR(__xludf.DUMMYFUNCTION("""COMPUTED_VALUE"""),"")</f>
        <v/>
      </c>
      <c r="F71" s="15" t="str">
        <f>IFERROR(__xludf.DUMMYFUNCTION("""COMPUTED_VALUE"""),"")</f>
        <v/>
      </c>
      <c r="G71" s="17" t="str">
        <f>IFERROR(__xludf.DUMMYFUNCTION("""COMPUTED_VALUE"""),"")</f>
        <v/>
      </c>
      <c r="H71" s="4"/>
      <c r="I71" s="5" t="s">
        <v>3299</v>
      </c>
      <c r="J71" s="5" t="s">
        <v>2201</v>
      </c>
      <c r="K71" s="24">
        <v>649.0</v>
      </c>
      <c r="L71" s="5">
        <v>3.939797</v>
      </c>
      <c r="M71" s="5">
        <v>-2.16439</v>
      </c>
      <c r="N71" s="5">
        <v>1.775406</v>
      </c>
      <c r="O71" s="5">
        <v>0.748206</v>
      </c>
    </row>
    <row r="72">
      <c r="A72" s="18" t="str">
        <f>IFERROR(__xludf.DUMMYFUNCTION("""COMPUTED_VALUE"""),"")</f>
        <v/>
      </c>
      <c r="B72" s="19" t="str">
        <f>IFERROR(__xludf.DUMMYFUNCTION("""COMPUTED_VALUE"""),"")</f>
        <v/>
      </c>
      <c r="C72" s="20" t="str">
        <f>IFERROR(__xludf.DUMMYFUNCTION("""COMPUTED_VALUE"""),"")</f>
        <v/>
      </c>
      <c r="D72" s="21" t="str">
        <f>IFERROR(__xludf.DUMMYFUNCTION("""COMPUTED_VALUE"""),"")</f>
        <v/>
      </c>
      <c r="E72" s="21" t="str">
        <f>IFERROR(__xludf.DUMMYFUNCTION("""COMPUTED_VALUE"""),"")</f>
        <v/>
      </c>
      <c r="F72" s="21" t="str">
        <f>IFERROR(__xludf.DUMMYFUNCTION("""COMPUTED_VALUE"""),"")</f>
        <v/>
      </c>
      <c r="G72" s="23" t="str">
        <f>IFERROR(__xludf.DUMMYFUNCTION("""COMPUTED_VALUE"""),"")</f>
        <v/>
      </c>
      <c r="H72" s="4"/>
      <c r="I72" s="5" t="s">
        <v>3300</v>
      </c>
      <c r="J72" s="5" t="s">
        <v>3237</v>
      </c>
      <c r="K72" s="24">
        <v>628.0</v>
      </c>
      <c r="L72" s="5">
        <v>-0.081297</v>
      </c>
      <c r="M72" s="5">
        <v>1.837528</v>
      </c>
      <c r="N72" s="5">
        <v>1.756231</v>
      </c>
      <c r="O72" s="5">
        <v>0.795599</v>
      </c>
    </row>
    <row r="73">
      <c r="A73" s="12" t="str">
        <f>IFERROR(__xludf.DUMMYFUNCTION("""COMPUTED_VALUE"""),"")</f>
        <v/>
      </c>
      <c r="B73" s="13" t="str">
        <f>IFERROR(__xludf.DUMMYFUNCTION("""COMPUTED_VALUE"""),"")</f>
        <v/>
      </c>
      <c r="C73" s="14" t="str">
        <f>IFERROR(__xludf.DUMMYFUNCTION("""COMPUTED_VALUE"""),"")</f>
        <v/>
      </c>
      <c r="D73" s="15" t="str">
        <f>IFERROR(__xludf.DUMMYFUNCTION("""COMPUTED_VALUE"""),"")</f>
        <v/>
      </c>
      <c r="E73" s="15" t="str">
        <f>IFERROR(__xludf.DUMMYFUNCTION("""COMPUTED_VALUE"""),"")</f>
        <v/>
      </c>
      <c r="F73" s="15" t="str">
        <f>IFERROR(__xludf.DUMMYFUNCTION("""COMPUTED_VALUE"""),"")</f>
        <v/>
      </c>
      <c r="G73" s="17" t="str">
        <f>IFERROR(__xludf.DUMMYFUNCTION("""COMPUTED_VALUE"""),"")</f>
        <v/>
      </c>
      <c r="H73" s="4"/>
      <c r="I73" s="5" t="s">
        <v>1028</v>
      </c>
      <c r="J73" s="5" t="s">
        <v>3263</v>
      </c>
      <c r="K73" s="5">
        <v>599.0</v>
      </c>
      <c r="L73" s="5">
        <v>0.301502</v>
      </c>
      <c r="M73" s="5">
        <v>1.454015</v>
      </c>
      <c r="N73" s="5">
        <v>1.755517</v>
      </c>
      <c r="O73" s="5">
        <v>0.675553</v>
      </c>
    </row>
    <row r="74">
      <c r="A74" s="18" t="str">
        <f>IFERROR(__xludf.DUMMYFUNCTION("""COMPUTED_VALUE"""),"")</f>
        <v/>
      </c>
      <c r="B74" s="19" t="str">
        <f>IFERROR(__xludf.DUMMYFUNCTION("""COMPUTED_VALUE"""),"")</f>
        <v/>
      </c>
      <c r="C74" s="20" t="str">
        <f>IFERROR(__xludf.DUMMYFUNCTION("""COMPUTED_VALUE"""),"")</f>
        <v/>
      </c>
      <c r="D74" s="21" t="str">
        <f>IFERROR(__xludf.DUMMYFUNCTION("""COMPUTED_VALUE"""),"")</f>
        <v/>
      </c>
      <c r="E74" s="21" t="str">
        <f>IFERROR(__xludf.DUMMYFUNCTION("""COMPUTED_VALUE"""),"")</f>
        <v/>
      </c>
      <c r="F74" s="21" t="str">
        <f>IFERROR(__xludf.DUMMYFUNCTION("""COMPUTED_VALUE"""),"")</f>
        <v/>
      </c>
      <c r="G74" s="23" t="str">
        <f>IFERROR(__xludf.DUMMYFUNCTION("""COMPUTED_VALUE"""),"")</f>
        <v/>
      </c>
      <c r="H74" s="4"/>
      <c r="I74" s="5" t="s">
        <v>3301</v>
      </c>
      <c r="J74" s="5" t="s">
        <v>2838</v>
      </c>
      <c r="K74" s="24">
        <v>675.0</v>
      </c>
      <c r="L74" s="5">
        <v>-0.220423</v>
      </c>
      <c r="M74" s="5">
        <v>1.930718</v>
      </c>
      <c r="N74" s="5">
        <v>1.710295</v>
      </c>
      <c r="O74" s="5">
        <v>0.750399</v>
      </c>
    </row>
    <row r="75">
      <c r="A75" s="12" t="str">
        <f>IFERROR(__xludf.DUMMYFUNCTION("""COMPUTED_VALUE"""),"")</f>
        <v/>
      </c>
      <c r="B75" s="13" t="str">
        <f>IFERROR(__xludf.DUMMYFUNCTION("""COMPUTED_VALUE"""),"")</f>
        <v/>
      </c>
      <c r="C75" s="14" t="str">
        <f>IFERROR(__xludf.DUMMYFUNCTION("""COMPUTED_VALUE"""),"")</f>
        <v/>
      </c>
      <c r="D75" s="15" t="str">
        <f>IFERROR(__xludf.DUMMYFUNCTION("""COMPUTED_VALUE"""),"")</f>
        <v/>
      </c>
      <c r="E75" s="15" t="str">
        <f>IFERROR(__xludf.DUMMYFUNCTION("""COMPUTED_VALUE"""),"")</f>
        <v/>
      </c>
      <c r="F75" s="15" t="str">
        <f>IFERROR(__xludf.DUMMYFUNCTION("""COMPUTED_VALUE"""),"")</f>
        <v/>
      </c>
      <c r="G75" s="17" t="str">
        <f>IFERROR(__xludf.DUMMYFUNCTION("""COMPUTED_VALUE"""),"")</f>
        <v/>
      </c>
      <c r="H75" s="4"/>
      <c r="I75" s="5" t="s">
        <v>3302</v>
      </c>
      <c r="J75" s="5" t="s">
        <v>3212</v>
      </c>
      <c r="K75" s="5">
        <v>524.0</v>
      </c>
      <c r="L75" s="5">
        <v>0.42604</v>
      </c>
      <c r="M75" s="5">
        <v>1.241936</v>
      </c>
      <c r="N75" s="5">
        <v>1.667976</v>
      </c>
      <c r="O75" s="5">
        <v>0.583672</v>
      </c>
    </row>
    <row r="76">
      <c r="A76" s="18" t="str">
        <f>IFERROR(__xludf.DUMMYFUNCTION("""COMPUTED_VALUE"""),"")</f>
        <v/>
      </c>
      <c r="B76" s="19" t="str">
        <f>IFERROR(__xludf.DUMMYFUNCTION("""COMPUTED_VALUE"""),"")</f>
        <v/>
      </c>
      <c r="C76" s="20" t="str">
        <f>IFERROR(__xludf.DUMMYFUNCTION("""COMPUTED_VALUE"""),"")</f>
        <v/>
      </c>
      <c r="D76" s="21" t="str">
        <f>IFERROR(__xludf.DUMMYFUNCTION("""COMPUTED_VALUE"""),"")</f>
        <v/>
      </c>
      <c r="E76" s="21" t="str">
        <f>IFERROR(__xludf.DUMMYFUNCTION("""COMPUTED_VALUE"""),"")</f>
        <v/>
      </c>
      <c r="F76" s="21" t="str">
        <f>IFERROR(__xludf.DUMMYFUNCTION("""COMPUTED_VALUE"""),"")</f>
        <v/>
      </c>
      <c r="G76" s="23" t="str">
        <f>IFERROR(__xludf.DUMMYFUNCTION("""COMPUTED_VALUE"""),"")</f>
        <v/>
      </c>
      <c r="H76" s="4"/>
      <c r="I76" s="5" t="s">
        <v>3303</v>
      </c>
      <c r="J76" s="5" t="s">
        <v>3223</v>
      </c>
      <c r="K76" s="24">
        <v>170.0</v>
      </c>
      <c r="L76" s="5">
        <v>0.864701</v>
      </c>
      <c r="M76" s="5">
        <v>0.784528</v>
      </c>
      <c r="N76" s="5">
        <v>1.649229</v>
      </c>
      <c r="O76" s="5">
        <v>0.18843</v>
      </c>
    </row>
    <row r="77">
      <c r="A77" s="12" t="str">
        <f>IFERROR(__xludf.DUMMYFUNCTION("""COMPUTED_VALUE"""),"")</f>
        <v/>
      </c>
      <c r="B77" s="13" t="str">
        <f>IFERROR(__xludf.DUMMYFUNCTION("""COMPUTED_VALUE"""),"")</f>
        <v/>
      </c>
      <c r="C77" s="14" t="str">
        <f>IFERROR(__xludf.DUMMYFUNCTION("""COMPUTED_VALUE"""),"")</f>
        <v/>
      </c>
      <c r="D77" s="15" t="str">
        <f>IFERROR(__xludf.DUMMYFUNCTION("""COMPUTED_VALUE"""),"")</f>
        <v/>
      </c>
      <c r="E77" s="15" t="str">
        <f>IFERROR(__xludf.DUMMYFUNCTION("""COMPUTED_VALUE"""),"")</f>
        <v/>
      </c>
      <c r="F77" s="15" t="str">
        <f>IFERROR(__xludf.DUMMYFUNCTION("""COMPUTED_VALUE"""),"")</f>
        <v/>
      </c>
      <c r="G77" s="17" t="str">
        <f>IFERROR(__xludf.DUMMYFUNCTION("""COMPUTED_VALUE"""),"")</f>
        <v/>
      </c>
      <c r="H77" s="4"/>
      <c r="I77" s="5" t="s">
        <v>3304</v>
      </c>
      <c r="J77" s="5" t="s">
        <v>3220</v>
      </c>
      <c r="K77" s="24">
        <v>568.0</v>
      </c>
      <c r="L77" s="5">
        <v>-0.879916</v>
      </c>
      <c r="M77" s="5">
        <v>2.506278</v>
      </c>
      <c r="N77" s="5">
        <v>1.626362</v>
      </c>
      <c r="O77" s="5">
        <v>0.63257</v>
      </c>
    </row>
    <row r="78">
      <c r="A78" s="18" t="str">
        <f>IFERROR(__xludf.DUMMYFUNCTION("""COMPUTED_VALUE"""),"")</f>
        <v/>
      </c>
      <c r="B78" s="19" t="str">
        <f>IFERROR(__xludf.DUMMYFUNCTION("""COMPUTED_VALUE"""),"")</f>
        <v/>
      </c>
      <c r="C78" s="20" t="str">
        <f>IFERROR(__xludf.DUMMYFUNCTION("""COMPUTED_VALUE"""),"")</f>
        <v/>
      </c>
      <c r="D78" s="21" t="str">
        <f>IFERROR(__xludf.DUMMYFUNCTION("""COMPUTED_VALUE"""),"")</f>
        <v/>
      </c>
      <c r="E78" s="21" t="str">
        <f>IFERROR(__xludf.DUMMYFUNCTION("""COMPUTED_VALUE"""),"")</f>
        <v/>
      </c>
      <c r="F78" s="21" t="str">
        <f>IFERROR(__xludf.DUMMYFUNCTION("""COMPUTED_VALUE"""),"")</f>
        <v/>
      </c>
      <c r="G78" s="23" t="str">
        <f>IFERROR(__xludf.DUMMYFUNCTION("""COMPUTED_VALUE"""),"")</f>
        <v/>
      </c>
      <c r="H78" s="4"/>
      <c r="I78" s="5" t="s">
        <v>3305</v>
      </c>
      <c r="J78" s="5" t="s">
        <v>2838</v>
      </c>
      <c r="K78" s="24">
        <v>376.0</v>
      </c>
      <c r="L78" s="5">
        <v>0.615392</v>
      </c>
      <c r="M78" s="5">
        <v>1.004968</v>
      </c>
      <c r="N78" s="5">
        <v>1.62036</v>
      </c>
      <c r="O78" s="5">
        <v>0.408024</v>
      </c>
    </row>
    <row r="79">
      <c r="A79" s="12" t="str">
        <f>IFERROR(__xludf.DUMMYFUNCTION("""COMPUTED_VALUE"""),"")</f>
        <v/>
      </c>
      <c r="B79" s="13" t="str">
        <f>IFERROR(__xludf.DUMMYFUNCTION("""COMPUTED_VALUE"""),"")</f>
        <v/>
      </c>
      <c r="C79" s="14" t="str">
        <f>IFERROR(__xludf.DUMMYFUNCTION("""COMPUTED_VALUE"""),"")</f>
        <v/>
      </c>
      <c r="D79" s="15" t="str">
        <f>IFERROR(__xludf.DUMMYFUNCTION("""COMPUTED_VALUE"""),"")</f>
        <v/>
      </c>
      <c r="E79" s="15" t="str">
        <f>IFERROR(__xludf.DUMMYFUNCTION("""COMPUTED_VALUE"""),"")</f>
        <v/>
      </c>
      <c r="F79" s="15" t="str">
        <f>IFERROR(__xludf.DUMMYFUNCTION("""COMPUTED_VALUE"""),"")</f>
        <v/>
      </c>
      <c r="G79" s="17" t="str">
        <f>IFERROR(__xludf.DUMMYFUNCTION("""COMPUTED_VALUE"""),"")</f>
        <v/>
      </c>
      <c r="H79" s="4"/>
      <c r="I79" s="5" t="s">
        <v>3306</v>
      </c>
      <c r="J79" s="5" t="s">
        <v>3278</v>
      </c>
      <c r="K79" s="5">
        <v>447.0</v>
      </c>
      <c r="L79" s="5">
        <v>-1.933744</v>
      </c>
      <c r="M79" s="5">
        <v>3.466984</v>
      </c>
      <c r="N79" s="5">
        <v>1.53324</v>
      </c>
      <c r="O79" s="5">
        <v>0.476417</v>
      </c>
    </row>
    <row r="80">
      <c r="A80" s="18" t="str">
        <f>IFERROR(__xludf.DUMMYFUNCTION("""COMPUTED_VALUE"""),"")</f>
        <v/>
      </c>
      <c r="B80" s="19" t="str">
        <f>IFERROR(__xludf.DUMMYFUNCTION("""COMPUTED_VALUE"""),"")</f>
        <v/>
      </c>
      <c r="C80" s="20" t="str">
        <f>IFERROR(__xludf.DUMMYFUNCTION("""COMPUTED_VALUE"""),"")</f>
        <v/>
      </c>
      <c r="D80" s="21" t="str">
        <f>IFERROR(__xludf.DUMMYFUNCTION("""COMPUTED_VALUE"""),"")</f>
        <v/>
      </c>
      <c r="E80" s="21" t="str">
        <f>IFERROR(__xludf.DUMMYFUNCTION("""COMPUTED_VALUE"""),"")</f>
        <v/>
      </c>
      <c r="F80" s="21" t="str">
        <f>IFERROR(__xludf.DUMMYFUNCTION("""COMPUTED_VALUE"""),"")</f>
        <v/>
      </c>
      <c r="G80" s="23" t="str">
        <f>IFERROR(__xludf.DUMMYFUNCTION("""COMPUTED_VALUE"""),"")</f>
        <v/>
      </c>
      <c r="H80" s="4"/>
      <c r="I80" s="5" t="s">
        <v>3307</v>
      </c>
      <c r="J80" s="5" t="s">
        <v>3233</v>
      </c>
      <c r="K80" s="24">
        <v>616.0</v>
      </c>
      <c r="L80" s="5">
        <v>0.494672</v>
      </c>
      <c r="M80" s="5">
        <v>1.034351</v>
      </c>
      <c r="N80" s="5">
        <v>1.529023</v>
      </c>
      <c r="O80" s="5">
        <v>0.642772</v>
      </c>
    </row>
    <row r="81">
      <c r="A81" s="12" t="str">
        <f>IFERROR(__xludf.DUMMYFUNCTION("""COMPUTED_VALUE"""),"")</f>
        <v/>
      </c>
      <c r="B81" s="13" t="str">
        <f>IFERROR(__xludf.DUMMYFUNCTION("""COMPUTED_VALUE"""),"")</f>
        <v/>
      </c>
      <c r="C81" s="14" t="str">
        <f>IFERROR(__xludf.DUMMYFUNCTION("""COMPUTED_VALUE"""),"")</f>
        <v/>
      </c>
      <c r="D81" s="15" t="str">
        <f>IFERROR(__xludf.DUMMYFUNCTION("""COMPUTED_VALUE"""),"")</f>
        <v/>
      </c>
      <c r="E81" s="15" t="str">
        <f>IFERROR(__xludf.DUMMYFUNCTION("""COMPUTED_VALUE"""),"")</f>
        <v/>
      </c>
      <c r="F81" s="15" t="str">
        <f>IFERROR(__xludf.DUMMYFUNCTION("""COMPUTED_VALUE"""),"")</f>
        <v/>
      </c>
      <c r="G81" s="17" t="str">
        <f>IFERROR(__xludf.DUMMYFUNCTION("""COMPUTED_VALUE"""),"")</f>
        <v/>
      </c>
      <c r="H81" s="4"/>
      <c r="I81" s="5" t="s">
        <v>3308</v>
      </c>
      <c r="J81" s="5" t="s">
        <v>644</v>
      </c>
      <c r="K81" s="24">
        <v>576.0</v>
      </c>
      <c r="L81" s="5">
        <v>2.337688</v>
      </c>
      <c r="M81" s="5">
        <v>-0.820556</v>
      </c>
      <c r="N81" s="5">
        <v>1.517132</v>
      </c>
      <c r="O81" s="5">
        <v>0.614596</v>
      </c>
    </row>
    <row r="82">
      <c r="A82" s="18" t="str">
        <f>IFERROR(__xludf.DUMMYFUNCTION("""COMPUTED_VALUE"""),"")</f>
        <v/>
      </c>
      <c r="B82" s="19" t="str">
        <f>IFERROR(__xludf.DUMMYFUNCTION("""COMPUTED_VALUE"""),"")</f>
        <v/>
      </c>
      <c r="C82" s="20" t="str">
        <f>IFERROR(__xludf.DUMMYFUNCTION("""COMPUTED_VALUE"""),"")</f>
        <v/>
      </c>
      <c r="D82" s="21" t="str">
        <f>IFERROR(__xludf.DUMMYFUNCTION("""COMPUTED_VALUE"""),"")</f>
        <v/>
      </c>
      <c r="E82" s="21" t="str">
        <f>IFERROR(__xludf.DUMMYFUNCTION("""COMPUTED_VALUE"""),"")</f>
        <v/>
      </c>
      <c r="F82" s="21" t="str">
        <f>IFERROR(__xludf.DUMMYFUNCTION("""COMPUTED_VALUE"""),"")</f>
        <v/>
      </c>
      <c r="G82" s="23" t="str">
        <f>IFERROR(__xludf.DUMMYFUNCTION("""COMPUTED_VALUE"""),"")</f>
        <v/>
      </c>
      <c r="H82" s="4"/>
      <c r="I82" s="5" t="s">
        <v>3309</v>
      </c>
      <c r="J82" s="5" t="s">
        <v>3278</v>
      </c>
      <c r="K82" s="5">
        <v>539.0</v>
      </c>
      <c r="L82" s="5">
        <v>-0.737595</v>
      </c>
      <c r="M82" s="5">
        <v>2.215248</v>
      </c>
      <c r="N82" s="5">
        <v>1.477652</v>
      </c>
      <c r="O82" s="5">
        <v>0.565542</v>
      </c>
    </row>
    <row r="83">
      <c r="A83" s="12" t="str">
        <f>IFERROR(__xludf.DUMMYFUNCTION("""COMPUTED_VALUE"""),"")</f>
        <v/>
      </c>
      <c r="B83" s="13" t="str">
        <f>IFERROR(__xludf.DUMMYFUNCTION("""COMPUTED_VALUE"""),"")</f>
        <v/>
      </c>
      <c r="C83" s="14" t="str">
        <f>IFERROR(__xludf.DUMMYFUNCTION("""COMPUTED_VALUE"""),"")</f>
        <v/>
      </c>
      <c r="D83" s="15" t="str">
        <f>IFERROR(__xludf.DUMMYFUNCTION("""COMPUTED_VALUE"""),"")</f>
        <v/>
      </c>
      <c r="E83" s="15" t="str">
        <f>IFERROR(__xludf.DUMMYFUNCTION("""COMPUTED_VALUE"""),"")</f>
        <v/>
      </c>
      <c r="F83" s="15" t="str">
        <f>IFERROR(__xludf.DUMMYFUNCTION("""COMPUTED_VALUE"""),"")</f>
        <v/>
      </c>
      <c r="G83" s="17" t="str">
        <f>IFERROR(__xludf.DUMMYFUNCTION("""COMPUTED_VALUE"""),"")</f>
        <v/>
      </c>
      <c r="H83" s="4"/>
      <c r="I83" s="5" t="s">
        <v>830</v>
      </c>
      <c r="J83" s="5" t="s">
        <v>3226</v>
      </c>
      <c r="K83" s="5">
        <v>488.0</v>
      </c>
      <c r="L83" s="5">
        <v>1.414904</v>
      </c>
      <c r="M83" s="5">
        <v>-0.028614</v>
      </c>
      <c r="N83" s="5">
        <v>1.386289</v>
      </c>
      <c r="O83" s="5">
        <v>0.503831</v>
      </c>
    </row>
    <row r="84">
      <c r="A84" s="18" t="str">
        <f>IFERROR(__xludf.DUMMYFUNCTION("""COMPUTED_VALUE"""),"")</f>
        <v/>
      </c>
      <c r="B84" s="19" t="str">
        <f>IFERROR(__xludf.DUMMYFUNCTION("""COMPUTED_VALUE"""),"")</f>
        <v/>
      </c>
      <c r="C84" s="20" t="str">
        <f>IFERROR(__xludf.DUMMYFUNCTION("""COMPUTED_VALUE"""),"")</f>
        <v/>
      </c>
      <c r="D84" s="21" t="str">
        <f>IFERROR(__xludf.DUMMYFUNCTION("""COMPUTED_VALUE"""),"")</f>
        <v/>
      </c>
      <c r="E84" s="21" t="str">
        <f>IFERROR(__xludf.DUMMYFUNCTION("""COMPUTED_VALUE"""),"")</f>
        <v/>
      </c>
      <c r="F84" s="21" t="str">
        <f>IFERROR(__xludf.DUMMYFUNCTION("""COMPUTED_VALUE"""),"")</f>
        <v/>
      </c>
      <c r="G84" s="23" t="str">
        <f>IFERROR(__xludf.DUMMYFUNCTION("""COMPUTED_VALUE"""),"")</f>
        <v/>
      </c>
      <c r="H84" s="4"/>
      <c r="I84" s="5" t="s">
        <v>3310</v>
      </c>
      <c r="J84" s="5" t="s">
        <v>3210</v>
      </c>
      <c r="K84" s="5">
        <v>741.0</v>
      </c>
      <c r="L84" s="5">
        <v>1.481786</v>
      </c>
      <c r="M84" s="5">
        <v>-0.131268</v>
      </c>
      <c r="N84" s="5">
        <v>1.350518</v>
      </c>
      <c r="O84" s="5">
        <v>0.747059</v>
      </c>
    </row>
    <row r="85">
      <c r="A85" s="12" t="str">
        <f>IFERROR(__xludf.DUMMYFUNCTION("""COMPUTED_VALUE"""),"")</f>
        <v/>
      </c>
      <c r="B85" s="13" t="str">
        <f>IFERROR(__xludf.DUMMYFUNCTION("""COMPUTED_VALUE"""),"")</f>
        <v/>
      </c>
      <c r="C85" s="14" t="str">
        <f>IFERROR(__xludf.DUMMYFUNCTION("""COMPUTED_VALUE"""),"")</f>
        <v/>
      </c>
      <c r="D85" s="15" t="str">
        <f>IFERROR(__xludf.DUMMYFUNCTION("""COMPUTED_VALUE"""),"")</f>
        <v/>
      </c>
      <c r="E85" s="15" t="str">
        <f>IFERROR(__xludf.DUMMYFUNCTION("""COMPUTED_VALUE"""),"")</f>
        <v/>
      </c>
      <c r="F85" s="15" t="str">
        <f>IFERROR(__xludf.DUMMYFUNCTION("""COMPUTED_VALUE"""),"")</f>
        <v/>
      </c>
      <c r="G85" s="17" t="str">
        <f>IFERROR(__xludf.DUMMYFUNCTION("""COMPUTED_VALUE"""),"")</f>
        <v/>
      </c>
      <c r="H85" s="4"/>
      <c r="I85" s="5" t="s">
        <v>3311</v>
      </c>
      <c r="J85" s="5" t="s">
        <v>3205</v>
      </c>
      <c r="K85" s="5">
        <v>47.0</v>
      </c>
      <c r="L85" s="5">
        <v>1.549044</v>
      </c>
      <c r="M85" s="5">
        <v>-0.351315</v>
      </c>
      <c r="N85" s="5">
        <v>1.197729</v>
      </c>
      <c r="O85" s="5">
        <v>0.045489</v>
      </c>
    </row>
    <row r="86">
      <c r="A86" s="18" t="str">
        <f>IFERROR(__xludf.DUMMYFUNCTION("""COMPUTED_VALUE"""),"")</f>
        <v/>
      </c>
      <c r="B86" s="19" t="str">
        <f>IFERROR(__xludf.DUMMYFUNCTION("""COMPUTED_VALUE"""),"")</f>
        <v/>
      </c>
      <c r="C86" s="20" t="str">
        <f>IFERROR(__xludf.DUMMYFUNCTION("""COMPUTED_VALUE"""),"")</f>
        <v/>
      </c>
      <c r="D86" s="21" t="str">
        <f>IFERROR(__xludf.DUMMYFUNCTION("""COMPUTED_VALUE"""),"")</f>
        <v/>
      </c>
      <c r="E86" s="21" t="str">
        <f>IFERROR(__xludf.DUMMYFUNCTION("""COMPUTED_VALUE"""),"")</f>
        <v/>
      </c>
      <c r="F86" s="21" t="str">
        <f>IFERROR(__xludf.DUMMYFUNCTION("""COMPUTED_VALUE"""),"")</f>
        <v/>
      </c>
      <c r="G86" s="23" t="str">
        <f>IFERROR(__xludf.DUMMYFUNCTION("""COMPUTED_VALUE"""),"")</f>
        <v/>
      </c>
      <c r="H86" s="4"/>
      <c r="I86" s="5" t="s">
        <v>1075</v>
      </c>
      <c r="J86" s="5" t="s">
        <v>3217</v>
      </c>
      <c r="K86" s="24">
        <v>272.0</v>
      </c>
      <c r="L86" s="5">
        <v>2.198058</v>
      </c>
      <c r="M86" s="5">
        <v>-1.024333</v>
      </c>
      <c r="N86" s="5">
        <v>1.173725</v>
      </c>
      <c r="O86" s="5">
        <v>0.259618</v>
      </c>
    </row>
    <row r="87">
      <c r="A87" s="12" t="str">
        <f>IFERROR(__xludf.DUMMYFUNCTION("""COMPUTED_VALUE"""),"")</f>
        <v/>
      </c>
      <c r="B87" s="13" t="str">
        <f>IFERROR(__xludf.DUMMYFUNCTION("""COMPUTED_VALUE"""),"")</f>
        <v/>
      </c>
      <c r="C87" s="14" t="str">
        <f>IFERROR(__xludf.DUMMYFUNCTION("""COMPUTED_VALUE"""),"")</f>
        <v/>
      </c>
      <c r="D87" s="15" t="str">
        <f>IFERROR(__xludf.DUMMYFUNCTION("""COMPUTED_VALUE"""),"")</f>
        <v/>
      </c>
      <c r="E87" s="15" t="str">
        <f>IFERROR(__xludf.DUMMYFUNCTION("""COMPUTED_VALUE"""),"")</f>
        <v/>
      </c>
      <c r="F87" s="15" t="str">
        <f>IFERROR(__xludf.DUMMYFUNCTION("""COMPUTED_VALUE"""),"")</f>
        <v/>
      </c>
      <c r="G87" s="17" t="str">
        <f>IFERROR(__xludf.DUMMYFUNCTION("""COMPUTED_VALUE"""),"")</f>
        <v/>
      </c>
      <c r="H87" s="4"/>
      <c r="I87" s="5" t="s">
        <v>1141</v>
      </c>
      <c r="J87" s="5" t="s">
        <v>3256</v>
      </c>
      <c r="K87" s="5">
        <v>584.0</v>
      </c>
      <c r="L87" s="5">
        <v>2.493736</v>
      </c>
      <c r="M87" s="5">
        <v>-1.362994</v>
      </c>
      <c r="N87" s="5">
        <v>1.130742</v>
      </c>
      <c r="O87" s="5">
        <v>0.555201</v>
      </c>
    </row>
    <row r="88">
      <c r="A88" s="18" t="str">
        <f>IFERROR(__xludf.DUMMYFUNCTION("""COMPUTED_VALUE"""),"")</f>
        <v/>
      </c>
      <c r="B88" s="19" t="str">
        <f>IFERROR(__xludf.DUMMYFUNCTION("""COMPUTED_VALUE"""),"")</f>
        <v/>
      </c>
      <c r="C88" s="20" t="str">
        <f>IFERROR(__xludf.DUMMYFUNCTION("""COMPUTED_VALUE"""),"")</f>
        <v/>
      </c>
      <c r="D88" s="21" t="str">
        <f>IFERROR(__xludf.DUMMYFUNCTION("""COMPUTED_VALUE"""),"")</f>
        <v/>
      </c>
      <c r="E88" s="21" t="str">
        <f>IFERROR(__xludf.DUMMYFUNCTION("""COMPUTED_VALUE"""),"")</f>
        <v/>
      </c>
      <c r="F88" s="21" t="str">
        <f>IFERROR(__xludf.DUMMYFUNCTION("""COMPUTED_VALUE"""),"")</f>
        <v/>
      </c>
      <c r="G88" s="23" t="str">
        <f>IFERROR(__xludf.DUMMYFUNCTION("""COMPUTED_VALUE"""),"")</f>
        <v/>
      </c>
      <c r="H88" s="4"/>
      <c r="I88" s="5" t="s">
        <v>3312</v>
      </c>
      <c r="J88" s="5" t="s">
        <v>3207</v>
      </c>
      <c r="K88" s="5">
        <v>139.0</v>
      </c>
      <c r="L88" s="5">
        <v>-0.912345</v>
      </c>
      <c r="M88" s="5">
        <v>2.003968</v>
      </c>
      <c r="N88" s="5">
        <v>1.091623</v>
      </c>
      <c r="O88" s="5">
        <v>0.128371</v>
      </c>
    </row>
    <row r="89">
      <c r="A89" s="12" t="str">
        <f>IFERROR(__xludf.DUMMYFUNCTION("""COMPUTED_VALUE"""),"")</f>
        <v/>
      </c>
      <c r="B89" s="13" t="str">
        <f>IFERROR(__xludf.DUMMYFUNCTION("""COMPUTED_VALUE"""),"")</f>
        <v/>
      </c>
      <c r="C89" s="14" t="str">
        <f>IFERROR(__xludf.DUMMYFUNCTION("""COMPUTED_VALUE"""),"")</f>
        <v/>
      </c>
      <c r="D89" s="15" t="str">
        <f>IFERROR(__xludf.DUMMYFUNCTION("""COMPUTED_VALUE"""),"")</f>
        <v/>
      </c>
      <c r="E89" s="15" t="str">
        <f>IFERROR(__xludf.DUMMYFUNCTION("""COMPUTED_VALUE"""),"")</f>
        <v/>
      </c>
      <c r="F89" s="15" t="str">
        <f>IFERROR(__xludf.DUMMYFUNCTION("""COMPUTED_VALUE"""),"")</f>
        <v/>
      </c>
      <c r="G89" s="17" t="str">
        <f>IFERROR(__xludf.DUMMYFUNCTION("""COMPUTED_VALUE"""),"")</f>
        <v/>
      </c>
      <c r="H89" s="4"/>
      <c r="I89" s="5" t="s">
        <v>926</v>
      </c>
      <c r="J89" s="5" t="s">
        <v>3240</v>
      </c>
      <c r="K89" s="24">
        <v>736.0</v>
      </c>
      <c r="L89" s="5">
        <v>-1.765328</v>
      </c>
      <c r="M89" s="5">
        <v>2.703289</v>
      </c>
      <c r="N89" s="5">
        <v>0.937961</v>
      </c>
      <c r="O89" s="5">
        <v>0.65957</v>
      </c>
    </row>
    <row r="90">
      <c r="A90" s="18" t="str">
        <f>IFERROR(__xludf.DUMMYFUNCTION("""COMPUTED_VALUE"""),"")</f>
        <v/>
      </c>
      <c r="B90" s="19" t="str">
        <f>IFERROR(__xludf.DUMMYFUNCTION("""COMPUTED_VALUE"""),"")</f>
        <v/>
      </c>
      <c r="C90" s="20" t="str">
        <f>IFERROR(__xludf.DUMMYFUNCTION("""COMPUTED_VALUE"""),"")</f>
        <v/>
      </c>
      <c r="D90" s="21" t="str">
        <f>IFERROR(__xludf.DUMMYFUNCTION("""COMPUTED_VALUE"""),"")</f>
        <v/>
      </c>
      <c r="E90" s="21" t="str">
        <f>IFERROR(__xludf.DUMMYFUNCTION("""COMPUTED_VALUE"""),"")</f>
        <v/>
      </c>
      <c r="F90" s="21" t="str">
        <f>IFERROR(__xludf.DUMMYFUNCTION("""COMPUTED_VALUE"""),"")</f>
        <v/>
      </c>
      <c r="G90" s="23" t="str">
        <f>IFERROR(__xludf.DUMMYFUNCTION("""COMPUTED_VALUE"""),"")</f>
        <v/>
      </c>
      <c r="H90" s="4"/>
      <c r="I90" s="5" t="s">
        <v>3313</v>
      </c>
      <c r="J90" s="5" t="s">
        <v>3212</v>
      </c>
      <c r="K90" s="5">
        <v>629.0</v>
      </c>
      <c r="L90" s="5">
        <v>0.972213</v>
      </c>
      <c r="M90" s="5">
        <v>-0.05651</v>
      </c>
      <c r="N90" s="5">
        <v>0.915703</v>
      </c>
      <c r="O90" s="5">
        <v>0.557219</v>
      </c>
    </row>
    <row r="91">
      <c r="A91" s="12" t="str">
        <f>IFERROR(__xludf.DUMMYFUNCTION("""COMPUTED_VALUE"""),"")</f>
        <v/>
      </c>
      <c r="B91" s="13" t="str">
        <f>IFERROR(__xludf.DUMMYFUNCTION("""COMPUTED_VALUE"""),"")</f>
        <v/>
      </c>
      <c r="C91" s="14" t="str">
        <f>IFERROR(__xludf.DUMMYFUNCTION("""COMPUTED_VALUE"""),"")</f>
        <v/>
      </c>
      <c r="D91" s="15" t="str">
        <f>IFERROR(__xludf.DUMMYFUNCTION("""COMPUTED_VALUE"""),"")</f>
        <v/>
      </c>
      <c r="E91" s="15" t="str">
        <f>IFERROR(__xludf.DUMMYFUNCTION("""COMPUTED_VALUE"""),"")</f>
        <v/>
      </c>
      <c r="F91" s="15" t="str">
        <f>IFERROR(__xludf.DUMMYFUNCTION("""COMPUTED_VALUE"""),"")</f>
        <v/>
      </c>
      <c r="G91" s="17" t="str">
        <f>IFERROR(__xludf.DUMMYFUNCTION("""COMPUTED_VALUE"""),"")</f>
        <v/>
      </c>
      <c r="H91" s="4"/>
      <c r="I91" s="5" t="s">
        <v>3314</v>
      </c>
      <c r="J91" s="5" t="s">
        <v>2838</v>
      </c>
      <c r="K91" s="5">
        <v>681.0</v>
      </c>
      <c r="L91" s="5">
        <v>-0.775011</v>
      </c>
      <c r="M91" s="5">
        <v>1.690576</v>
      </c>
      <c r="N91" s="5">
        <v>0.915565</v>
      </c>
      <c r="O91" s="5">
        <v>0.59447</v>
      </c>
    </row>
    <row r="92">
      <c r="A92" s="18" t="str">
        <f>IFERROR(__xludf.DUMMYFUNCTION("""COMPUTED_VALUE"""),"")</f>
        <v/>
      </c>
      <c r="B92" s="19" t="str">
        <f>IFERROR(__xludf.DUMMYFUNCTION("""COMPUTED_VALUE"""),"")</f>
        <v/>
      </c>
      <c r="C92" s="20" t="str">
        <f>IFERROR(__xludf.DUMMYFUNCTION("""COMPUTED_VALUE"""),"")</f>
        <v/>
      </c>
      <c r="D92" s="21" t="str">
        <f>IFERROR(__xludf.DUMMYFUNCTION("""COMPUTED_VALUE"""),"")</f>
        <v/>
      </c>
      <c r="E92" s="21" t="str">
        <f>IFERROR(__xludf.DUMMYFUNCTION("""COMPUTED_VALUE"""),"")</f>
        <v/>
      </c>
      <c r="F92" s="21" t="str">
        <f>IFERROR(__xludf.DUMMYFUNCTION("""COMPUTED_VALUE"""),"")</f>
        <v/>
      </c>
      <c r="G92" s="23" t="str">
        <f>IFERROR(__xludf.DUMMYFUNCTION("""COMPUTED_VALUE"""),"")</f>
        <v/>
      </c>
      <c r="H92" s="4"/>
      <c r="I92" s="5" t="s">
        <v>894</v>
      </c>
      <c r="J92" s="5" t="s">
        <v>3256</v>
      </c>
      <c r="K92" s="5">
        <v>577.0</v>
      </c>
      <c r="L92" s="5">
        <v>0.405952</v>
      </c>
      <c r="M92" s="5">
        <v>0.458488</v>
      </c>
      <c r="N92" s="5">
        <v>0.864439</v>
      </c>
      <c r="O92" s="5">
        <v>0.501455</v>
      </c>
    </row>
    <row r="93">
      <c r="A93" s="12" t="str">
        <f>IFERROR(__xludf.DUMMYFUNCTION("""COMPUTED_VALUE"""),"")</f>
        <v/>
      </c>
      <c r="B93" s="13" t="str">
        <f>IFERROR(__xludf.DUMMYFUNCTION("""COMPUTED_VALUE"""),"")</f>
        <v/>
      </c>
      <c r="C93" s="14" t="str">
        <f>IFERROR(__xludf.DUMMYFUNCTION("""COMPUTED_VALUE"""),"")</f>
        <v/>
      </c>
      <c r="D93" s="15" t="str">
        <f>IFERROR(__xludf.DUMMYFUNCTION("""COMPUTED_VALUE"""),"")</f>
        <v/>
      </c>
      <c r="E93" s="15" t="str">
        <f>IFERROR(__xludf.DUMMYFUNCTION("""COMPUTED_VALUE"""),"")</f>
        <v/>
      </c>
      <c r="F93" s="15" t="str">
        <f>IFERROR(__xludf.DUMMYFUNCTION("""COMPUTED_VALUE"""),"")</f>
        <v/>
      </c>
      <c r="G93" s="17" t="str">
        <f>IFERROR(__xludf.DUMMYFUNCTION("""COMPUTED_VALUE"""),"")</f>
        <v/>
      </c>
      <c r="H93" s="4"/>
      <c r="I93" s="5" t="s">
        <v>3315</v>
      </c>
      <c r="J93" s="5" t="s">
        <v>3278</v>
      </c>
      <c r="K93" s="5">
        <v>394.0</v>
      </c>
      <c r="L93" s="5">
        <v>3.416336</v>
      </c>
      <c r="M93" s="5">
        <v>-2.677949</v>
      </c>
      <c r="N93" s="5">
        <v>0.738386</v>
      </c>
      <c r="O93" s="5">
        <v>0.326155</v>
      </c>
    </row>
    <row r="94">
      <c r="A94" s="18" t="str">
        <f>IFERROR(__xludf.DUMMYFUNCTION("""COMPUTED_VALUE"""),"")</f>
        <v/>
      </c>
      <c r="B94" s="19" t="str">
        <f>IFERROR(__xludf.DUMMYFUNCTION("""COMPUTED_VALUE"""),"")</f>
        <v/>
      </c>
      <c r="C94" s="20" t="str">
        <f>IFERROR(__xludf.DUMMYFUNCTION("""COMPUTED_VALUE"""),"")</f>
        <v/>
      </c>
      <c r="D94" s="21" t="str">
        <f>IFERROR(__xludf.DUMMYFUNCTION("""COMPUTED_VALUE"""),"")</f>
        <v/>
      </c>
      <c r="E94" s="21" t="str">
        <f>IFERROR(__xludf.DUMMYFUNCTION("""COMPUTED_VALUE"""),"")</f>
        <v/>
      </c>
      <c r="F94" s="21" t="str">
        <f>IFERROR(__xludf.DUMMYFUNCTION("""COMPUTED_VALUE"""),"")</f>
        <v/>
      </c>
      <c r="G94" s="23" t="str">
        <f>IFERROR(__xludf.DUMMYFUNCTION("""COMPUTED_VALUE"""),"")</f>
        <v/>
      </c>
      <c r="H94" s="4"/>
      <c r="I94" s="5" t="s">
        <v>3316</v>
      </c>
      <c r="J94" s="5" t="s">
        <v>3220</v>
      </c>
      <c r="K94" s="24">
        <v>1006.0</v>
      </c>
      <c r="L94" s="5">
        <v>1.677106</v>
      </c>
      <c r="M94" s="5">
        <v>-0.940572</v>
      </c>
      <c r="N94" s="5">
        <v>0.736534</v>
      </c>
      <c r="O94" s="5">
        <v>0.845152</v>
      </c>
    </row>
    <row r="95">
      <c r="A95" s="12" t="str">
        <f>IFERROR(__xludf.DUMMYFUNCTION("""COMPUTED_VALUE"""),"")</f>
        <v/>
      </c>
      <c r="B95" s="13" t="str">
        <f>IFERROR(__xludf.DUMMYFUNCTION("""COMPUTED_VALUE"""),"")</f>
        <v/>
      </c>
      <c r="C95" s="14" t="str">
        <f>IFERROR(__xludf.DUMMYFUNCTION("""COMPUTED_VALUE"""),"")</f>
        <v/>
      </c>
      <c r="D95" s="15" t="str">
        <f>IFERROR(__xludf.DUMMYFUNCTION("""COMPUTED_VALUE"""),"")</f>
        <v/>
      </c>
      <c r="E95" s="15" t="str">
        <f>IFERROR(__xludf.DUMMYFUNCTION("""COMPUTED_VALUE"""),"")</f>
        <v/>
      </c>
      <c r="F95" s="15" t="str">
        <f>IFERROR(__xludf.DUMMYFUNCTION("""COMPUTED_VALUE"""),"")</f>
        <v/>
      </c>
      <c r="G95" s="17" t="str">
        <f>IFERROR(__xludf.DUMMYFUNCTION("""COMPUTED_VALUE"""),"")</f>
        <v/>
      </c>
      <c r="H95" s="4"/>
      <c r="I95" s="5" t="s">
        <v>889</v>
      </c>
      <c r="J95" s="5" t="s">
        <v>3240</v>
      </c>
      <c r="K95" s="5">
        <v>881.0</v>
      </c>
      <c r="L95" s="5">
        <v>-0.635315</v>
      </c>
      <c r="M95" s="5">
        <v>1.354395</v>
      </c>
      <c r="N95" s="5">
        <v>0.71908</v>
      </c>
      <c r="O95" s="5">
        <v>0.730329</v>
      </c>
    </row>
    <row r="96">
      <c r="A96" s="18" t="str">
        <f>IFERROR(__xludf.DUMMYFUNCTION("""COMPUTED_VALUE"""),"")</f>
        <v/>
      </c>
      <c r="B96" s="19" t="str">
        <f>IFERROR(__xludf.DUMMYFUNCTION("""COMPUTED_VALUE"""),"")</f>
        <v/>
      </c>
      <c r="C96" s="20" t="str">
        <f>IFERROR(__xludf.DUMMYFUNCTION("""COMPUTED_VALUE"""),"")</f>
        <v/>
      </c>
      <c r="D96" s="21" t="str">
        <f>IFERROR(__xludf.DUMMYFUNCTION("""COMPUTED_VALUE"""),"")</f>
        <v/>
      </c>
      <c r="E96" s="21" t="str">
        <f>IFERROR(__xludf.DUMMYFUNCTION("""COMPUTED_VALUE"""),"")</f>
        <v/>
      </c>
      <c r="F96" s="21" t="str">
        <f>IFERROR(__xludf.DUMMYFUNCTION("""COMPUTED_VALUE"""),"")</f>
        <v/>
      </c>
      <c r="G96" s="23" t="str">
        <f>IFERROR(__xludf.DUMMYFUNCTION("""COMPUTED_VALUE"""),"")</f>
        <v/>
      </c>
      <c r="H96" s="4"/>
      <c r="I96" s="5" t="s">
        <v>3108</v>
      </c>
      <c r="J96" s="5" t="s">
        <v>3281</v>
      </c>
      <c r="K96" s="24">
        <v>138.0</v>
      </c>
      <c r="L96" s="5">
        <v>1.216482</v>
      </c>
      <c r="M96" s="5">
        <v>-0.512724</v>
      </c>
      <c r="N96" s="5">
        <v>0.703758</v>
      </c>
      <c r="O96" s="5">
        <v>0.113929</v>
      </c>
    </row>
    <row r="97">
      <c r="A97" s="12" t="str">
        <f>IFERROR(__xludf.DUMMYFUNCTION("""COMPUTED_VALUE"""),"")</f>
        <v/>
      </c>
      <c r="B97" s="13" t="str">
        <f>IFERROR(__xludf.DUMMYFUNCTION("""COMPUTED_VALUE"""),"")</f>
        <v/>
      </c>
      <c r="C97" s="14" t="str">
        <f>IFERROR(__xludf.DUMMYFUNCTION("""COMPUTED_VALUE"""),"")</f>
        <v/>
      </c>
      <c r="D97" s="15" t="str">
        <f>IFERROR(__xludf.DUMMYFUNCTION("""COMPUTED_VALUE"""),"")</f>
        <v/>
      </c>
      <c r="E97" s="15" t="str">
        <f>IFERROR(__xludf.DUMMYFUNCTION("""COMPUTED_VALUE"""),"")</f>
        <v/>
      </c>
      <c r="F97" s="15" t="str">
        <f>IFERROR(__xludf.DUMMYFUNCTION("""COMPUTED_VALUE"""),"")</f>
        <v/>
      </c>
      <c r="G97" s="17" t="str">
        <f>IFERROR(__xludf.DUMMYFUNCTION("""COMPUTED_VALUE"""),"")</f>
        <v/>
      </c>
      <c r="H97" s="4"/>
      <c r="I97" s="5" t="s">
        <v>3317</v>
      </c>
      <c r="J97" s="5" t="s">
        <v>3210</v>
      </c>
      <c r="K97" s="5">
        <v>5.0</v>
      </c>
      <c r="L97" s="5">
        <v>0.231054</v>
      </c>
      <c r="M97" s="5">
        <v>0.375675</v>
      </c>
      <c r="N97" s="5">
        <v>0.606729</v>
      </c>
      <c r="O97" s="5">
        <v>0.003687</v>
      </c>
    </row>
    <row r="98">
      <c r="A98" s="18" t="str">
        <f>IFERROR(__xludf.DUMMYFUNCTION("""COMPUTED_VALUE"""),"")</f>
        <v/>
      </c>
      <c r="B98" s="19" t="str">
        <f>IFERROR(__xludf.DUMMYFUNCTION("""COMPUTED_VALUE"""),"")</f>
        <v/>
      </c>
      <c r="C98" s="20" t="str">
        <f>IFERROR(__xludf.DUMMYFUNCTION("""COMPUTED_VALUE"""),"")</f>
        <v/>
      </c>
      <c r="D98" s="21" t="str">
        <f>IFERROR(__xludf.DUMMYFUNCTION("""COMPUTED_VALUE"""),"")</f>
        <v/>
      </c>
      <c r="E98" s="21" t="str">
        <f>IFERROR(__xludf.DUMMYFUNCTION("""COMPUTED_VALUE"""),"")</f>
        <v/>
      </c>
      <c r="F98" s="21" t="str">
        <f>IFERROR(__xludf.DUMMYFUNCTION("""COMPUTED_VALUE"""),"")</f>
        <v/>
      </c>
      <c r="G98" s="23" t="str">
        <f>IFERROR(__xludf.DUMMYFUNCTION("""COMPUTED_VALUE"""),"")</f>
        <v/>
      </c>
      <c r="H98" s="4"/>
      <c r="I98" s="5" t="s">
        <v>3318</v>
      </c>
      <c r="J98" s="5" t="s">
        <v>3210</v>
      </c>
      <c r="K98" s="24">
        <v>629.0</v>
      </c>
      <c r="L98" s="5">
        <v>2.858107</v>
      </c>
      <c r="M98" s="5">
        <v>-2.290365</v>
      </c>
      <c r="N98" s="5">
        <v>0.567742</v>
      </c>
      <c r="O98" s="5">
        <v>0.485758</v>
      </c>
    </row>
    <row r="99">
      <c r="A99" s="12" t="str">
        <f>IFERROR(__xludf.DUMMYFUNCTION("""COMPUTED_VALUE"""),"")</f>
        <v/>
      </c>
      <c r="B99" s="13" t="str">
        <f>IFERROR(__xludf.DUMMYFUNCTION("""COMPUTED_VALUE"""),"")</f>
        <v/>
      </c>
      <c r="C99" s="14" t="str">
        <f>IFERROR(__xludf.DUMMYFUNCTION("""COMPUTED_VALUE"""),"")</f>
        <v/>
      </c>
      <c r="D99" s="15" t="str">
        <f>IFERROR(__xludf.DUMMYFUNCTION("""COMPUTED_VALUE"""),"")</f>
        <v/>
      </c>
      <c r="E99" s="15" t="str">
        <f>IFERROR(__xludf.DUMMYFUNCTION("""COMPUTED_VALUE"""),"")</f>
        <v/>
      </c>
      <c r="F99" s="15" t="str">
        <f>IFERROR(__xludf.DUMMYFUNCTION("""COMPUTED_VALUE"""),"")</f>
        <v/>
      </c>
      <c r="G99" s="17" t="str">
        <f>IFERROR(__xludf.DUMMYFUNCTION("""COMPUTED_VALUE"""),"")</f>
        <v/>
      </c>
      <c r="H99" s="4"/>
      <c r="I99" s="5" t="s">
        <v>3319</v>
      </c>
      <c r="J99" s="5" t="s">
        <v>644</v>
      </c>
      <c r="K99" s="24">
        <v>593.0</v>
      </c>
      <c r="L99" s="5">
        <v>0.619569</v>
      </c>
      <c r="M99" s="5">
        <v>-0.064266</v>
      </c>
      <c r="N99" s="5">
        <v>0.555303</v>
      </c>
      <c r="O99" s="5">
        <v>0.46002</v>
      </c>
    </row>
    <row r="100">
      <c r="A100" s="18" t="str">
        <f>IFERROR(__xludf.DUMMYFUNCTION("""COMPUTED_VALUE"""),"")</f>
        <v/>
      </c>
      <c r="B100" s="19" t="str">
        <f>IFERROR(__xludf.DUMMYFUNCTION("""COMPUTED_VALUE"""),"")</f>
        <v/>
      </c>
      <c r="C100" s="20" t="str">
        <f>IFERROR(__xludf.DUMMYFUNCTION("""COMPUTED_VALUE"""),"")</f>
        <v/>
      </c>
      <c r="D100" s="21" t="str">
        <f>IFERROR(__xludf.DUMMYFUNCTION("""COMPUTED_VALUE"""),"")</f>
        <v/>
      </c>
      <c r="E100" s="21" t="str">
        <f>IFERROR(__xludf.DUMMYFUNCTION("""COMPUTED_VALUE"""),"")</f>
        <v/>
      </c>
      <c r="F100" s="21" t="str">
        <f>IFERROR(__xludf.DUMMYFUNCTION("""COMPUTED_VALUE"""),"")</f>
        <v/>
      </c>
      <c r="G100" s="23" t="str">
        <f>IFERROR(__xludf.DUMMYFUNCTION("""COMPUTED_VALUE"""),"")</f>
        <v/>
      </c>
      <c r="H100" s="4"/>
      <c r="I100" s="5" t="s">
        <v>3320</v>
      </c>
      <c r="J100" s="5" t="s">
        <v>3256</v>
      </c>
      <c r="K100" s="5">
        <v>5.0</v>
      </c>
      <c r="L100" s="5">
        <v>-0.013611</v>
      </c>
      <c r="M100" s="5">
        <v>0.5484</v>
      </c>
      <c r="N100" s="5">
        <v>0.53479</v>
      </c>
      <c r="O100" s="5">
        <v>0.003462</v>
      </c>
    </row>
    <row r="101">
      <c r="A101" s="12" t="str">
        <f>IFERROR(__xludf.DUMMYFUNCTION("""COMPUTED_VALUE"""),"")</f>
        <v/>
      </c>
      <c r="B101" s="13" t="str">
        <f>IFERROR(__xludf.DUMMYFUNCTION("""COMPUTED_VALUE"""),"")</f>
        <v/>
      </c>
      <c r="C101" s="14" t="str">
        <f>IFERROR(__xludf.DUMMYFUNCTION("""COMPUTED_VALUE"""),"")</f>
        <v/>
      </c>
      <c r="D101" s="15" t="str">
        <f>IFERROR(__xludf.DUMMYFUNCTION("""COMPUTED_VALUE"""),"")</f>
        <v/>
      </c>
      <c r="E101" s="15" t="str">
        <f>IFERROR(__xludf.DUMMYFUNCTION("""COMPUTED_VALUE"""),"")</f>
        <v/>
      </c>
      <c r="F101" s="15" t="str">
        <f>IFERROR(__xludf.DUMMYFUNCTION("""COMPUTED_VALUE"""),"")</f>
        <v/>
      </c>
      <c r="G101" s="17" t="str">
        <f>IFERROR(__xludf.DUMMYFUNCTION("""COMPUTED_VALUE"""),"")</f>
        <v/>
      </c>
      <c r="H101" s="4"/>
      <c r="I101" s="5" t="s">
        <v>3321</v>
      </c>
      <c r="J101" s="5" t="s">
        <v>3212</v>
      </c>
      <c r="K101" s="5">
        <v>110.0</v>
      </c>
      <c r="L101" s="5">
        <v>0.201037</v>
      </c>
      <c r="M101" s="5">
        <v>0.332188</v>
      </c>
      <c r="N101" s="5">
        <v>0.533225</v>
      </c>
      <c r="O101" s="5">
        <v>0.084406</v>
      </c>
    </row>
    <row r="102">
      <c r="A102" s="18" t="str">
        <f>IFERROR(__xludf.DUMMYFUNCTION("""COMPUTED_VALUE"""),"")</f>
        <v/>
      </c>
      <c r="B102" s="19" t="str">
        <f>IFERROR(__xludf.DUMMYFUNCTION("""COMPUTED_VALUE"""),"")</f>
        <v/>
      </c>
      <c r="C102" s="20" t="str">
        <f>IFERROR(__xludf.DUMMYFUNCTION("""COMPUTED_VALUE"""),"")</f>
        <v/>
      </c>
      <c r="D102" s="21" t="str">
        <f>IFERROR(__xludf.DUMMYFUNCTION("""COMPUTED_VALUE"""),"")</f>
        <v/>
      </c>
      <c r="E102" s="21" t="str">
        <f>IFERROR(__xludf.DUMMYFUNCTION("""COMPUTED_VALUE"""),"")</f>
        <v/>
      </c>
      <c r="F102" s="21" t="str">
        <f>IFERROR(__xludf.DUMMYFUNCTION("""COMPUTED_VALUE"""),"")</f>
        <v/>
      </c>
      <c r="G102" s="23" t="str">
        <f>IFERROR(__xludf.DUMMYFUNCTION("""COMPUTED_VALUE"""),"")</f>
        <v/>
      </c>
      <c r="H102" s="4"/>
      <c r="I102" s="5" t="s">
        <v>3322</v>
      </c>
      <c r="J102" s="5" t="s">
        <v>3217</v>
      </c>
      <c r="K102" s="5">
        <v>64.0</v>
      </c>
      <c r="L102" s="5">
        <v>0.710399</v>
      </c>
      <c r="M102" s="5">
        <v>-0.180757</v>
      </c>
      <c r="N102" s="5">
        <v>0.529642</v>
      </c>
      <c r="O102" s="5">
        <v>0.048497</v>
      </c>
    </row>
    <row r="103">
      <c r="A103" s="12" t="str">
        <f>IFERROR(__xludf.DUMMYFUNCTION("""COMPUTED_VALUE"""),"")</f>
        <v/>
      </c>
      <c r="B103" s="13" t="str">
        <f>IFERROR(__xludf.DUMMYFUNCTION("""COMPUTED_VALUE"""),"")</f>
        <v/>
      </c>
      <c r="C103" s="14" t="str">
        <f>IFERROR(__xludf.DUMMYFUNCTION("""COMPUTED_VALUE"""),"")</f>
        <v/>
      </c>
      <c r="D103" s="15" t="str">
        <f>IFERROR(__xludf.DUMMYFUNCTION("""COMPUTED_VALUE"""),"")</f>
        <v/>
      </c>
      <c r="E103" s="15" t="str">
        <f>IFERROR(__xludf.DUMMYFUNCTION("""COMPUTED_VALUE"""),"")</f>
        <v/>
      </c>
      <c r="F103" s="15" t="str">
        <f>IFERROR(__xludf.DUMMYFUNCTION("""COMPUTED_VALUE"""),"")</f>
        <v/>
      </c>
      <c r="G103" s="17" t="str">
        <f>IFERROR(__xludf.DUMMYFUNCTION("""COMPUTED_VALUE"""),"")</f>
        <v/>
      </c>
      <c r="H103" s="4"/>
      <c r="I103" s="5" t="s">
        <v>2598</v>
      </c>
      <c r="J103" s="5" t="s">
        <v>3223</v>
      </c>
      <c r="K103" s="24">
        <v>252.0</v>
      </c>
      <c r="L103" s="5">
        <v>2.735212</v>
      </c>
      <c r="M103" s="5">
        <v>-2.210187</v>
      </c>
      <c r="N103" s="5">
        <v>0.525025</v>
      </c>
      <c r="O103" s="5">
        <v>0.193078</v>
      </c>
    </row>
    <row r="104">
      <c r="A104" s="18" t="str">
        <f>IFERROR(__xludf.DUMMYFUNCTION("""COMPUTED_VALUE"""),"")</f>
        <v/>
      </c>
      <c r="B104" s="19" t="str">
        <f>IFERROR(__xludf.DUMMYFUNCTION("""COMPUTED_VALUE"""),"")</f>
        <v/>
      </c>
      <c r="C104" s="20" t="str">
        <f>IFERROR(__xludf.DUMMYFUNCTION("""COMPUTED_VALUE"""),"")</f>
        <v/>
      </c>
      <c r="D104" s="21" t="str">
        <f>IFERROR(__xludf.DUMMYFUNCTION("""COMPUTED_VALUE"""),"")</f>
        <v/>
      </c>
      <c r="E104" s="21" t="str">
        <f>IFERROR(__xludf.DUMMYFUNCTION("""COMPUTED_VALUE"""),"")</f>
        <v/>
      </c>
      <c r="F104" s="21" t="str">
        <f>IFERROR(__xludf.DUMMYFUNCTION("""COMPUTED_VALUE"""),"")</f>
        <v/>
      </c>
      <c r="G104" s="23" t="str">
        <f>IFERROR(__xludf.DUMMYFUNCTION("""COMPUTED_VALUE"""),"")</f>
        <v/>
      </c>
      <c r="H104" s="4"/>
      <c r="I104" s="5" t="s">
        <v>3323</v>
      </c>
      <c r="J104" s="5" t="s">
        <v>3217</v>
      </c>
      <c r="K104" s="5">
        <v>531.0</v>
      </c>
      <c r="L104" s="5">
        <v>-0.810468</v>
      </c>
      <c r="M104" s="5">
        <v>1.330781</v>
      </c>
      <c r="N104" s="5">
        <v>0.520314</v>
      </c>
      <c r="O104" s="5">
        <v>0.402475</v>
      </c>
    </row>
    <row r="105">
      <c r="A105" s="12" t="str">
        <f>IFERROR(__xludf.DUMMYFUNCTION("""COMPUTED_VALUE"""),"")</f>
        <v/>
      </c>
      <c r="B105" s="13" t="str">
        <f>IFERROR(__xludf.DUMMYFUNCTION("""COMPUTED_VALUE"""),"")</f>
        <v/>
      </c>
      <c r="C105" s="14" t="str">
        <f>IFERROR(__xludf.DUMMYFUNCTION("""COMPUTED_VALUE"""),"")</f>
        <v/>
      </c>
      <c r="D105" s="15" t="str">
        <f>IFERROR(__xludf.DUMMYFUNCTION("""COMPUTED_VALUE"""),"")</f>
        <v/>
      </c>
      <c r="E105" s="15" t="str">
        <f>IFERROR(__xludf.DUMMYFUNCTION("""COMPUTED_VALUE"""),"")</f>
        <v/>
      </c>
      <c r="F105" s="15" t="str">
        <f>IFERROR(__xludf.DUMMYFUNCTION("""COMPUTED_VALUE"""),"")</f>
        <v/>
      </c>
      <c r="G105" s="17" t="str">
        <f>IFERROR(__xludf.DUMMYFUNCTION("""COMPUTED_VALUE"""),"")</f>
        <v/>
      </c>
      <c r="H105" s="4"/>
      <c r="I105" s="5" t="s">
        <v>3324</v>
      </c>
      <c r="J105" s="5" t="s">
        <v>2838</v>
      </c>
      <c r="K105" s="5">
        <v>501.0</v>
      </c>
      <c r="L105" s="5">
        <v>3.272684</v>
      </c>
      <c r="M105" s="5">
        <v>-2.756733</v>
      </c>
      <c r="N105" s="5">
        <v>0.515951</v>
      </c>
      <c r="O105" s="5">
        <v>0.377319</v>
      </c>
    </row>
    <row r="106">
      <c r="A106" s="18" t="str">
        <f>IFERROR(__xludf.DUMMYFUNCTION("""COMPUTED_VALUE"""),"")</f>
        <v/>
      </c>
      <c r="B106" s="19" t="str">
        <f>IFERROR(__xludf.DUMMYFUNCTION("""COMPUTED_VALUE"""),"")</f>
        <v/>
      </c>
      <c r="C106" s="20" t="str">
        <f>IFERROR(__xludf.DUMMYFUNCTION("""COMPUTED_VALUE"""),"")</f>
        <v/>
      </c>
      <c r="D106" s="21" t="str">
        <f>IFERROR(__xludf.DUMMYFUNCTION("""COMPUTED_VALUE"""),"")</f>
        <v/>
      </c>
      <c r="E106" s="21" t="str">
        <f>IFERROR(__xludf.DUMMYFUNCTION("""COMPUTED_VALUE"""),"")</f>
        <v/>
      </c>
      <c r="F106" s="21" t="str">
        <f>IFERROR(__xludf.DUMMYFUNCTION("""COMPUTED_VALUE"""),"")</f>
        <v/>
      </c>
      <c r="G106" s="23" t="str">
        <f>IFERROR(__xludf.DUMMYFUNCTION("""COMPUTED_VALUE"""),"")</f>
        <v/>
      </c>
      <c r="H106" s="4"/>
      <c r="I106" s="5" t="s">
        <v>3325</v>
      </c>
      <c r="J106" s="5" t="s">
        <v>3251</v>
      </c>
      <c r="K106" s="5">
        <v>609.0</v>
      </c>
      <c r="L106" s="5">
        <v>1.671418</v>
      </c>
      <c r="M106" s="5">
        <v>-1.198453</v>
      </c>
      <c r="N106" s="5">
        <v>0.472965</v>
      </c>
      <c r="O106" s="5">
        <v>0.457832</v>
      </c>
    </row>
    <row r="107">
      <c r="A107" s="12" t="str">
        <f>IFERROR(__xludf.DUMMYFUNCTION("""COMPUTED_VALUE"""),"")</f>
        <v/>
      </c>
      <c r="B107" s="13" t="str">
        <f>IFERROR(__xludf.DUMMYFUNCTION("""COMPUTED_VALUE"""),"")</f>
        <v/>
      </c>
      <c r="C107" s="14" t="str">
        <f>IFERROR(__xludf.DUMMYFUNCTION("""COMPUTED_VALUE"""),"")</f>
        <v/>
      </c>
      <c r="D107" s="15" t="str">
        <f>IFERROR(__xludf.DUMMYFUNCTION("""COMPUTED_VALUE"""),"")</f>
        <v/>
      </c>
      <c r="E107" s="15" t="str">
        <f>IFERROR(__xludf.DUMMYFUNCTION("""COMPUTED_VALUE"""),"")</f>
        <v/>
      </c>
      <c r="F107" s="15" t="str">
        <f>IFERROR(__xludf.DUMMYFUNCTION("""COMPUTED_VALUE"""),"")</f>
        <v/>
      </c>
      <c r="G107" s="17" t="str">
        <f>IFERROR(__xludf.DUMMYFUNCTION("""COMPUTED_VALUE"""),"")</f>
        <v/>
      </c>
      <c r="H107" s="4"/>
      <c r="I107" s="5" t="s">
        <v>3326</v>
      </c>
      <c r="J107" s="5" t="s">
        <v>3281</v>
      </c>
      <c r="K107" s="5">
        <v>598.0</v>
      </c>
      <c r="L107" s="5">
        <v>-0.504816</v>
      </c>
      <c r="M107" s="5">
        <v>0.965622</v>
      </c>
      <c r="N107" s="5">
        <v>0.460806</v>
      </c>
      <c r="O107" s="5">
        <v>0.448455</v>
      </c>
    </row>
    <row r="108">
      <c r="A108" s="18" t="str">
        <f>IFERROR(__xludf.DUMMYFUNCTION("""COMPUTED_VALUE"""),"")</f>
        <v/>
      </c>
      <c r="B108" s="19" t="str">
        <f>IFERROR(__xludf.DUMMYFUNCTION("""COMPUTED_VALUE"""),"")</f>
        <v/>
      </c>
      <c r="C108" s="20" t="str">
        <f>IFERROR(__xludf.DUMMYFUNCTION("""COMPUTED_VALUE"""),"")</f>
        <v/>
      </c>
      <c r="D108" s="21" t="str">
        <f>IFERROR(__xludf.DUMMYFUNCTION("""COMPUTED_VALUE"""),"")</f>
        <v/>
      </c>
      <c r="E108" s="21" t="str">
        <f>IFERROR(__xludf.DUMMYFUNCTION("""COMPUTED_VALUE"""),"")</f>
        <v/>
      </c>
      <c r="F108" s="21" t="str">
        <f>IFERROR(__xludf.DUMMYFUNCTION("""COMPUTED_VALUE"""),"")</f>
        <v/>
      </c>
      <c r="G108" s="23" t="str">
        <f>IFERROR(__xludf.DUMMYFUNCTION("""COMPUTED_VALUE"""),"")</f>
        <v/>
      </c>
      <c r="H108" s="4"/>
      <c r="I108" s="5" t="s">
        <v>3327</v>
      </c>
      <c r="J108" s="5" t="s">
        <v>3263</v>
      </c>
      <c r="K108" s="5">
        <v>43.0</v>
      </c>
      <c r="L108" s="5">
        <v>0.686324</v>
      </c>
      <c r="M108" s="5">
        <v>-0.232806</v>
      </c>
      <c r="N108" s="5">
        <v>0.453518</v>
      </c>
      <c r="O108" s="5">
        <v>0.031857</v>
      </c>
    </row>
    <row r="109">
      <c r="A109" s="12" t="str">
        <f>IFERROR(__xludf.DUMMYFUNCTION("""COMPUTED_VALUE"""),"")</f>
        <v/>
      </c>
      <c r="B109" s="13" t="str">
        <f>IFERROR(__xludf.DUMMYFUNCTION("""COMPUTED_VALUE"""),"")</f>
        <v/>
      </c>
      <c r="C109" s="14" t="str">
        <f>IFERROR(__xludf.DUMMYFUNCTION("""COMPUTED_VALUE"""),"")</f>
        <v/>
      </c>
      <c r="D109" s="15" t="str">
        <f>IFERROR(__xludf.DUMMYFUNCTION("""COMPUTED_VALUE"""),"")</f>
        <v/>
      </c>
      <c r="E109" s="15" t="str">
        <f>IFERROR(__xludf.DUMMYFUNCTION("""COMPUTED_VALUE"""),"")</f>
        <v/>
      </c>
      <c r="F109" s="15" t="str">
        <f>IFERROR(__xludf.DUMMYFUNCTION("""COMPUTED_VALUE"""),"")</f>
        <v/>
      </c>
      <c r="G109" s="17" t="str">
        <f>IFERROR(__xludf.DUMMYFUNCTION("""COMPUTED_VALUE"""),"")</f>
        <v/>
      </c>
      <c r="H109" s="4"/>
      <c r="I109" s="5" t="s">
        <v>3328</v>
      </c>
      <c r="J109" s="5" t="s">
        <v>3278</v>
      </c>
      <c r="K109" s="5">
        <v>790.0</v>
      </c>
      <c r="L109" s="5">
        <v>0.769303</v>
      </c>
      <c r="M109" s="5">
        <v>-0.322163</v>
      </c>
      <c r="N109" s="5">
        <v>0.447139</v>
      </c>
      <c r="O109" s="5">
        <v>0.58345</v>
      </c>
    </row>
    <row r="110">
      <c r="A110" s="18" t="str">
        <f>IFERROR(__xludf.DUMMYFUNCTION("""COMPUTED_VALUE"""),"")</f>
        <v/>
      </c>
      <c r="B110" s="19" t="str">
        <f>IFERROR(__xludf.DUMMYFUNCTION("""COMPUTED_VALUE"""),"")</f>
        <v/>
      </c>
      <c r="C110" s="20" t="str">
        <f>IFERROR(__xludf.DUMMYFUNCTION("""COMPUTED_VALUE"""),"")</f>
        <v/>
      </c>
      <c r="D110" s="21" t="str">
        <f>IFERROR(__xludf.DUMMYFUNCTION("""COMPUTED_VALUE"""),"")</f>
        <v/>
      </c>
      <c r="E110" s="21" t="str">
        <f>IFERROR(__xludf.DUMMYFUNCTION("""COMPUTED_VALUE"""),"")</f>
        <v/>
      </c>
      <c r="F110" s="21" t="str">
        <f>IFERROR(__xludf.DUMMYFUNCTION("""COMPUTED_VALUE"""),"")</f>
        <v/>
      </c>
      <c r="G110" s="23" t="str">
        <f>IFERROR(__xludf.DUMMYFUNCTION("""COMPUTED_VALUE"""),"")</f>
        <v/>
      </c>
      <c r="H110" s="4"/>
      <c r="I110" s="5" t="s">
        <v>1006</v>
      </c>
      <c r="J110" s="5" t="s">
        <v>3226</v>
      </c>
      <c r="K110" s="24">
        <v>271.0</v>
      </c>
      <c r="L110" s="5">
        <v>2.170497</v>
      </c>
      <c r="M110" s="5">
        <v>-1.730457</v>
      </c>
      <c r="N110" s="5">
        <v>0.44004</v>
      </c>
      <c r="O110" s="5">
        <v>0.201922</v>
      </c>
    </row>
    <row r="111">
      <c r="A111" s="12" t="str">
        <f>IFERROR(__xludf.DUMMYFUNCTION("""COMPUTED_VALUE"""),"")</f>
        <v/>
      </c>
      <c r="B111" s="13" t="str">
        <f>IFERROR(__xludf.DUMMYFUNCTION("""COMPUTED_VALUE"""),"")</f>
        <v/>
      </c>
      <c r="C111" s="14" t="str">
        <f>IFERROR(__xludf.DUMMYFUNCTION("""COMPUTED_VALUE"""),"")</f>
        <v/>
      </c>
      <c r="D111" s="15" t="str">
        <f>IFERROR(__xludf.DUMMYFUNCTION("""COMPUTED_VALUE"""),"")</f>
        <v/>
      </c>
      <c r="E111" s="15" t="str">
        <f>IFERROR(__xludf.DUMMYFUNCTION("""COMPUTED_VALUE"""),"")</f>
        <v/>
      </c>
      <c r="F111" s="15" t="str">
        <f>IFERROR(__xludf.DUMMYFUNCTION("""COMPUTED_VALUE"""),"")</f>
        <v/>
      </c>
      <c r="G111" s="17" t="str">
        <f>IFERROR(__xludf.DUMMYFUNCTION("""COMPUTED_VALUE"""),"")</f>
        <v/>
      </c>
      <c r="H111" s="4"/>
      <c r="I111" s="5" t="s">
        <v>3221</v>
      </c>
      <c r="J111" s="5" t="s">
        <v>3281</v>
      </c>
      <c r="K111" s="5">
        <v>28.0</v>
      </c>
      <c r="L111" s="5">
        <v>0.485578</v>
      </c>
      <c r="M111" s="5">
        <v>-0.08601</v>
      </c>
      <c r="N111" s="5">
        <v>0.399568</v>
      </c>
      <c r="O111" s="5">
        <v>0.020412</v>
      </c>
    </row>
    <row r="112">
      <c r="A112" s="18" t="str">
        <f>IFERROR(__xludf.DUMMYFUNCTION("""COMPUTED_VALUE"""),"")</f>
        <v/>
      </c>
      <c r="B112" s="19" t="str">
        <f>IFERROR(__xludf.DUMMYFUNCTION("""COMPUTED_VALUE"""),"")</f>
        <v/>
      </c>
      <c r="C112" s="20" t="str">
        <f>IFERROR(__xludf.DUMMYFUNCTION("""COMPUTED_VALUE"""),"")</f>
        <v/>
      </c>
      <c r="D112" s="21" t="str">
        <f>IFERROR(__xludf.DUMMYFUNCTION("""COMPUTED_VALUE"""),"")</f>
        <v/>
      </c>
      <c r="E112" s="21" t="str">
        <f>IFERROR(__xludf.DUMMYFUNCTION("""COMPUTED_VALUE"""),"")</f>
        <v/>
      </c>
      <c r="F112" s="21" t="str">
        <f>IFERROR(__xludf.DUMMYFUNCTION("""COMPUTED_VALUE"""),"")</f>
        <v/>
      </c>
      <c r="G112" s="23" t="str">
        <f>IFERROR(__xludf.DUMMYFUNCTION("""COMPUTED_VALUE"""),"")</f>
        <v/>
      </c>
      <c r="H112" s="4"/>
      <c r="I112" s="5" t="s">
        <v>3329</v>
      </c>
      <c r="J112" s="5" t="s">
        <v>3210</v>
      </c>
      <c r="K112" s="24">
        <v>219.0</v>
      </c>
      <c r="L112" s="5">
        <v>1.846212</v>
      </c>
      <c r="M112" s="5">
        <v>-1.47944</v>
      </c>
      <c r="N112" s="5">
        <v>0.366772</v>
      </c>
      <c r="O112" s="5">
        <v>0.155679</v>
      </c>
    </row>
    <row r="113">
      <c r="A113" s="12" t="str">
        <f>IFERROR(__xludf.DUMMYFUNCTION("""COMPUTED_VALUE"""),"")</f>
        <v/>
      </c>
      <c r="B113" s="13" t="str">
        <f>IFERROR(__xludf.DUMMYFUNCTION("""COMPUTED_VALUE"""),"")</f>
        <v/>
      </c>
      <c r="C113" s="14" t="str">
        <f>IFERROR(__xludf.DUMMYFUNCTION("""COMPUTED_VALUE"""),"")</f>
        <v/>
      </c>
      <c r="D113" s="15" t="str">
        <f>IFERROR(__xludf.DUMMYFUNCTION("""COMPUTED_VALUE"""),"")</f>
        <v/>
      </c>
      <c r="E113" s="15" t="str">
        <f>IFERROR(__xludf.DUMMYFUNCTION("""COMPUTED_VALUE"""),"")</f>
        <v/>
      </c>
      <c r="F113" s="15" t="str">
        <f>IFERROR(__xludf.DUMMYFUNCTION("""COMPUTED_VALUE"""),"")</f>
        <v/>
      </c>
      <c r="G113" s="17" t="str">
        <f>IFERROR(__xludf.DUMMYFUNCTION("""COMPUTED_VALUE"""),"")</f>
        <v/>
      </c>
      <c r="H113" s="4"/>
      <c r="I113" s="5" t="s">
        <v>3330</v>
      </c>
      <c r="J113" s="5" t="s">
        <v>3331</v>
      </c>
      <c r="K113" s="5">
        <v>838.0</v>
      </c>
      <c r="L113" s="5">
        <v>-0.351086</v>
      </c>
      <c r="M113" s="5">
        <v>0.710362</v>
      </c>
      <c r="N113" s="5">
        <v>0.359276</v>
      </c>
      <c r="O113" s="5">
        <v>0.600281</v>
      </c>
    </row>
    <row r="114">
      <c r="A114" s="18" t="str">
        <f>IFERROR(__xludf.DUMMYFUNCTION("""COMPUTED_VALUE"""),"")</f>
        <v/>
      </c>
      <c r="B114" s="19" t="str">
        <f>IFERROR(__xludf.DUMMYFUNCTION("""COMPUTED_VALUE"""),"")</f>
        <v/>
      </c>
      <c r="C114" s="20" t="str">
        <f>IFERROR(__xludf.DUMMYFUNCTION("""COMPUTED_VALUE"""),"")</f>
        <v/>
      </c>
      <c r="D114" s="21" t="str">
        <f>IFERROR(__xludf.DUMMYFUNCTION("""COMPUTED_VALUE"""),"")</f>
        <v/>
      </c>
      <c r="E114" s="21" t="str">
        <f>IFERROR(__xludf.DUMMYFUNCTION("""COMPUTED_VALUE"""),"")</f>
        <v/>
      </c>
      <c r="F114" s="21" t="str">
        <f>IFERROR(__xludf.DUMMYFUNCTION("""COMPUTED_VALUE"""),"")</f>
        <v/>
      </c>
      <c r="G114" s="23" t="str">
        <f>IFERROR(__xludf.DUMMYFUNCTION("""COMPUTED_VALUE"""),"")</f>
        <v/>
      </c>
      <c r="H114" s="4"/>
      <c r="I114" s="5" t="s">
        <v>3332</v>
      </c>
      <c r="J114" s="5" t="s">
        <v>3217</v>
      </c>
      <c r="K114" s="5">
        <v>18.0</v>
      </c>
      <c r="L114" s="5">
        <v>0.244165</v>
      </c>
      <c r="M114" s="5">
        <v>0.079685</v>
      </c>
      <c r="N114" s="5">
        <v>0.323851</v>
      </c>
      <c r="O114" s="5">
        <v>0.012729</v>
      </c>
    </row>
    <row r="115">
      <c r="A115" s="12" t="str">
        <f>IFERROR(__xludf.DUMMYFUNCTION("""COMPUTED_VALUE"""),"")</f>
        <v/>
      </c>
      <c r="B115" s="13" t="str">
        <f>IFERROR(__xludf.DUMMYFUNCTION("""COMPUTED_VALUE"""),"")</f>
        <v/>
      </c>
      <c r="C115" s="14" t="str">
        <f>IFERROR(__xludf.DUMMYFUNCTION("""COMPUTED_VALUE"""),"")</f>
        <v/>
      </c>
      <c r="D115" s="15" t="str">
        <f>IFERROR(__xludf.DUMMYFUNCTION("""COMPUTED_VALUE"""),"")</f>
        <v/>
      </c>
      <c r="E115" s="15" t="str">
        <f>IFERROR(__xludf.DUMMYFUNCTION("""COMPUTED_VALUE"""),"")</f>
        <v/>
      </c>
      <c r="F115" s="15" t="str">
        <f>IFERROR(__xludf.DUMMYFUNCTION("""COMPUTED_VALUE"""),"")</f>
        <v/>
      </c>
      <c r="G115" s="17" t="str">
        <f>IFERROR(__xludf.DUMMYFUNCTION("""COMPUTED_VALUE"""),"")</f>
        <v/>
      </c>
      <c r="H115" s="4"/>
      <c r="I115" s="5" t="s">
        <v>1068</v>
      </c>
      <c r="J115" s="5" t="s">
        <v>3217</v>
      </c>
      <c r="K115" s="24">
        <v>347.0</v>
      </c>
      <c r="L115" s="5">
        <v>0.331608</v>
      </c>
      <c r="M115" s="5">
        <v>-0.011678</v>
      </c>
      <c r="N115" s="5">
        <v>0.31993</v>
      </c>
      <c r="O115" s="5">
        <v>0.242561</v>
      </c>
    </row>
    <row r="116">
      <c r="A116" s="18" t="str">
        <f>IFERROR(__xludf.DUMMYFUNCTION("""COMPUTED_VALUE"""),"")</f>
        <v/>
      </c>
      <c r="B116" s="19" t="str">
        <f>IFERROR(__xludf.DUMMYFUNCTION("""COMPUTED_VALUE"""),"")</f>
        <v/>
      </c>
      <c r="C116" s="20" t="str">
        <f>IFERROR(__xludf.DUMMYFUNCTION("""COMPUTED_VALUE"""),"")</f>
        <v/>
      </c>
      <c r="D116" s="21" t="str">
        <f>IFERROR(__xludf.DUMMYFUNCTION("""COMPUTED_VALUE"""),"")</f>
        <v/>
      </c>
      <c r="E116" s="21" t="str">
        <f>IFERROR(__xludf.DUMMYFUNCTION("""COMPUTED_VALUE"""),"")</f>
        <v/>
      </c>
      <c r="F116" s="21" t="str">
        <f>IFERROR(__xludf.DUMMYFUNCTION("""COMPUTED_VALUE"""),"")</f>
        <v/>
      </c>
      <c r="G116" s="23" t="str">
        <f>IFERROR(__xludf.DUMMYFUNCTION("""COMPUTED_VALUE"""),"")</f>
        <v/>
      </c>
      <c r="H116" s="4"/>
      <c r="I116" s="5" t="s">
        <v>3333</v>
      </c>
      <c r="J116" s="5" t="s">
        <v>3226</v>
      </c>
      <c r="K116" s="5">
        <v>568.0</v>
      </c>
      <c r="L116" s="5">
        <v>0.238597</v>
      </c>
      <c r="M116" s="5">
        <v>0.066363</v>
      </c>
      <c r="N116" s="5">
        <v>0.30496</v>
      </c>
      <c r="O116" s="5">
        <v>0.399141</v>
      </c>
    </row>
    <row r="117">
      <c r="A117" s="12" t="str">
        <f>IFERROR(__xludf.DUMMYFUNCTION("""COMPUTED_VALUE"""),"")</f>
        <v/>
      </c>
      <c r="B117" s="13" t="str">
        <f>IFERROR(__xludf.DUMMYFUNCTION("""COMPUTED_VALUE"""),"")</f>
        <v/>
      </c>
      <c r="C117" s="14" t="str">
        <f>IFERROR(__xludf.DUMMYFUNCTION("""COMPUTED_VALUE"""),"")</f>
        <v/>
      </c>
      <c r="D117" s="15" t="str">
        <f>IFERROR(__xludf.DUMMYFUNCTION("""COMPUTED_VALUE"""),"")</f>
        <v/>
      </c>
      <c r="E117" s="15" t="str">
        <f>IFERROR(__xludf.DUMMYFUNCTION("""COMPUTED_VALUE"""),"")</f>
        <v/>
      </c>
      <c r="F117" s="15" t="str">
        <f>IFERROR(__xludf.DUMMYFUNCTION("""COMPUTED_VALUE"""),"")</f>
        <v/>
      </c>
      <c r="G117" s="17" t="str">
        <f>IFERROR(__xludf.DUMMYFUNCTION("""COMPUTED_VALUE"""),"")</f>
        <v/>
      </c>
      <c r="H117" s="4"/>
      <c r="I117" s="5" t="s">
        <v>3334</v>
      </c>
      <c r="J117" s="5" t="s">
        <v>2838</v>
      </c>
      <c r="K117" s="5">
        <v>688.0</v>
      </c>
      <c r="L117" s="5">
        <v>0.411198</v>
      </c>
      <c r="M117" s="5">
        <v>-0.159124</v>
      </c>
      <c r="N117" s="5">
        <v>0.252074</v>
      </c>
      <c r="O117" s="5">
        <v>0.464045</v>
      </c>
    </row>
    <row r="118">
      <c r="A118" s="18" t="str">
        <f>IFERROR(__xludf.DUMMYFUNCTION("""COMPUTED_VALUE"""),"")</f>
        <v/>
      </c>
      <c r="B118" s="19" t="str">
        <f>IFERROR(__xludf.DUMMYFUNCTION("""COMPUTED_VALUE"""),"")</f>
        <v/>
      </c>
      <c r="C118" s="20" t="str">
        <f>IFERROR(__xludf.DUMMYFUNCTION("""COMPUTED_VALUE"""),"")</f>
        <v/>
      </c>
      <c r="D118" s="21" t="str">
        <f>IFERROR(__xludf.DUMMYFUNCTION("""COMPUTED_VALUE"""),"")</f>
        <v/>
      </c>
      <c r="E118" s="21" t="str">
        <f>IFERROR(__xludf.DUMMYFUNCTION("""COMPUTED_VALUE"""),"")</f>
        <v/>
      </c>
      <c r="F118" s="21" t="str">
        <f>IFERROR(__xludf.DUMMYFUNCTION("""COMPUTED_VALUE"""),"")</f>
        <v/>
      </c>
      <c r="G118" s="23" t="str">
        <f>IFERROR(__xludf.DUMMYFUNCTION("""COMPUTED_VALUE"""),"")</f>
        <v/>
      </c>
      <c r="H118" s="4"/>
      <c r="I118" s="5" t="s">
        <v>3335</v>
      </c>
      <c r="J118" s="5" t="s">
        <v>2201</v>
      </c>
      <c r="K118" s="24">
        <v>511.0</v>
      </c>
      <c r="L118" s="5">
        <v>-1.063728</v>
      </c>
      <c r="M118" s="5">
        <v>1.303911</v>
      </c>
      <c r="N118" s="5">
        <v>0.240182</v>
      </c>
      <c r="O118" s="5">
        <v>0.349405</v>
      </c>
    </row>
    <row r="119">
      <c r="A119" s="12" t="str">
        <f>IFERROR(__xludf.DUMMYFUNCTION("""COMPUTED_VALUE"""),"")</f>
        <v/>
      </c>
      <c r="B119" s="13" t="str">
        <f>IFERROR(__xludf.DUMMYFUNCTION("""COMPUTED_VALUE"""),"")</f>
        <v/>
      </c>
      <c r="C119" s="14" t="str">
        <f>IFERROR(__xludf.DUMMYFUNCTION("""COMPUTED_VALUE"""),"")</f>
        <v/>
      </c>
      <c r="D119" s="15" t="str">
        <f>IFERROR(__xludf.DUMMYFUNCTION("""COMPUTED_VALUE"""),"")</f>
        <v/>
      </c>
      <c r="E119" s="15" t="str">
        <f>IFERROR(__xludf.DUMMYFUNCTION("""COMPUTED_VALUE"""),"")</f>
        <v/>
      </c>
      <c r="F119" s="15" t="str">
        <f>IFERROR(__xludf.DUMMYFUNCTION("""COMPUTED_VALUE"""),"")</f>
        <v/>
      </c>
      <c r="G119" s="17" t="str">
        <f>IFERROR(__xludf.DUMMYFUNCTION("""COMPUTED_VALUE"""),"")</f>
        <v/>
      </c>
      <c r="H119" s="4"/>
      <c r="I119" s="5" t="s">
        <v>3336</v>
      </c>
      <c r="J119" s="5" t="s">
        <v>3207</v>
      </c>
      <c r="K119" s="24">
        <v>11.0</v>
      </c>
      <c r="L119" s="5">
        <v>0.223952</v>
      </c>
      <c r="M119" s="5">
        <v>0.011983</v>
      </c>
      <c r="N119" s="5">
        <v>0.235936</v>
      </c>
      <c r="O119" s="5">
        <v>0.007134</v>
      </c>
    </row>
    <row r="120">
      <c r="A120" s="18" t="str">
        <f>IFERROR(__xludf.DUMMYFUNCTION("""COMPUTED_VALUE"""),"")</f>
        <v/>
      </c>
      <c r="B120" s="19" t="str">
        <f>IFERROR(__xludf.DUMMYFUNCTION("""COMPUTED_VALUE"""),"")</f>
        <v/>
      </c>
      <c r="C120" s="20" t="str">
        <f>IFERROR(__xludf.DUMMYFUNCTION("""COMPUTED_VALUE"""),"")</f>
        <v/>
      </c>
      <c r="D120" s="21" t="str">
        <f>IFERROR(__xludf.DUMMYFUNCTION("""COMPUTED_VALUE"""),"")</f>
        <v/>
      </c>
      <c r="E120" s="21" t="str">
        <f>IFERROR(__xludf.DUMMYFUNCTION("""COMPUTED_VALUE"""),"")</f>
        <v/>
      </c>
      <c r="F120" s="21" t="str">
        <f>IFERROR(__xludf.DUMMYFUNCTION("""COMPUTED_VALUE"""),"")</f>
        <v/>
      </c>
      <c r="G120" s="23" t="str">
        <f>IFERROR(__xludf.DUMMYFUNCTION("""COMPUTED_VALUE"""),"")</f>
        <v/>
      </c>
      <c r="H120" s="4"/>
      <c r="I120" s="5" t="s">
        <v>3337</v>
      </c>
      <c r="J120" s="5" t="s">
        <v>3251</v>
      </c>
      <c r="K120" s="5">
        <v>7.0</v>
      </c>
      <c r="L120" s="5">
        <v>0.125449</v>
      </c>
      <c r="M120" s="5">
        <v>0.024069</v>
      </c>
      <c r="N120" s="5">
        <v>0.149518</v>
      </c>
      <c r="O120" s="5">
        <v>0.004441</v>
      </c>
    </row>
    <row r="121">
      <c r="A121" s="12" t="str">
        <f>IFERROR(__xludf.DUMMYFUNCTION("""COMPUTED_VALUE"""),"")</f>
        <v/>
      </c>
      <c r="B121" s="13" t="str">
        <f>IFERROR(__xludf.DUMMYFUNCTION("""COMPUTED_VALUE"""),"")</f>
        <v/>
      </c>
      <c r="C121" s="14" t="str">
        <f>IFERROR(__xludf.DUMMYFUNCTION("""COMPUTED_VALUE"""),"")</f>
        <v/>
      </c>
      <c r="D121" s="15" t="str">
        <f>IFERROR(__xludf.DUMMYFUNCTION("""COMPUTED_VALUE"""),"")</f>
        <v/>
      </c>
      <c r="E121" s="15" t="str">
        <f>IFERROR(__xludf.DUMMYFUNCTION("""COMPUTED_VALUE"""),"")</f>
        <v/>
      </c>
      <c r="F121" s="15" t="str">
        <f>IFERROR(__xludf.DUMMYFUNCTION("""COMPUTED_VALUE"""),"")</f>
        <v/>
      </c>
      <c r="G121" s="17" t="str">
        <f>IFERROR(__xludf.DUMMYFUNCTION("""COMPUTED_VALUE"""),"")</f>
        <v/>
      </c>
      <c r="H121" s="4"/>
      <c r="I121" s="5" t="s">
        <v>3338</v>
      </c>
      <c r="J121" s="5" t="s">
        <v>3215</v>
      </c>
      <c r="K121" s="5">
        <v>379.0</v>
      </c>
      <c r="L121" s="5">
        <v>0.251217</v>
      </c>
      <c r="M121" s="5">
        <v>-0.131085</v>
      </c>
      <c r="N121" s="5">
        <v>0.120131</v>
      </c>
      <c r="O121" s="5">
        <v>0.243925</v>
      </c>
    </row>
    <row r="122">
      <c r="A122" s="18" t="str">
        <f>IFERROR(__xludf.DUMMYFUNCTION("""COMPUTED_VALUE"""),"")</f>
        <v/>
      </c>
      <c r="B122" s="19" t="str">
        <f>IFERROR(__xludf.DUMMYFUNCTION("""COMPUTED_VALUE"""),"")</f>
        <v/>
      </c>
      <c r="C122" s="20" t="str">
        <f>IFERROR(__xludf.DUMMYFUNCTION("""COMPUTED_VALUE"""),"")</f>
        <v/>
      </c>
      <c r="D122" s="21" t="str">
        <f>IFERROR(__xludf.DUMMYFUNCTION("""COMPUTED_VALUE"""),"")</f>
        <v/>
      </c>
      <c r="E122" s="21" t="str">
        <f>IFERROR(__xludf.DUMMYFUNCTION("""COMPUTED_VALUE"""),"")</f>
        <v/>
      </c>
      <c r="F122" s="21" t="str">
        <f>IFERROR(__xludf.DUMMYFUNCTION("""COMPUTED_VALUE"""),"")</f>
        <v/>
      </c>
      <c r="G122" s="23" t="str">
        <f>IFERROR(__xludf.DUMMYFUNCTION("""COMPUTED_VALUE"""),"")</f>
        <v/>
      </c>
      <c r="H122" s="4"/>
      <c r="I122" s="5" t="s">
        <v>3339</v>
      </c>
      <c r="J122" s="5" t="s">
        <v>3237</v>
      </c>
      <c r="K122" s="24">
        <v>241.0</v>
      </c>
      <c r="L122" s="5">
        <v>-1.808563</v>
      </c>
      <c r="M122" s="5">
        <v>1.884509</v>
      </c>
      <c r="N122" s="5">
        <v>0.075946</v>
      </c>
      <c r="O122" s="5">
        <v>0.168723</v>
      </c>
    </row>
    <row r="123">
      <c r="A123" s="12" t="str">
        <f>IFERROR(__xludf.DUMMYFUNCTION("""COMPUTED_VALUE"""),"")</f>
        <v/>
      </c>
      <c r="B123" s="13" t="str">
        <f>IFERROR(__xludf.DUMMYFUNCTION("""COMPUTED_VALUE"""),"")</f>
        <v/>
      </c>
      <c r="C123" s="14" t="str">
        <f>IFERROR(__xludf.DUMMYFUNCTION("""COMPUTED_VALUE"""),"")</f>
        <v/>
      </c>
      <c r="D123" s="15" t="str">
        <f>IFERROR(__xludf.DUMMYFUNCTION("""COMPUTED_VALUE"""),"")</f>
        <v/>
      </c>
      <c r="E123" s="15" t="str">
        <f>IFERROR(__xludf.DUMMYFUNCTION("""COMPUTED_VALUE"""),"")</f>
        <v/>
      </c>
      <c r="F123" s="15" t="str">
        <f>IFERROR(__xludf.DUMMYFUNCTION("""COMPUTED_VALUE"""),"")</f>
        <v/>
      </c>
      <c r="G123" s="17" t="str">
        <f>IFERROR(__xludf.DUMMYFUNCTION("""COMPUTED_VALUE"""),"")</f>
        <v/>
      </c>
      <c r="H123" s="4"/>
      <c r="I123" s="5" t="s">
        <v>3340</v>
      </c>
      <c r="J123" s="5" t="s">
        <v>3237</v>
      </c>
      <c r="K123" s="5">
        <v>18.0</v>
      </c>
      <c r="L123" s="5">
        <v>0.094306</v>
      </c>
      <c r="M123" s="5">
        <v>-0.030578</v>
      </c>
      <c r="N123" s="5">
        <v>0.063728</v>
      </c>
      <c r="O123" s="5">
        <v>0.012533</v>
      </c>
    </row>
    <row r="124">
      <c r="A124" s="18" t="str">
        <f>IFERROR(__xludf.DUMMYFUNCTION("""COMPUTED_VALUE"""),"")</f>
        <v/>
      </c>
      <c r="B124" s="19" t="str">
        <f>IFERROR(__xludf.DUMMYFUNCTION("""COMPUTED_VALUE"""),"")</f>
        <v/>
      </c>
      <c r="C124" s="20" t="str">
        <f>IFERROR(__xludf.DUMMYFUNCTION("""COMPUTED_VALUE"""),"")</f>
        <v/>
      </c>
      <c r="D124" s="21" t="str">
        <f>IFERROR(__xludf.DUMMYFUNCTION("""COMPUTED_VALUE"""),"")</f>
        <v/>
      </c>
      <c r="E124" s="21" t="str">
        <f>IFERROR(__xludf.DUMMYFUNCTION("""COMPUTED_VALUE"""),"")</f>
        <v/>
      </c>
      <c r="F124" s="21" t="str">
        <f>IFERROR(__xludf.DUMMYFUNCTION("""COMPUTED_VALUE"""),"")</f>
        <v/>
      </c>
      <c r="G124" s="23" t="str">
        <f>IFERROR(__xludf.DUMMYFUNCTION("""COMPUTED_VALUE"""),"")</f>
        <v/>
      </c>
      <c r="H124" s="4"/>
      <c r="I124" s="5" t="s">
        <v>3341</v>
      </c>
      <c r="J124" s="5" t="s">
        <v>644</v>
      </c>
      <c r="K124" s="5">
        <v>107.0</v>
      </c>
      <c r="L124" s="5">
        <v>0.949195</v>
      </c>
      <c r="M124" s="5">
        <v>-0.934574</v>
      </c>
      <c r="N124" s="5">
        <v>0.01462</v>
      </c>
      <c r="O124" s="5">
        <v>0.065381</v>
      </c>
    </row>
    <row r="125">
      <c r="A125" s="12" t="str">
        <f>IFERROR(__xludf.DUMMYFUNCTION("""COMPUTED_VALUE"""),"")</f>
        <v/>
      </c>
      <c r="B125" s="13" t="str">
        <f>IFERROR(__xludf.DUMMYFUNCTION("""COMPUTED_VALUE"""),"")</f>
        <v/>
      </c>
      <c r="C125" s="14" t="str">
        <f>IFERROR(__xludf.DUMMYFUNCTION("""COMPUTED_VALUE"""),"")</f>
        <v/>
      </c>
      <c r="D125" s="15" t="str">
        <f>IFERROR(__xludf.DUMMYFUNCTION("""COMPUTED_VALUE"""),"")</f>
        <v/>
      </c>
      <c r="E125" s="15" t="str">
        <f>IFERROR(__xludf.DUMMYFUNCTION("""COMPUTED_VALUE"""),"")</f>
        <v/>
      </c>
      <c r="F125" s="15" t="str">
        <f>IFERROR(__xludf.DUMMYFUNCTION("""COMPUTED_VALUE"""),"")</f>
        <v/>
      </c>
      <c r="G125" s="17" t="str">
        <f>IFERROR(__xludf.DUMMYFUNCTION("""COMPUTED_VALUE"""),"")</f>
        <v/>
      </c>
      <c r="H125" s="4"/>
      <c r="I125" s="5" t="s">
        <v>3342</v>
      </c>
      <c r="J125" s="5" t="s">
        <v>3240</v>
      </c>
      <c r="K125" s="24">
        <v>23.0</v>
      </c>
      <c r="L125" s="5">
        <v>-0.101425</v>
      </c>
      <c r="M125" s="5">
        <v>0.098087</v>
      </c>
      <c r="N125" s="5">
        <v>-0.003338</v>
      </c>
      <c r="O125" s="5">
        <v>0.014248</v>
      </c>
    </row>
    <row r="126">
      <c r="A126" s="18" t="str">
        <f>IFERROR(__xludf.DUMMYFUNCTION("""COMPUTED_VALUE"""),"")</f>
        <v/>
      </c>
      <c r="B126" s="19" t="str">
        <f>IFERROR(__xludf.DUMMYFUNCTION("""COMPUTED_VALUE"""),"")</f>
        <v/>
      </c>
      <c r="C126" s="20" t="str">
        <f>IFERROR(__xludf.DUMMYFUNCTION("""COMPUTED_VALUE"""),"")</f>
        <v/>
      </c>
      <c r="D126" s="21" t="str">
        <f>IFERROR(__xludf.DUMMYFUNCTION("""COMPUTED_VALUE"""),"")</f>
        <v/>
      </c>
      <c r="E126" s="21" t="str">
        <f>IFERROR(__xludf.DUMMYFUNCTION("""COMPUTED_VALUE"""),"")</f>
        <v/>
      </c>
      <c r="F126" s="21" t="str">
        <f>IFERROR(__xludf.DUMMYFUNCTION("""COMPUTED_VALUE"""),"")</f>
        <v/>
      </c>
      <c r="G126" s="23" t="str">
        <f>IFERROR(__xludf.DUMMYFUNCTION("""COMPUTED_VALUE"""),"")</f>
        <v/>
      </c>
      <c r="H126" s="4"/>
      <c r="I126" s="5" t="s">
        <v>3343</v>
      </c>
      <c r="J126" s="5" t="s">
        <v>3226</v>
      </c>
      <c r="K126" s="5">
        <v>0.0</v>
      </c>
      <c r="L126" s="5">
        <v>-0.005493</v>
      </c>
      <c r="M126" s="5">
        <v>5.51E-4</v>
      </c>
      <c r="N126" s="5">
        <v>-0.004942</v>
      </c>
      <c r="O126" s="5">
        <v>1.83E-4</v>
      </c>
    </row>
    <row r="127">
      <c r="A127" s="12" t="str">
        <f>IFERROR(__xludf.DUMMYFUNCTION("""COMPUTED_VALUE"""),"")</f>
        <v/>
      </c>
      <c r="B127" s="13" t="str">
        <f>IFERROR(__xludf.DUMMYFUNCTION("""COMPUTED_VALUE"""),"")</f>
        <v/>
      </c>
      <c r="C127" s="14" t="str">
        <f>IFERROR(__xludf.DUMMYFUNCTION("""COMPUTED_VALUE"""),"")</f>
        <v/>
      </c>
      <c r="D127" s="15" t="str">
        <f>IFERROR(__xludf.DUMMYFUNCTION("""COMPUTED_VALUE"""),"")</f>
        <v/>
      </c>
      <c r="E127" s="15" t="str">
        <f>IFERROR(__xludf.DUMMYFUNCTION("""COMPUTED_VALUE"""),"")</f>
        <v/>
      </c>
      <c r="F127" s="15" t="str">
        <f>IFERROR(__xludf.DUMMYFUNCTION("""COMPUTED_VALUE"""),"")</f>
        <v/>
      </c>
      <c r="G127" s="17" t="str">
        <f>IFERROR(__xludf.DUMMYFUNCTION("""COMPUTED_VALUE"""),"")</f>
        <v/>
      </c>
      <c r="H127" s="4"/>
      <c r="I127" s="5" t="s">
        <v>3344</v>
      </c>
      <c r="J127" s="5" t="s">
        <v>3263</v>
      </c>
      <c r="K127" s="5">
        <v>1.0</v>
      </c>
      <c r="L127" s="5">
        <v>-0.009802</v>
      </c>
      <c r="M127" s="5">
        <v>1.9E-4</v>
      </c>
      <c r="N127" s="5">
        <v>-0.009612</v>
      </c>
      <c r="O127" s="5">
        <v>2.99E-4</v>
      </c>
    </row>
    <row r="128">
      <c r="A128" s="18" t="str">
        <f>IFERROR(__xludf.DUMMYFUNCTION("""COMPUTED_VALUE"""),"")</f>
        <v/>
      </c>
      <c r="B128" s="19" t="str">
        <f>IFERROR(__xludf.DUMMYFUNCTION("""COMPUTED_VALUE"""),"")</f>
        <v/>
      </c>
      <c r="C128" s="20" t="str">
        <f>IFERROR(__xludf.DUMMYFUNCTION("""COMPUTED_VALUE"""),"")</f>
        <v/>
      </c>
      <c r="D128" s="21" t="str">
        <f>IFERROR(__xludf.DUMMYFUNCTION("""COMPUTED_VALUE"""),"")</f>
        <v/>
      </c>
      <c r="E128" s="21" t="str">
        <f>IFERROR(__xludf.DUMMYFUNCTION("""COMPUTED_VALUE"""),"")</f>
        <v/>
      </c>
      <c r="F128" s="21" t="str">
        <f>IFERROR(__xludf.DUMMYFUNCTION("""COMPUTED_VALUE"""),"")</f>
        <v/>
      </c>
      <c r="G128" s="23" t="str">
        <f>IFERROR(__xludf.DUMMYFUNCTION("""COMPUTED_VALUE"""),"")</f>
        <v/>
      </c>
      <c r="H128" s="4"/>
      <c r="I128" s="5" t="s">
        <v>3345</v>
      </c>
      <c r="J128" s="5" t="s">
        <v>3207</v>
      </c>
      <c r="K128" s="5">
        <v>1.0</v>
      </c>
      <c r="L128" s="5">
        <v>-0.014508</v>
      </c>
      <c r="M128" s="5">
        <v>-0.004298</v>
      </c>
      <c r="N128" s="5">
        <v>-0.018806</v>
      </c>
      <c r="O128" s="5">
        <v>4.73E-4</v>
      </c>
    </row>
    <row r="129">
      <c r="A129" s="12" t="str">
        <f>IFERROR(__xludf.DUMMYFUNCTION("""COMPUTED_VALUE"""),"")</f>
        <v/>
      </c>
      <c r="B129" s="13" t="str">
        <f>IFERROR(__xludf.DUMMYFUNCTION("""COMPUTED_VALUE"""),"")</f>
        <v/>
      </c>
      <c r="C129" s="14" t="str">
        <f>IFERROR(__xludf.DUMMYFUNCTION("""COMPUTED_VALUE"""),"")</f>
        <v/>
      </c>
      <c r="D129" s="15" t="str">
        <f>IFERROR(__xludf.DUMMYFUNCTION("""COMPUTED_VALUE"""),"")</f>
        <v/>
      </c>
      <c r="E129" s="15" t="str">
        <f>IFERROR(__xludf.DUMMYFUNCTION("""COMPUTED_VALUE"""),"")</f>
        <v/>
      </c>
      <c r="F129" s="15" t="str">
        <f>IFERROR(__xludf.DUMMYFUNCTION("""COMPUTED_VALUE"""),"")</f>
        <v/>
      </c>
      <c r="G129" s="17" t="str">
        <f>IFERROR(__xludf.DUMMYFUNCTION("""COMPUTED_VALUE"""),"")</f>
        <v/>
      </c>
      <c r="H129" s="4"/>
      <c r="I129" s="5" t="s">
        <v>3346</v>
      </c>
      <c r="J129" s="5" t="s">
        <v>2838</v>
      </c>
      <c r="K129" s="5">
        <v>1.0</v>
      </c>
      <c r="L129" s="5">
        <v>-0.021517</v>
      </c>
      <c r="M129" s="5">
        <v>0.002627</v>
      </c>
      <c r="N129" s="5">
        <v>-0.01889</v>
      </c>
      <c r="O129" s="5">
        <v>7.12E-4</v>
      </c>
    </row>
    <row r="130">
      <c r="A130" s="18" t="str">
        <f>IFERROR(__xludf.DUMMYFUNCTION("""COMPUTED_VALUE"""),"")</f>
        <v/>
      </c>
      <c r="B130" s="19" t="str">
        <f>IFERROR(__xludf.DUMMYFUNCTION("""COMPUTED_VALUE"""),"")</f>
        <v/>
      </c>
      <c r="C130" s="20" t="str">
        <f>IFERROR(__xludf.DUMMYFUNCTION("""COMPUTED_VALUE"""),"")</f>
        <v/>
      </c>
      <c r="D130" s="21" t="str">
        <f>IFERROR(__xludf.DUMMYFUNCTION("""COMPUTED_VALUE"""),"")</f>
        <v/>
      </c>
      <c r="E130" s="21" t="str">
        <f>IFERROR(__xludf.DUMMYFUNCTION("""COMPUTED_VALUE"""),"")</f>
        <v/>
      </c>
      <c r="F130" s="21" t="str">
        <f>IFERROR(__xludf.DUMMYFUNCTION("""COMPUTED_VALUE"""),"")</f>
        <v/>
      </c>
      <c r="G130" s="23" t="str">
        <f>IFERROR(__xludf.DUMMYFUNCTION("""COMPUTED_VALUE"""),"")</f>
        <v/>
      </c>
      <c r="H130" s="4"/>
      <c r="I130" s="5" t="s">
        <v>3347</v>
      </c>
      <c r="J130" s="5" t="s">
        <v>3263</v>
      </c>
      <c r="K130" s="24">
        <v>2.0</v>
      </c>
      <c r="L130" s="5">
        <v>-0.031276</v>
      </c>
      <c r="M130" s="5">
        <v>6.91E-4</v>
      </c>
      <c r="N130" s="5">
        <v>-0.030586</v>
      </c>
      <c r="O130" s="5">
        <v>9.47E-4</v>
      </c>
    </row>
    <row r="131">
      <c r="A131" s="12" t="str">
        <f>IFERROR(__xludf.DUMMYFUNCTION("""COMPUTED_VALUE"""),"")</f>
        <v/>
      </c>
      <c r="B131" s="13" t="str">
        <f>IFERROR(__xludf.DUMMYFUNCTION("""COMPUTED_VALUE"""),"")</f>
        <v/>
      </c>
      <c r="C131" s="14" t="str">
        <f>IFERROR(__xludf.DUMMYFUNCTION("""COMPUTED_VALUE"""),"")</f>
        <v/>
      </c>
      <c r="D131" s="15" t="str">
        <f>IFERROR(__xludf.DUMMYFUNCTION("""COMPUTED_VALUE"""),"")</f>
        <v/>
      </c>
      <c r="E131" s="15" t="str">
        <f>IFERROR(__xludf.DUMMYFUNCTION("""COMPUTED_VALUE"""),"")</f>
        <v/>
      </c>
      <c r="F131" s="15" t="str">
        <f>IFERROR(__xludf.DUMMYFUNCTION("""COMPUTED_VALUE"""),"")</f>
        <v/>
      </c>
      <c r="G131" s="17" t="str">
        <f>IFERROR(__xludf.DUMMYFUNCTION("""COMPUTED_VALUE"""),"")</f>
        <v/>
      </c>
      <c r="H131" s="4"/>
      <c r="I131" s="5" t="s">
        <v>3348</v>
      </c>
      <c r="J131" s="5" t="s">
        <v>3233</v>
      </c>
      <c r="K131" s="5">
        <v>5.0</v>
      </c>
      <c r="L131" s="5">
        <v>0.110076</v>
      </c>
      <c r="M131" s="5">
        <v>-0.143024</v>
      </c>
      <c r="N131" s="5">
        <v>-0.032949</v>
      </c>
      <c r="O131" s="5">
        <v>0.002907</v>
      </c>
    </row>
    <row r="132">
      <c r="A132" s="18" t="str">
        <f>IFERROR(__xludf.DUMMYFUNCTION("""COMPUTED_VALUE"""),"")</f>
        <v/>
      </c>
      <c r="B132" s="19" t="str">
        <f>IFERROR(__xludf.DUMMYFUNCTION("""COMPUTED_VALUE"""),"")</f>
        <v/>
      </c>
      <c r="C132" s="20" t="str">
        <f>IFERROR(__xludf.DUMMYFUNCTION("""COMPUTED_VALUE"""),"")</f>
        <v/>
      </c>
      <c r="D132" s="21" t="str">
        <f>IFERROR(__xludf.DUMMYFUNCTION("""COMPUTED_VALUE"""),"")</f>
        <v/>
      </c>
      <c r="E132" s="21" t="str">
        <f>IFERROR(__xludf.DUMMYFUNCTION("""COMPUTED_VALUE"""),"")</f>
        <v/>
      </c>
      <c r="F132" s="21" t="str">
        <f>IFERROR(__xludf.DUMMYFUNCTION("""COMPUTED_VALUE"""),"")</f>
        <v/>
      </c>
      <c r="G132" s="23" t="str">
        <f>IFERROR(__xludf.DUMMYFUNCTION("""COMPUTED_VALUE"""),"")</f>
        <v/>
      </c>
      <c r="H132" s="4"/>
      <c r="I132" s="5" t="s">
        <v>3349</v>
      </c>
      <c r="J132" s="5" t="s">
        <v>3256</v>
      </c>
      <c r="K132" s="5">
        <v>2.0</v>
      </c>
      <c r="L132" s="5">
        <v>-0.046405</v>
      </c>
      <c r="M132" s="5">
        <v>0.003305</v>
      </c>
      <c r="N132" s="5">
        <v>-0.043101</v>
      </c>
      <c r="O132" s="5">
        <v>0.001425</v>
      </c>
    </row>
    <row r="133">
      <c r="A133" s="12" t="str">
        <f>IFERROR(__xludf.DUMMYFUNCTION("""COMPUTED_VALUE"""),"")</f>
        <v/>
      </c>
      <c r="B133" s="13" t="str">
        <f>IFERROR(__xludf.DUMMYFUNCTION("""COMPUTED_VALUE"""),"")</f>
        <v/>
      </c>
      <c r="C133" s="14" t="str">
        <f>IFERROR(__xludf.DUMMYFUNCTION("""COMPUTED_VALUE"""),"")</f>
        <v/>
      </c>
      <c r="D133" s="15" t="str">
        <f>IFERROR(__xludf.DUMMYFUNCTION("""COMPUTED_VALUE"""),"")</f>
        <v/>
      </c>
      <c r="E133" s="15" t="str">
        <f>IFERROR(__xludf.DUMMYFUNCTION("""COMPUTED_VALUE"""),"")</f>
        <v/>
      </c>
      <c r="F133" s="15" t="str">
        <f>IFERROR(__xludf.DUMMYFUNCTION("""COMPUTED_VALUE"""),"")</f>
        <v/>
      </c>
      <c r="G133" s="17" t="str">
        <f>IFERROR(__xludf.DUMMYFUNCTION("""COMPUTED_VALUE"""),"")</f>
        <v/>
      </c>
      <c r="H133" s="4"/>
      <c r="I133" s="5" t="s">
        <v>885</v>
      </c>
      <c r="J133" s="5" t="s">
        <v>3203</v>
      </c>
      <c r="K133" s="5">
        <v>9.0</v>
      </c>
      <c r="L133" s="5">
        <v>-0.206764</v>
      </c>
      <c r="M133" s="5">
        <v>0.145312</v>
      </c>
      <c r="N133" s="5">
        <v>-0.061452</v>
      </c>
      <c r="O133" s="5">
        <v>0.005526</v>
      </c>
    </row>
    <row r="134">
      <c r="A134" s="18" t="str">
        <f>IFERROR(__xludf.DUMMYFUNCTION("""COMPUTED_VALUE"""),"")</f>
        <v/>
      </c>
      <c r="B134" s="19" t="str">
        <f>IFERROR(__xludf.DUMMYFUNCTION("""COMPUTED_VALUE"""),"")</f>
        <v/>
      </c>
      <c r="C134" s="20" t="str">
        <f>IFERROR(__xludf.DUMMYFUNCTION("""COMPUTED_VALUE"""),"")</f>
        <v/>
      </c>
      <c r="D134" s="21" t="str">
        <f>IFERROR(__xludf.DUMMYFUNCTION("""COMPUTED_VALUE"""),"")</f>
        <v/>
      </c>
      <c r="E134" s="21" t="str">
        <f>IFERROR(__xludf.DUMMYFUNCTION("""COMPUTED_VALUE"""),"")</f>
        <v/>
      </c>
      <c r="F134" s="21" t="str">
        <f>IFERROR(__xludf.DUMMYFUNCTION("""COMPUTED_VALUE"""),"")</f>
        <v/>
      </c>
      <c r="G134" s="23" t="str">
        <f>IFERROR(__xludf.DUMMYFUNCTION("""COMPUTED_VALUE"""),"")</f>
        <v/>
      </c>
      <c r="H134" s="4"/>
      <c r="I134" s="5" t="s">
        <v>3350</v>
      </c>
      <c r="J134" s="5" t="s">
        <v>3223</v>
      </c>
      <c r="K134" s="24">
        <v>26.0</v>
      </c>
      <c r="L134" s="5">
        <v>0.167917</v>
      </c>
      <c r="M134" s="5">
        <v>-0.233374</v>
      </c>
      <c r="N134" s="5">
        <v>-0.065457</v>
      </c>
      <c r="O134" s="5">
        <v>0.015169</v>
      </c>
    </row>
    <row r="135">
      <c r="A135" s="12" t="str">
        <f>IFERROR(__xludf.DUMMYFUNCTION("""COMPUTED_VALUE"""),"")</f>
        <v/>
      </c>
      <c r="B135" s="13" t="str">
        <f>IFERROR(__xludf.DUMMYFUNCTION("""COMPUTED_VALUE"""),"")</f>
        <v/>
      </c>
      <c r="C135" s="14" t="str">
        <f>IFERROR(__xludf.DUMMYFUNCTION("""COMPUTED_VALUE"""),"")</f>
        <v/>
      </c>
      <c r="D135" s="15" t="str">
        <f>IFERROR(__xludf.DUMMYFUNCTION("""COMPUTED_VALUE"""),"")</f>
        <v/>
      </c>
      <c r="E135" s="15" t="str">
        <f>IFERROR(__xludf.DUMMYFUNCTION("""COMPUTED_VALUE"""),"")</f>
        <v/>
      </c>
      <c r="F135" s="15" t="str">
        <f>IFERROR(__xludf.DUMMYFUNCTION("""COMPUTED_VALUE"""),"")</f>
        <v/>
      </c>
      <c r="G135" s="17" t="str">
        <f>IFERROR(__xludf.DUMMYFUNCTION("""COMPUTED_VALUE"""),"")</f>
        <v/>
      </c>
      <c r="H135" s="4"/>
      <c r="I135" s="5" t="s">
        <v>3351</v>
      </c>
      <c r="J135" s="5" t="s">
        <v>3223</v>
      </c>
      <c r="K135" s="5">
        <v>4.0</v>
      </c>
      <c r="L135" s="5">
        <v>-0.073309</v>
      </c>
      <c r="M135" s="5">
        <v>-0.002192</v>
      </c>
      <c r="N135" s="5">
        <v>-0.075501</v>
      </c>
      <c r="O135" s="5">
        <v>0.002223</v>
      </c>
    </row>
    <row r="136">
      <c r="A136" s="18" t="str">
        <f>IFERROR(__xludf.DUMMYFUNCTION("""COMPUTED_VALUE"""),"")</f>
        <v/>
      </c>
      <c r="B136" s="19" t="str">
        <f>IFERROR(__xludf.DUMMYFUNCTION("""COMPUTED_VALUE"""),"")</f>
        <v/>
      </c>
      <c r="C136" s="20" t="str">
        <f>IFERROR(__xludf.DUMMYFUNCTION("""COMPUTED_VALUE"""),"")</f>
        <v/>
      </c>
      <c r="D136" s="21" t="str">
        <f>IFERROR(__xludf.DUMMYFUNCTION("""COMPUTED_VALUE"""),"")</f>
        <v/>
      </c>
      <c r="E136" s="21" t="str">
        <f>IFERROR(__xludf.DUMMYFUNCTION("""COMPUTED_VALUE"""),"")</f>
        <v/>
      </c>
      <c r="F136" s="21" t="str">
        <f>IFERROR(__xludf.DUMMYFUNCTION("""COMPUTED_VALUE"""),"")</f>
        <v/>
      </c>
      <c r="G136" s="23" t="str">
        <f>IFERROR(__xludf.DUMMYFUNCTION("""COMPUTED_VALUE"""),"")</f>
        <v/>
      </c>
      <c r="H136" s="4"/>
      <c r="I136" s="5" t="s">
        <v>3352</v>
      </c>
      <c r="J136" s="5" t="s">
        <v>3256</v>
      </c>
      <c r="K136" s="24">
        <v>5.0</v>
      </c>
      <c r="L136" s="5">
        <v>-0.09032</v>
      </c>
      <c r="M136" s="5">
        <v>0.006981</v>
      </c>
      <c r="N136" s="5">
        <v>-0.083339</v>
      </c>
      <c r="O136" s="5">
        <v>0.002734</v>
      </c>
    </row>
    <row r="137">
      <c r="A137" s="12" t="str">
        <f>IFERROR(__xludf.DUMMYFUNCTION("""COMPUTED_VALUE"""),"")</f>
        <v/>
      </c>
      <c r="B137" s="13" t="str">
        <f>IFERROR(__xludf.DUMMYFUNCTION("""COMPUTED_VALUE"""),"")</f>
        <v/>
      </c>
      <c r="C137" s="14" t="str">
        <f>IFERROR(__xludf.DUMMYFUNCTION("""COMPUTED_VALUE"""),"")</f>
        <v/>
      </c>
      <c r="D137" s="15" t="str">
        <f>IFERROR(__xludf.DUMMYFUNCTION("""COMPUTED_VALUE"""),"")</f>
        <v/>
      </c>
      <c r="E137" s="15" t="str">
        <f>IFERROR(__xludf.DUMMYFUNCTION("""COMPUTED_VALUE"""),"")</f>
        <v/>
      </c>
      <c r="F137" s="15" t="str">
        <f>IFERROR(__xludf.DUMMYFUNCTION("""COMPUTED_VALUE"""),"")</f>
        <v/>
      </c>
      <c r="G137" s="17" t="str">
        <f>IFERROR(__xludf.DUMMYFUNCTION("""COMPUTED_VALUE"""),"")</f>
        <v/>
      </c>
      <c r="H137" s="4"/>
      <c r="I137" s="5" t="s">
        <v>968</v>
      </c>
      <c r="J137" s="5" t="s">
        <v>3240</v>
      </c>
      <c r="K137" s="5">
        <v>727.0</v>
      </c>
      <c r="L137" s="5">
        <v>0.856302</v>
      </c>
      <c r="M137" s="5">
        <v>-0.944493</v>
      </c>
      <c r="N137" s="5">
        <v>-0.088191</v>
      </c>
      <c r="O137" s="5">
        <v>0.423778</v>
      </c>
    </row>
    <row r="138">
      <c r="A138" s="18" t="str">
        <f>IFERROR(__xludf.DUMMYFUNCTION("""COMPUTED_VALUE"""),"")</f>
        <v/>
      </c>
      <c r="B138" s="19" t="str">
        <f>IFERROR(__xludf.DUMMYFUNCTION("""COMPUTED_VALUE"""),"")</f>
        <v/>
      </c>
      <c r="C138" s="20" t="str">
        <f>IFERROR(__xludf.DUMMYFUNCTION("""COMPUTED_VALUE"""),"")</f>
        <v/>
      </c>
      <c r="D138" s="21" t="str">
        <f>IFERROR(__xludf.DUMMYFUNCTION("""COMPUTED_VALUE"""),"")</f>
        <v/>
      </c>
      <c r="E138" s="21" t="str">
        <f>IFERROR(__xludf.DUMMYFUNCTION("""COMPUTED_VALUE"""),"")</f>
        <v/>
      </c>
      <c r="F138" s="21" t="str">
        <f>IFERROR(__xludf.DUMMYFUNCTION("""COMPUTED_VALUE"""),"")</f>
        <v/>
      </c>
      <c r="G138" s="23" t="str">
        <f>IFERROR(__xludf.DUMMYFUNCTION("""COMPUTED_VALUE"""),"")</f>
        <v/>
      </c>
      <c r="H138" s="4"/>
      <c r="I138" s="5" t="s">
        <v>3353</v>
      </c>
      <c r="J138" s="5" t="s">
        <v>3237</v>
      </c>
      <c r="K138" s="5">
        <v>3.0</v>
      </c>
      <c r="L138" s="5">
        <v>-0.086398</v>
      </c>
      <c r="M138" s="5">
        <v>-0.016246</v>
      </c>
      <c r="N138" s="5">
        <v>-0.102644</v>
      </c>
      <c r="O138" s="5">
        <v>0.001728</v>
      </c>
    </row>
    <row r="139">
      <c r="A139" s="12" t="str">
        <f>IFERROR(__xludf.DUMMYFUNCTION("""COMPUTED_VALUE"""),"")</f>
        <v/>
      </c>
      <c r="B139" s="13" t="str">
        <f>IFERROR(__xludf.DUMMYFUNCTION("""COMPUTED_VALUE"""),"")</f>
        <v/>
      </c>
      <c r="C139" s="14" t="str">
        <f>IFERROR(__xludf.DUMMYFUNCTION("""COMPUTED_VALUE"""),"")</f>
        <v/>
      </c>
      <c r="D139" s="15" t="str">
        <f>IFERROR(__xludf.DUMMYFUNCTION("""COMPUTED_VALUE"""),"")</f>
        <v/>
      </c>
      <c r="E139" s="15" t="str">
        <f>IFERROR(__xludf.DUMMYFUNCTION("""COMPUTED_VALUE"""),"")</f>
        <v/>
      </c>
      <c r="F139" s="15" t="str">
        <f>IFERROR(__xludf.DUMMYFUNCTION("""COMPUTED_VALUE"""),"")</f>
        <v/>
      </c>
      <c r="G139" s="17" t="str">
        <f>IFERROR(__xludf.DUMMYFUNCTION("""COMPUTED_VALUE"""),"")</f>
        <v/>
      </c>
      <c r="H139" s="4"/>
      <c r="I139" s="5" t="s">
        <v>1239</v>
      </c>
      <c r="J139" s="5" t="s">
        <v>3215</v>
      </c>
      <c r="K139" s="5">
        <v>394.0</v>
      </c>
      <c r="L139" s="5">
        <v>-0.642232</v>
      </c>
      <c r="M139" s="5">
        <v>0.532077</v>
      </c>
      <c r="N139" s="5">
        <v>-0.110155</v>
      </c>
      <c r="O139" s="5">
        <v>0.22621</v>
      </c>
    </row>
    <row r="140">
      <c r="A140" s="18" t="str">
        <f>IFERROR(__xludf.DUMMYFUNCTION("""COMPUTED_VALUE"""),"")</f>
        <v/>
      </c>
      <c r="B140" s="19" t="str">
        <f>IFERROR(__xludf.DUMMYFUNCTION("""COMPUTED_VALUE"""),"")</f>
        <v/>
      </c>
      <c r="C140" s="20" t="str">
        <f>IFERROR(__xludf.DUMMYFUNCTION("""COMPUTED_VALUE"""),"")</f>
        <v/>
      </c>
      <c r="D140" s="21" t="str">
        <f>IFERROR(__xludf.DUMMYFUNCTION("""COMPUTED_VALUE"""),"")</f>
        <v/>
      </c>
      <c r="E140" s="21" t="str">
        <f>IFERROR(__xludf.DUMMYFUNCTION("""COMPUTED_VALUE"""),"")</f>
        <v/>
      </c>
      <c r="F140" s="21" t="str">
        <f>IFERROR(__xludf.DUMMYFUNCTION("""COMPUTED_VALUE"""),"")</f>
        <v/>
      </c>
      <c r="G140" s="23" t="str">
        <f>IFERROR(__xludf.DUMMYFUNCTION("""COMPUTED_VALUE"""),"")</f>
        <v/>
      </c>
      <c r="H140" s="4"/>
      <c r="I140" s="5" t="s">
        <v>3354</v>
      </c>
      <c r="J140" s="5" t="s">
        <v>3263</v>
      </c>
      <c r="K140" s="5">
        <v>25.0</v>
      </c>
      <c r="L140" s="5">
        <v>-0.375747</v>
      </c>
      <c r="M140" s="5">
        <v>0.207031</v>
      </c>
      <c r="N140" s="5">
        <v>-0.168716</v>
      </c>
      <c r="O140" s="5">
        <v>0.01354</v>
      </c>
    </row>
    <row r="141">
      <c r="A141" s="12" t="str">
        <f>IFERROR(__xludf.DUMMYFUNCTION("""COMPUTED_VALUE"""),"")</f>
        <v/>
      </c>
      <c r="B141" s="13" t="str">
        <f>IFERROR(__xludf.DUMMYFUNCTION("""COMPUTED_VALUE"""),"")</f>
        <v/>
      </c>
      <c r="C141" s="14" t="str">
        <f>IFERROR(__xludf.DUMMYFUNCTION("""COMPUTED_VALUE"""),"")</f>
        <v/>
      </c>
      <c r="D141" s="15" t="str">
        <f>IFERROR(__xludf.DUMMYFUNCTION("""COMPUTED_VALUE"""),"")</f>
        <v/>
      </c>
      <c r="E141" s="15" t="str">
        <f>IFERROR(__xludf.DUMMYFUNCTION("""COMPUTED_VALUE"""),"")</f>
        <v/>
      </c>
      <c r="F141" s="15" t="str">
        <f>IFERROR(__xludf.DUMMYFUNCTION("""COMPUTED_VALUE"""),"")</f>
        <v/>
      </c>
      <c r="G141" s="17" t="str">
        <f>IFERROR(__xludf.DUMMYFUNCTION("""COMPUTED_VALUE"""),"")</f>
        <v/>
      </c>
      <c r="H141" s="4"/>
      <c r="I141" s="5" t="s">
        <v>3355</v>
      </c>
      <c r="J141" s="5" t="s">
        <v>3237</v>
      </c>
      <c r="K141" s="5">
        <v>2.0</v>
      </c>
      <c r="L141" s="5">
        <v>-0.170836</v>
      </c>
      <c r="M141" s="5">
        <v>-2.36E-4</v>
      </c>
      <c r="N141" s="5">
        <v>-0.171072</v>
      </c>
      <c r="O141" s="5">
        <v>0.001172</v>
      </c>
    </row>
    <row r="142">
      <c r="A142" s="18" t="str">
        <f>IFERROR(__xludf.DUMMYFUNCTION("""COMPUTED_VALUE"""),"")</f>
        <v/>
      </c>
      <c r="B142" s="19" t="str">
        <f>IFERROR(__xludf.DUMMYFUNCTION("""COMPUTED_VALUE"""),"")</f>
        <v/>
      </c>
      <c r="C142" s="20" t="str">
        <f>IFERROR(__xludf.DUMMYFUNCTION("""COMPUTED_VALUE"""),"")</f>
        <v/>
      </c>
      <c r="D142" s="21" t="str">
        <f>IFERROR(__xludf.DUMMYFUNCTION("""COMPUTED_VALUE"""),"")</f>
        <v/>
      </c>
      <c r="E142" s="21" t="str">
        <f>IFERROR(__xludf.DUMMYFUNCTION("""COMPUTED_VALUE"""),"")</f>
        <v/>
      </c>
      <c r="F142" s="21" t="str">
        <f>IFERROR(__xludf.DUMMYFUNCTION("""COMPUTED_VALUE"""),"")</f>
        <v/>
      </c>
      <c r="G142" s="23" t="str">
        <f>IFERROR(__xludf.DUMMYFUNCTION("""COMPUTED_VALUE"""),"")</f>
        <v/>
      </c>
      <c r="H142" s="4"/>
      <c r="I142" s="5" t="s">
        <v>3356</v>
      </c>
      <c r="J142" s="5" t="s">
        <v>3237</v>
      </c>
      <c r="K142" s="24">
        <v>7.0</v>
      </c>
      <c r="L142" s="5">
        <v>-0.27802</v>
      </c>
      <c r="M142" s="5">
        <v>0.104922</v>
      </c>
      <c r="N142" s="5">
        <v>-0.173098</v>
      </c>
      <c r="O142" s="5">
        <v>0.004561</v>
      </c>
    </row>
    <row r="143">
      <c r="A143" s="12" t="str">
        <f>IFERROR(__xludf.DUMMYFUNCTION("""COMPUTED_VALUE"""),"")</f>
        <v/>
      </c>
      <c r="B143" s="13" t="str">
        <f>IFERROR(__xludf.DUMMYFUNCTION("""COMPUTED_VALUE"""),"")</f>
        <v/>
      </c>
      <c r="C143" s="14" t="str">
        <f>IFERROR(__xludf.DUMMYFUNCTION("""COMPUTED_VALUE"""),"")</f>
        <v/>
      </c>
      <c r="D143" s="15" t="str">
        <f>IFERROR(__xludf.DUMMYFUNCTION("""COMPUTED_VALUE"""),"")</f>
        <v/>
      </c>
      <c r="E143" s="15" t="str">
        <f>IFERROR(__xludf.DUMMYFUNCTION("""COMPUTED_VALUE"""),"")</f>
        <v/>
      </c>
      <c r="F143" s="15" t="str">
        <f>IFERROR(__xludf.DUMMYFUNCTION("""COMPUTED_VALUE"""),"")</f>
        <v/>
      </c>
      <c r="G143" s="17" t="str">
        <f>IFERROR(__xludf.DUMMYFUNCTION("""COMPUTED_VALUE"""),"")</f>
        <v/>
      </c>
      <c r="H143" s="4"/>
      <c r="I143" s="5" t="s">
        <v>3357</v>
      </c>
      <c r="J143" s="5" t="s">
        <v>3210</v>
      </c>
      <c r="K143" s="5">
        <v>18.0</v>
      </c>
      <c r="L143" s="5">
        <v>0.106977</v>
      </c>
      <c r="M143" s="5">
        <v>-0.281848</v>
      </c>
      <c r="N143" s="5">
        <v>-0.174871</v>
      </c>
      <c r="O143" s="5">
        <v>0.009721</v>
      </c>
    </row>
    <row r="144">
      <c r="A144" s="18" t="str">
        <f>IFERROR(__xludf.DUMMYFUNCTION("""COMPUTED_VALUE"""),"")</f>
        <v/>
      </c>
      <c r="B144" s="19" t="str">
        <f>IFERROR(__xludf.DUMMYFUNCTION("""COMPUTED_VALUE"""),"")</f>
        <v/>
      </c>
      <c r="C144" s="20" t="str">
        <f>IFERROR(__xludf.DUMMYFUNCTION("""COMPUTED_VALUE"""),"")</f>
        <v/>
      </c>
      <c r="D144" s="21" t="str">
        <f>IFERROR(__xludf.DUMMYFUNCTION("""COMPUTED_VALUE"""),"")</f>
        <v/>
      </c>
      <c r="E144" s="21" t="str">
        <f>IFERROR(__xludf.DUMMYFUNCTION("""COMPUTED_VALUE"""),"")</f>
        <v/>
      </c>
      <c r="F144" s="21" t="str">
        <f>IFERROR(__xludf.DUMMYFUNCTION("""COMPUTED_VALUE"""),"")</f>
        <v/>
      </c>
      <c r="G144" s="23" t="str">
        <f>IFERROR(__xludf.DUMMYFUNCTION("""COMPUTED_VALUE"""),"")</f>
        <v/>
      </c>
      <c r="H144" s="4"/>
      <c r="I144" s="5" t="s">
        <v>964</v>
      </c>
      <c r="J144" s="5" t="s">
        <v>3226</v>
      </c>
      <c r="K144" s="5">
        <v>4.0</v>
      </c>
      <c r="L144" s="5">
        <v>-0.135464</v>
      </c>
      <c r="M144" s="5">
        <v>-0.045648</v>
      </c>
      <c r="N144" s="5">
        <v>-0.181112</v>
      </c>
      <c r="O144" s="5">
        <v>0.00222</v>
      </c>
    </row>
    <row r="145">
      <c r="A145" s="12" t="str">
        <f>IFERROR(__xludf.DUMMYFUNCTION("""COMPUTED_VALUE"""),"")</f>
        <v/>
      </c>
      <c r="B145" s="13" t="str">
        <f>IFERROR(__xludf.DUMMYFUNCTION("""COMPUTED_VALUE"""),"")</f>
        <v/>
      </c>
      <c r="C145" s="14" t="str">
        <f>IFERROR(__xludf.DUMMYFUNCTION("""COMPUTED_VALUE"""),"")</f>
        <v/>
      </c>
      <c r="D145" s="15" t="str">
        <f>IFERROR(__xludf.DUMMYFUNCTION("""COMPUTED_VALUE"""),"")</f>
        <v/>
      </c>
      <c r="E145" s="15" t="str">
        <f>IFERROR(__xludf.DUMMYFUNCTION("""COMPUTED_VALUE"""),"")</f>
        <v/>
      </c>
      <c r="F145" s="15" t="str">
        <f>IFERROR(__xludf.DUMMYFUNCTION("""COMPUTED_VALUE"""),"")</f>
        <v/>
      </c>
      <c r="G145" s="17" t="str">
        <f>IFERROR(__xludf.DUMMYFUNCTION("""COMPUTED_VALUE"""),"")</f>
        <v/>
      </c>
      <c r="H145" s="4"/>
      <c r="I145" s="5" t="s">
        <v>3358</v>
      </c>
      <c r="J145" s="5" t="s">
        <v>3240</v>
      </c>
      <c r="K145" s="5">
        <v>67.0</v>
      </c>
      <c r="L145" s="5">
        <v>0.02928</v>
      </c>
      <c r="M145" s="5">
        <v>-0.214644</v>
      </c>
      <c r="N145" s="5">
        <v>-0.185364</v>
      </c>
      <c r="O145" s="5">
        <v>0.036799</v>
      </c>
    </row>
    <row r="146">
      <c r="A146" s="18" t="str">
        <f>IFERROR(__xludf.DUMMYFUNCTION("""COMPUTED_VALUE"""),"")</f>
        <v/>
      </c>
      <c r="B146" s="19" t="str">
        <f>IFERROR(__xludf.DUMMYFUNCTION("""COMPUTED_VALUE"""),"")</f>
        <v/>
      </c>
      <c r="C146" s="20" t="str">
        <f>IFERROR(__xludf.DUMMYFUNCTION("""COMPUTED_VALUE"""),"")</f>
        <v/>
      </c>
      <c r="D146" s="21" t="str">
        <f>IFERROR(__xludf.DUMMYFUNCTION("""COMPUTED_VALUE"""),"")</f>
        <v/>
      </c>
      <c r="E146" s="21" t="str">
        <f>IFERROR(__xludf.DUMMYFUNCTION("""COMPUTED_VALUE"""),"")</f>
        <v/>
      </c>
      <c r="F146" s="21" t="str">
        <f>IFERROR(__xludf.DUMMYFUNCTION("""COMPUTED_VALUE"""),"")</f>
        <v/>
      </c>
      <c r="G146" s="23" t="str">
        <f>IFERROR(__xludf.DUMMYFUNCTION("""COMPUTED_VALUE"""),"")</f>
        <v/>
      </c>
      <c r="H146" s="4"/>
      <c r="I146" s="5" t="s">
        <v>3359</v>
      </c>
      <c r="J146" s="5" t="s">
        <v>3226</v>
      </c>
      <c r="K146" s="5">
        <v>4.0</v>
      </c>
      <c r="L146" s="5">
        <v>-0.200066</v>
      </c>
      <c r="M146" s="5">
        <v>0.009252</v>
      </c>
      <c r="N146" s="5">
        <v>-0.190814</v>
      </c>
      <c r="O146" s="5">
        <v>0.002098</v>
      </c>
    </row>
    <row r="147">
      <c r="A147" s="12" t="str">
        <f>IFERROR(__xludf.DUMMYFUNCTION("""COMPUTED_VALUE"""),"")</f>
        <v/>
      </c>
      <c r="B147" s="13" t="str">
        <f>IFERROR(__xludf.DUMMYFUNCTION("""COMPUTED_VALUE"""),"")</f>
        <v/>
      </c>
      <c r="C147" s="14" t="str">
        <f>IFERROR(__xludf.DUMMYFUNCTION("""COMPUTED_VALUE"""),"")</f>
        <v/>
      </c>
      <c r="D147" s="15" t="str">
        <f>IFERROR(__xludf.DUMMYFUNCTION("""COMPUTED_VALUE"""),"")</f>
        <v/>
      </c>
      <c r="E147" s="15" t="str">
        <f>IFERROR(__xludf.DUMMYFUNCTION("""COMPUTED_VALUE"""),"")</f>
        <v/>
      </c>
      <c r="F147" s="15" t="str">
        <f>IFERROR(__xludf.DUMMYFUNCTION("""COMPUTED_VALUE"""),"")</f>
        <v/>
      </c>
      <c r="G147" s="17" t="str">
        <f>IFERROR(__xludf.DUMMYFUNCTION("""COMPUTED_VALUE"""),"")</f>
        <v/>
      </c>
      <c r="H147" s="4"/>
      <c r="I147" s="5" t="s">
        <v>3360</v>
      </c>
      <c r="J147" s="5" t="s">
        <v>3210</v>
      </c>
      <c r="K147" s="5">
        <v>2.0</v>
      </c>
      <c r="L147" s="5">
        <v>-0.181339</v>
      </c>
      <c r="M147" s="5">
        <v>-0.010969</v>
      </c>
      <c r="N147" s="5">
        <v>-0.192308</v>
      </c>
      <c r="O147" s="5">
        <v>9.25E-4</v>
      </c>
    </row>
    <row r="148">
      <c r="A148" s="18" t="str">
        <f>IFERROR(__xludf.DUMMYFUNCTION("""COMPUTED_VALUE"""),"")</f>
        <v/>
      </c>
      <c r="B148" s="19" t="str">
        <f>IFERROR(__xludf.DUMMYFUNCTION("""COMPUTED_VALUE"""),"")</f>
        <v/>
      </c>
      <c r="C148" s="20" t="str">
        <f>IFERROR(__xludf.DUMMYFUNCTION("""COMPUTED_VALUE"""),"")</f>
        <v/>
      </c>
      <c r="D148" s="21" t="str">
        <f>IFERROR(__xludf.DUMMYFUNCTION("""COMPUTED_VALUE"""),"")</f>
        <v/>
      </c>
      <c r="E148" s="21" t="str">
        <f>IFERROR(__xludf.DUMMYFUNCTION("""COMPUTED_VALUE"""),"")</f>
        <v/>
      </c>
      <c r="F148" s="21" t="str">
        <f>IFERROR(__xludf.DUMMYFUNCTION("""COMPUTED_VALUE"""),"")</f>
        <v/>
      </c>
      <c r="G148" s="23" t="str">
        <f>IFERROR(__xludf.DUMMYFUNCTION("""COMPUTED_VALUE"""),"")</f>
        <v/>
      </c>
      <c r="H148" s="4"/>
      <c r="I148" s="5" t="s">
        <v>3361</v>
      </c>
      <c r="J148" s="5" t="s">
        <v>3281</v>
      </c>
      <c r="K148" s="5">
        <v>2.0</v>
      </c>
      <c r="L148" s="5">
        <v>-0.091056</v>
      </c>
      <c r="M148" s="5">
        <v>-0.113393</v>
      </c>
      <c r="N148" s="5">
        <v>-0.204448</v>
      </c>
      <c r="O148" s="5">
        <v>0.00115</v>
      </c>
    </row>
    <row r="149">
      <c r="A149" s="12" t="str">
        <f>IFERROR(__xludf.DUMMYFUNCTION("""COMPUTED_VALUE"""),"")</f>
        <v/>
      </c>
      <c r="B149" s="13" t="str">
        <f>IFERROR(__xludf.DUMMYFUNCTION("""COMPUTED_VALUE"""),"")</f>
        <v/>
      </c>
      <c r="C149" s="14" t="str">
        <f>IFERROR(__xludf.DUMMYFUNCTION("""COMPUTED_VALUE"""),"")</f>
        <v/>
      </c>
      <c r="D149" s="15" t="str">
        <f>IFERROR(__xludf.DUMMYFUNCTION("""COMPUTED_VALUE"""),"")</f>
        <v/>
      </c>
      <c r="E149" s="15" t="str">
        <f>IFERROR(__xludf.DUMMYFUNCTION("""COMPUTED_VALUE"""),"")</f>
        <v/>
      </c>
      <c r="F149" s="15" t="str">
        <f>IFERROR(__xludf.DUMMYFUNCTION("""COMPUTED_VALUE"""),"")</f>
        <v/>
      </c>
      <c r="G149" s="17" t="str">
        <f>IFERROR(__xludf.DUMMYFUNCTION("""COMPUTED_VALUE"""),"")</f>
        <v/>
      </c>
      <c r="H149" s="4"/>
      <c r="I149" s="5" t="s">
        <v>940</v>
      </c>
      <c r="J149" s="5" t="s">
        <v>3256</v>
      </c>
      <c r="K149" s="24">
        <v>114.0</v>
      </c>
      <c r="L149" s="5">
        <v>-1.372906</v>
      </c>
      <c r="M149" s="5">
        <v>1.162912</v>
      </c>
      <c r="N149" s="5">
        <v>-0.209994</v>
      </c>
      <c r="O149" s="5">
        <v>0.061771</v>
      </c>
    </row>
    <row r="150">
      <c r="A150" s="18" t="str">
        <f>IFERROR(__xludf.DUMMYFUNCTION("""COMPUTED_VALUE"""),"")</f>
        <v/>
      </c>
      <c r="B150" s="19" t="str">
        <f>IFERROR(__xludf.DUMMYFUNCTION("""COMPUTED_VALUE"""),"")</f>
        <v/>
      </c>
      <c r="C150" s="20" t="str">
        <f>IFERROR(__xludf.DUMMYFUNCTION("""COMPUTED_VALUE"""),"")</f>
        <v/>
      </c>
      <c r="D150" s="21" t="str">
        <f>IFERROR(__xludf.DUMMYFUNCTION("""COMPUTED_VALUE"""),"")</f>
        <v/>
      </c>
      <c r="E150" s="21" t="str">
        <f>IFERROR(__xludf.DUMMYFUNCTION("""COMPUTED_VALUE"""),"")</f>
        <v/>
      </c>
      <c r="F150" s="21" t="str">
        <f>IFERROR(__xludf.DUMMYFUNCTION("""COMPUTED_VALUE"""),"")</f>
        <v/>
      </c>
      <c r="G150" s="23" t="str">
        <f>IFERROR(__xludf.DUMMYFUNCTION("""COMPUTED_VALUE"""),"")</f>
        <v/>
      </c>
      <c r="H150" s="4"/>
      <c r="I150" s="5" t="s">
        <v>3362</v>
      </c>
      <c r="J150" s="5" t="s">
        <v>644</v>
      </c>
      <c r="K150" s="24">
        <v>3.0</v>
      </c>
      <c r="L150" s="5">
        <v>-0.16432</v>
      </c>
      <c r="M150" s="5">
        <v>-0.088385</v>
      </c>
      <c r="N150" s="5">
        <v>-0.252706</v>
      </c>
      <c r="O150" s="5">
        <v>0.001644</v>
      </c>
    </row>
    <row r="151">
      <c r="A151" s="12" t="str">
        <f>IFERROR(__xludf.DUMMYFUNCTION("""COMPUTED_VALUE"""),"")</f>
        <v/>
      </c>
      <c r="B151" s="13" t="str">
        <f>IFERROR(__xludf.DUMMYFUNCTION("""COMPUTED_VALUE"""),"")</f>
        <v/>
      </c>
      <c r="C151" s="14" t="str">
        <f>IFERROR(__xludf.DUMMYFUNCTION("""COMPUTED_VALUE"""),"")</f>
        <v/>
      </c>
      <c r="D151" s="15" t="str">
        <f>IFERROR(__xludf.DUMMYFUNCTION("""COMPUTED_VALUE"""),"")</f>
        <v/>
      </c>
      <c r="E151" s="15" t="str">
        <f>IFERROR(__xludf.DUMMYFUNCTION("""COMPUTED_VALUE"""),"")</f>
        <v/>
      </c>
      <c r="F151" s="15" t="str">
        <f>IFERROR(__xludf.DUMMYFUNCTION("""COMPUTED_VALUE"""),"")</f>
        <v/>
      </c>
      <c r="G151" s="17" t="str">
        <f>IFERROR(__xludf.DUMMYFUNCTION("""COMPUTED_VALUE"""),"")</f>
        <v/>
      </c>
      <c r="H151" s="4"/>
      <c r="I151" s="5" t="s">
        <v>3363</v>
      </c>
      <c r="J151" s="5" t="s">
        <v>3217</v>
      </c>
      <c r="K151" s="24">
        <v>8.0</v>
      </c>
      <c r="L151" s="5">
        <v>-0.039457</v>
      </c>
      <c r="M151" s="5">
        <v>-0.217761</v>
      </c>
      <c r="N151" s="5">
        <v>-0.257217</v>
      </c>
      <c r="O151" s="5">
        <v>0.004144</v>
      </c>
    </row>
    <row r="152">
      <c r="A152" s="18" t="str">
        <f>IFERROR(__xludf.DUMMYFUNCTION("""COMPUTED_VALUE"""),"")</f>
        <v/>
      </c>
      <c r="B152" s="19" t="str">
        <f>IFERROR(__xludf.DUMMYFUNCTION("""COMPUTED_VALUE"""),"")</f>
        <v/>
      </c>
      <c r="C152" s="20" t="str">
        <f>IFERROR(__xludf.DUMMYFUNCTION("""COMPUTED_VALUE"""),"")</f>
        <v/>
      </c>
      <c r="D152" s="21" t="str">
        <f>IFERROR(__xludf.DUMMYFUNCTION("""COMPUTED_VALUE"""),"")</f>
        <v/>
      </c>
      <c r="E152" s="21" t="str">
        <f>IFERROR(__xludf.DUMMYFUNCTION("""COMPUTED_VALUE"""),"")</f>
        <v/>
      </c>
      <c r="F152" s="21" t="str">
        <f>IFERROR(__xludf.DUMMYFUNCTION("""COMPUTED_VALUE"""),"")</f>
        <v/>
      </c>
      <c r="G152" s="23" t="str">
        <f>IFERROR(__xludf.DUMMYFUNCTION("""COMPUTED_VALUE"""),"")</f>
        <v/>
      </c>
      <c r="H152" s="4"/>
      <c r="I152" s="5" t="s">
        <v>3364</v>
      </c>
      <c r="J152" s="5" t="s">
        <v>3263</v>
      </c>
      <c r="K152" s="5">
        <v>11.0</v>
      </c>
      <c r="L152" s="5">
        <v>-0.258202</v>
      </c>
      <c r="M152" s="5">
        <v>5.83E-4</v>
      </c>
      <c r="N152" s="5">
        <v>-0.257619</v>
      </c>
      <c r="O152" s="5">
        <v>0.005865</v>
      </c>
    </row>
    <row r="153">
      <c r="A153" s="12" t="str">
        <f>IFERROR(__xludf.DUMMYFUNCTION("""COMPUTED_VALUE"""),"")</f>
        <v/>
      </c>
      <c r="B153" s="13" t="str">
        <f>IFERROR(__xludf.DUMMYFUNCTION("""COMPUTED_VALUE"""),"")</f>
        <v/>
      </c>
      <c r="C153" s="14" t="str">
        <f>IFERROR(__xludf.DUMMYFUNCTION("""COMPUTED_VALUE"""),"")</f>
        <v/>
      </c>
      <c r="D153" s="15" t="str">
        <f>IFERROR(__xludf.DUMMYFUNCTION("""COMPUTED_VALUE"""),"")</f>
        <v/>
      </c>
      <c r="E153" s="15" t="str">
        <f>IFERROR(__xludf.DUMMYFUNCTION("""COMPUTED_VALUE"""),"")</f>
        <v/>
      </c>
      <c r="F153" s="15" t="str">
        <f>IFERROR(__xludf.DUMMYFUNCTION("""COMPUTED_VALUE"""),"")</f>
        <v/>
      </c>
      <c r="G153" s="17" t="str">
        <f>IFERROR(__xludf.DUMMYFUNCTION("""COMPUTED_VALUE"""),"")</f>
        <v/>
      </c>
      <c r="H153" s="4"/>
      <c r="I153" s="5" t="s">
        <v>3365</v>
      </c>
      <c r="J153" s="5" t="s">
        <v>3220</v>
      </c>
      <c r="K153" s="24">
        <v>811.0</v>
      </c>
      <c r="L153" s="5">
        <v>-0.077698</v>
      </c>
      <c r="M153" s="5">
        <v>-0.202854</v>
      </c>
      <c r="N153" s="5">
        <v>-0.280552</v>
      </c>
      <c r="O153" s="5">
        <v>0.427995</v>
      </c>
    </row>
    <row r="154">
      <c r="A154" s="18" t="str">
        <f>IFERROR(__xludf.DUMMYFUNCTION("""COMPUTED_VALUE"""),"")</f>
        <v/>
      </c>
      <c r="B154" s="19" t="str">
        <f>IFERROR(__xludf.DUMMYFUNCTION("""COMPUTED_VALUE"""),"")</f>
        <v/>
      </c>
      <c r="C154" s="20" t="str">
        <f>IFERROR(__xludf.DUMMYFUNCTION("""COMPUTED_VALUE"""),"")</f>
        <v/>
      </c>
      <c r="D154" s="21" t="str">
        <f>IFERROR(__xludf.DUMMYFUNCTION("""COMPUTED_VALUE"""),"")</f>
        <v/>
      </c>
      <c r="E154" s="21" t="str">
        <f>IFERROR(__xludf.DUMMYFUNCTION("""COMPUTED_VALUE"""),"")</f>
        <v/>
      </c>
      <c r="F154" s="21" t="str">
        <f>IFERROR(__xludf.DUMMYFUNCTION("""COMPUTED_VALUE"""),"")</f>
        <v/>
      </c>
      <c r="G154" s="23" t="str">
        <f>IFERROR(__xludf.DUMMYFUNCTION("""COMPUTED_VALUE"""),"")</f>
        <v/>
      </c>
      <c r="H154" s="4"/>
      <c r="I154" s="5" t="s">
        <v>3366</v>
      </c>
      <c r="J154" s="5" t="s">
        <v>3278</v>
      </c>
      <c r="K154" s="5">
        <v>8.0</v>
      </c>
      <c r="L154" s="5">
        <v>-0.236755</v>
      </c>
      <c r="M154" s="5">
        <v>-0.048637</v>
      </c>
      <c r="N154" s="5">
        <v>-0.285392</v>
      </c>
      <c r="O154" s="5">
        <v>0.004039</v>
      </c>
    </row>
    <row r="155">
      <c r="A155" s="12" t="str">
        <f>IFERROR(__xludf.DUMMYFUNCTION("""COMPUTED_VALUE"""),"")</f>
        <v/>
      </c>
      <c r="B155" s="13" t="str">
        <f>IFERROR(__xludf.DUMMYFUNCTION("""COMPUTED_VALUE"""),"")</f>
        <v/>
      </c>
      <c r="C155" s="14" t="str">
        <f>IFERROR(__xludf.DUMMYFUNCTION("""COMPUTED_VALUE"""),"")</f>
        <v/>
      </c>
      <c r="D155" s="15" t="str">
        <f>IFERROR(__xludf.DUMMYFUNCTION("""COMPUTED_VALUE"""),"")</f>
        <v/>
      </c>
      <c r="E155" s="15" t="str">
        <f>IFERROR(__xludf.DUMMYFUNCTION("""COMPUTED_VALUE"""),"")</f>
        <v/>
      </c>
      <c r="F155" s="15" t="str">
        <f>IFERROR(__xludf.DUMMYFUNCTION("""COMPUTED_VALUE"""),"")</f>
        <v/>
      </c>
      <c r="G155" s="17" t="str">
        <f>IFERROR(__xludf.DUMMYFUNCTION("""COMPUTED_VALUE"""),"")</f>
        <v/>
      </c>
      <c r="H155" s="4"/>
      <c r="I155" s="5" t="s">
        <v>3130</v>
      </c>
      <c r="J155" s="5" t="s">
        <v>3212</v>
      </c>
      <c r="K155" s="5">
        <v>85.0</v>
      </c>
      <c r="L155" s="5">
        <v>-0.755871</v>
      </c>
      <c r="M155" s="5">
        <v>0.469907</v>
      </c>
      <c r="N155" s="5">
        <v>-0.285964</v>
      </c>
      <c r="O155" s="5">
        <v>0.044044</v>
      </c>
    </row>
    <row r="156">
      <c r="A156" s="18" t="str">
        <f>IFERROR(__xludf.DUMMYFUNCTION("""COMPUTED_VALUE"""),"")</f>
        <v/>
      </c>
      <c r="B156" s="19" t="str">
        <f>IFERROR(__xludf.DUMMYFUNCTION("""COMPUTED_VALUE"""),"")</f>
        <v/>
      </c>
      <c r="C156" s="20" t="str">
        <f>IFERROR(__xludf.DUMMYFUNCTION("""COMPUTED_VALUE"""),"")</f>
        <v/>
      </c>
      <c r="D156" s="21" t="str">
        <f>IFERROR(__xludf.DUMMYFUNCTION("""COMPUTED_VALUE"""),"")</f>
        <v/>
      </c>
      <c r="E156" s="21" t="str">
        <f>IFERROR(__xludf.DUMMYFUNCTION("""COMPUTED_VALUE"""),"")</f>
        <v/>
      </c>
      <c r="F156" s="21" t="str">
        <f>IFERROR(__xludf.DUMMYFUNCTION("""COMPUTED_VALUE"""),"")</f>
        <v/>
      </c>
      <c r="G156" s="23" t="str">
        <f>IFERROR(__xludf.DUMMYFUNCTION("""COMPUTED_VALUE"""),"")</f>
        <v/>
      </c>
      <c r="H156" s="4"/>
      <c r="I156" s="5" t="s">
        <v>3193</v>
      </c>
      <c r="J156" s="5" t="s">
        <v>3210</v>
      </c>
      <c r="K156" s="5">
        <v>457.0</v>
      </c>
      <c r="L156" s="5">
        <v>-0.047917</v>
      </c>
      <c r="M156" s="5">
        <v>-0.239113</v>
      </c>
      <c r="N156" s="5">
        <v>-0.28703</v>
      </c>
      <c r="O156" s="5">
        <v>0.235709</v>
      </c>
    </row>
    <row r="157">
      <c r="A157" s="12" t="str">
        <f>IFERROR(__xludf.DUMMYFUNCTION("""COMPUTED_VALUE"""),"")</f>
        <v/>
      </c>
      <c r="B157" s="13" t="str">
        <f>IFERROR(__xludf.DUMMYFUNCTION("""COMPUTED_VALUE"""),"")</f>
        <v/>
      </c>
      <c r="C157" s="14" t="str">
        <f>IFERROR(__xludf.DUMMYFUNCTION("""COMPUTED_VALUE"""),"")</f>
        <v/>
      </c>
      <c r="D157" s="15" t="str">
        <f>IFERROR(__xludf.DUMMYFUNCTION("""COMPUTED_VALUE"""),"")</f>
        <v/>
      </c>
      <c r="E157" s="15" t="str">
        <f>IFERROR(__xludf.DUMMYFUNCTION("""COMPUTED_VALUE"""),"")</f>
        <v/>
      </c>
      <c r="F157" s="15" t="str">
        <f>IFERROR(__xludf.DUMMYFUNCTION("""COMPUTED_VALUE"""),"")</f>
        <v/>
      </c>
      <c r="G157" s="17" t="str">
        <f>IFERROR(__xludf.DUMMYFUNCTION("""COMPUTED_VALUE"""),"")</f>
        <v/>
      </c>
      <c r="H157" s="4"/>
      <c r="I157" s="5" t="s">
        <v>3367</v>
      </c>
      <c r="J157" s="5" t="s">
        <v>3251</v>
      </c>
      <c r="K157" s="5">
        <v>11.0</v>
      </c>
      <c r="L157" s="5">
        <v>-0.24745</v>
      </c>
      <c r="M157" s="5">
        <v>-0.058857</v>
      </c>
      <c r="N157" s="5">
        <v>-0.306307</v>
      </c>
      <c r="O157" s="5">
        <v>0.005609</v>
      </c>
    </row>
    <row r="158">
      <c r="A158" s="18" t="str">
        <f>IFERROR(__xludf.DUMMYFUNCTION("""COMPUTED_VALUE"""),"")</f>
        <v/>
      </c>
      <c r="B158" s="19" t="str">
        <f>IFERROR(__xludf.DUMMYFUNCTION("""COMPUTED_VALUE"""),"")</f>
        <v/>
      </c>
      <c r="C158" s="20" t="str">
        <f>IFERROR(__xludf.DUMMYFUNCTION("""COMPUTED_VALUE"""),"")</f>
        <v/>
      </c>
      <c r="D158" s="21" t="str">
        <f>IFERROR(__xludf.DUMMYFUNCTION("""COMPUTED_VALUE"""),"")</f>
        <v/>
      </c>
      <c r="E158" s="21" t="str">
        <f>IFERROR(__xludf.DUMMYFUNCTION("""COMPUTED_VALUE"""),"")</f>
        <v/>
      </c>
      <c r="F158" s="21" t="str">
        <f>IFERROR(__xludf.DUMMYFUNCTION("""COMPUTED_VALUE"""),"")</f>
        <v/>
      </c>
      <c r="G158" s="23" t="str">
        <f>IFERROR(__xludf.DUMMYFUNCTION("""COMPUTED_VALUE"""),"")</f>
        <v/>
      </c>
      <c r="H158" s="4"/>
      <c r="I158" s="5" t="s">
        <v>3368</v>
      </c>
      <c r="J158" s="5" t="s">
        <v>2201</v>
      </c>
      <c r="K158" s="5">
        <v>415.0</v>
      </c>
      <c r="L158" s="5">
        <v>0.058384</v>
      </c>
      <c r="M158" s="5">
        <v>-0.369694</v>
      </c>
      <c r="N158" s="5">
        <v>-0.31131</v>
      </c>
      <c r="O158" s="5">
        <v>0.214031</v>
      </c>
    </row>
    <row r="159">
      <c r="A159" s="12" t="str">
        <f>IFERROR(__xludf.DUMMYFUNCTION("""COMPUTED_VALUE"""),"")</f>
        <v/>
      </c>
      <c r="B159" s="13" t="str">
        <f>IFERROR(__xludf.DUMMYFUNCTION("""COMPUTED_VALUE"""),"")</f>
        <v/>
      </c>
      <c r="C159" s="14" t="str">
        <f>IFERROR(__xludf.DUMMYFUNCTION("""COMPUTED_VALUE"""),"")</f>
        <v/>
      </c>
      <c r="D159" s="15" t="str">
        <f>IFERROR(__xludf.DUMMYFUNCTION("""COMPUTED_VALUE"""),"")</f>
        <v/>
      </c>
      <c r="E159" s="15" t="str">
        <f>IFERROR(__xludf.DUMMYFUNCTION("""COMPUTED_VALUE"""),"")</f>
        <v/>
      </c>
      <c r="F159" s="15" t="str">
        <f>IFERROR(__xludf.DUMMYFUNCTION("""COMPUTED_VALUE"""),"")</f>
        <v/>
      </c>
      <c r="G159" s="17" t="str">
        <f>IFERROR(__xludf.DUMMYFUNCTION("""COMPUTED_VALUE"""),"")</f>
        <v/>
      </c>
      <c r="H159" s="4"/>
      <c r="I159" s="5" t="s">
        <v>3079</v>
      </c>
      <c r="J159" s="5" t="s">
        <v>3223</v>
      </c>
      <c r="K159" s="5">
        <v>28.0</v>
      </c>
      <c r="L159" s="5">
        <v>-0.240873</v>
      </c>
      <c r="M159" s="5">
        <v>-0.100813</v>
      </c>
      <c r="N159" s="5">
        <v>-0.341686</v>
      </c>
      <c r="O159" s="5">
        <v>0.014112</v>
      </c>
    </row>
    <row r="160">
      <c r="A160" s="18" t="str">
        <f>IFERROR(__xludf.DUMMYFUNCTION("""COMPUTED_VALUE"""),"")</f>
        <v/>
      </c>
      <c r="B160" s="19" t="str">
        <f>IFERROR(__xludf.DUMMYFUNCTION("""COMPUTED_VALUE"""),"")</f>
        <v/>
      </c>
      <c r="C160" s="20" t="str">
        <f>IFERROR(__xludf.DUMMYFUNCTION("""COMPUTED_VALUE"""),"")</f>
        <v/>
      </c>
      <c r="D160" s="21" t="str">
        <f>IFERROR(__xludf.DUMMYFUNCTION("""COMPUTED_VALUE"""),"")</f>
        <v/>
      </c>
      <c r="E160" s="21" t="str">
        <f>IFERROR(__xludf.DUMMYFUNCTION("""COMPUTED_VALUE"""),"")</f>
        <v/>
      </c>
      <c r="F160" s="21" t="str">
        <f>IFERROR(__xludf.DUMMYFUNCTION("""COMPUTED_VALUE"""),"")</f>
        <v/>
      </c>
      <c r="G160" s="23" t="str">
        <f>IFERROR(__xludf.DUMMYFUNCTION("""COMPUTED_VALUE"""),"")</f>
        <v/>
      </c>
      <c r="H160" s="4"/>
      <c r="I160" s="5" t="s">
        <v>3369</v>
      </c>
      <c r="J160" s="5" t="s">
        <v>3331</v>
      </c>
      <c r="K160" s="24">
        <v>584.0</v>
      </c>
      <c r="L160" s="5">
        <v>1.210235</v>
      </c>
      <c r="M160" s="5">
        <v>-1.556802</v>
      </c>
      <c r="N160" s="5">
        <v>-0.346567</v>
      </c>
      <c r="O160" s="5">
        <v>0.293173</v>
      </c>
    </row>
    <row r="161">
      <c r="A161" s="12" t="str">
        <f>IFERROR(__xludf.DUMMYFUNCTION("""COMPUTED_VALUE"""),"")</f>
        <v/>
      </c>
      <c r="B161" s="13" t="str">
        <f>IFERROR(__xludf.DUMMYFUNCTION("""COMPUTED_VALUE"""),"")</f>
        <v/>
      </c>
      <c r="C161" s="14" t="str">
        <f>IFERROR(__xludf.DUMMYFUNCTION("""COMPUTED_VALUE"""),"")</f>
        <v/>
      </c>
      <c r="D161" s="15" t="str">
        <f>IFERROR(__xludf.DUMMYFUNCTION("""COMPUTED_VALUE"""),"")</f>
        <v/>
      </c>
      <c r="E161" s="15" t="str">
        <f>IFERROR(__xludf.DUMMYFUNCTION("""COMPUTED_VALUE"""),"")</f>
        <v/>
      </c>
      <c r="F161" s="15" t="str">
        <f>IFERROR(__xludf.DUMMYFUNCTION("""COMPUTED_VALUE"""),"")</f>
        <v/>
      </c>
      <c r="G161" s="17" t="str">
        <f>IFERROR(__xludf.DUMMYFUNCTION("""COMPUTED_VALUE"""),"")</f>
        <v/>
      </c>
      <c r="H161" s="4"/>
      <c r="I161" s="5" t="s">
        <v>3370</v>
      </c>
      <c r="J161" s="5" t="s">
        <v>644</v>
      </c>
      <c r="K161" s="5">
        <v>527.0</v>
      </c>
      <c r="L161" s="5">
        <v>2.778987</v>
      </c>
      <c r="M161" s="5">
        <v>-3.143447</v>
      </c>
      <c r="N161" s="5">
        <v>-0.364459</v>
      </c>
      <c r="O161" s="5">
        <v>0.261718</v>
      </c>
    </row>
    <row r="162">
      <c r="A162" s="18" t="str">
        <f>IFERROR(__xludf.DUMMYFUNCTION("""COMPUTED_VALUE"""),"")</f>
        <v/>
      </c>
      <c r="B162" s="19" t="str">
        <f>IFERROR(__xludf.DUMMYFUNCTION("""COMPUTED_VALUE"""),"")</f>
        <v/>
      </c>
      <c r="C162" s="20" t="str">
        <f>IFERROR(__xludf.DUMMYFUNCTION("""COMPUTED_VALUE"""),"")</f>
        <v/>
      </c>
      <c r="D162" s="21" t="str">
        <f>IFERROR(__xludf.DUMMYFUNCTION("""COMPUTED_VALUE"""),"")</f>
        <v/>
      </c>
      <c r="E162" s="21" t="str">
        <f>IFERROR(__xludf.DUMMYFUNCTION("""COMPUTED_VALUE"""),"")</f>
        <v/>
      </c>
      <c r="F162" s="21" t="str">
        <f>IFERROR(__xludf.DUMMYFUNCTION("""COMPUTED_VALUE"""),"")</f>
        <v/>
      </c>
      <c r="G162" s="23" t="str">
        <f>IFERROR(__xludf.DUMMYFUNCTION("""COMPUTED_VALUE"""),"")</f>
        <v/>
      </c>
      <c r="H162" s="4"/>
      <c r="I162" s="5" t="s">
        <v>3371</v>
      </c>
      <c r="J162" s="5" t="s">
        <v>3237</v>
      </c>
      <c r="K162" s="24">
        <v>9.0</v>
      </c>
      <c r="L162" s="5">
        <v>0.088565</v>
      </c>
      <c r="M162" s="5">
        <v>-0.460218</v>
      </c>
      <c r="N162" s="5">
        <v>-0.371652</v>
      </c>
      <c r="O162" s="5">
        <v>0.004834</v>
      </c>
    </row>
    <row r="163">
      <c r="A163" s="12" t="str">
        <f>IFERROR(__xludf.DUMMYFUNCTION("""COMPUTED_VALUE"""),"")</f>
        <v/>
      </c>
      <c r="B163" s="13" t="str">
        <f>IFERROR(__xludf.DUMMYFUNCTION("""COMPUTED_VALUE"""),"")</f>
        <v/>
      </c>
      <c r="C163" s="14" t="str">
        <f>IFERROR(__xludf.DUMMYFUNCTION("""COMPUTED_VALUE"""),"")</f>
        <v/>
      </c>
      <c r="D163" s="15" t="str">
        <f>IFERROR(__xludf.DUMMYFUNCTION("""COMPUTED_VALUE"""),"")</f>
        <v/>
      </c>
      <c r="E163" s="15" t="str">
        <f>IFERROR(__xludf.DUMMYFUNCTION("""COMPUTED_VALUE"""),"")</f>
        <v/>
      </c>
      <c r="F163" s="15" t="str">
        <f>IFERROR(__xludf.DUMMYFUNCTION("""COMPUTED_VALUE"""),"")</f>
        <v/>
      </c>
      <c r="G163" s="17" t="str">
        <f>IFERROR(__xludf.DUMMYFUNCTION("""COMPUTED_VALUE"""),"")</f>
        <v/>
      </c>
      <c r="H163" s="4"/>
      <c r="I163" s="5" t="s">
        <v>3372</v>
      </c>
      <c r="J163" s="5" t="s">
        <v>3240</v>
      </c>
      <c r="K163" s="5">
        <v>73.0</v>
      </c>
      <c r="L163" s="5">
        <v>-0.806155</v>
      </c>
      <c r="M163" s="5">
        <v>0.427757</v>
      </c>
      <c r="N163" s="5">
        <v>-0.378399</v>
      </c>
      <c r="O163" s="5">
        <v>0.036247</v>
      </c>
    </row>
    <row r="164">
      <c r="A164" s="18" t="str">
        <f>IFERROR(__xludf.DUMMYFUNCTION("""COMPUTED_VALUE"""),"")</f>
        <v/>
      </c>
      <c r="B164" s="19" t="str">
        <f>IFERROR(__xludf.DUMMYFUNCTION("""COMPUTED_VALUE"""),"")</f>
        <v/>
      </c>
      <c r="C164" s="20" t="str">
        <f>IFERROR(__xludf.DUMMYFUNCTION("""COMPUTED_VALUE"""),"")</f>
        <v/>
      </c>
      <c r="D164" s="21" t="str">
        <f>IFERROR(__xludf.DUMMYFUNCTION("""COMPUTED_VALUE"""),"")</f>
        <v/>
      </c>
      <c r="E164" s="21" t="str">
        <f>IFERROR(__xludf.DUMMYFUNCTION("""COMPUTED_VALUE"""),"")</f>
        <v/>
      </c>
      <c r="F164" s="21" t="str">
        <f>IFERROR(__xludf.DUMMYFUNCTION("""COMPUTED_VALUE"""),"")</f>
        <v/>
      </c>
      <c r="G164" s="23" t="str">
        <f>IFERROR(__xludf.DUMMYFUNCTION("""COMPUTED_VALUE"""),"")</f>
        <v/>
      </c>
      <c r="H164" s="4"/>
      <c r="I164" s="5" t="s">
        <v>3373</v>
      </c>
      <c r="J164" s="5" t="s">
        <v>3283</v>
      </c>
      <c r="K164" s="24">
        <v>5.0</v>
      </c>
      <c r="L164" s="5">
        <v>-0.276599</v>
      </c>
      <c r="M164" s="5">
        <v>-0.123603</v>
      </c>
      <c r="N164" s="5">
        <v>-0.400202</v>
      </c>
      <c r="O164" s="5">
        <v>0.002187</v>
      </c>
    </row>
    <row r="165">
      <c r="A165" s="12" t="str">
        <f>IFERROR(__xludf.DUMMYFUNCTION("""COMPUTED_VALUE"""),"")</f>
        <v/>
      </c>
      <c r="B165" s="13" t="str">
        <f>IFERROR(__xludf.DUMMYFUNCTION("""COMPUTED_VALUE"""),"")</f>
        <v/>
      </c>
      <c r="C165" s="14" t="str">
        <f>IFERROR(__xludf.DUMMYFUNCTION("""COMPUTED_VALUE"""),"")</f>
        <v/>
      </c>
      <c r="D165" s="15" t="str">
        <f>IFERROR(__xludf.DUMMYFUNCTION("""COMPUTED_VALUE"""),"")</f>
        <v/>
      </c>
      <c r="E165" s="15" t="str">
        <f>IFERROR(__xludf.DUMMYFUNCTION("""COMPUTED_VALUE"""),"")</f>
        <v/>
      </c>
      <c r="F165" s="15" t="str">
        <f>IFERROR(__xludf.DUMMYFUNCTION("""COMPUTED_VALUE"""),"")</f>
        <v/>
      </c>
      <c r="G165" s="17" t="str">
        <f>IFERROR(__xludf.DUMMYFUNCTION("""COMPUTED_VALUE"""),"")</f>
        <v/>
      </c>
      <c r="H165" s="4"/>
      <c r="I165" s="5" t="s">
        <v>3374</v>
      </c>
      <c r="J165" s="5" t="s">
        <v>2838</v>
      </c>
      <c r="K165" s="5">
        <v>10.0</v>
      </c>
      <c r="L165" s="5">
        <v>-0.343351</v>
      </c>
      <c r="M165" s="5">
        <v>-0.078729</v>
      </c>
      <c r="N165" s="5">
        <v>-0.42208</v>
      </c>
      <c r="O165" s="5">
        <v>0.004538</v>
      </c>
    </row>
    <row r="166">
      <c r="A166" s="18" t="str">
        <f>IFERROR(__xludf.DUMMYFUNCTION("""COMPUTED_VALUE"""),"")</f>
        <v/>
      </c>
      <c r="B166" s="19" t="str">
        <f>IFERROR(__xludf.DUMMYFUNCTION("""COMPUTED_VALUE"""),"")</f>
        <v/>
      </c>
      <c r="C166" s="20" t="str">
        <f>IFERROR(__xludf.DUMMYFUNCTION("""COMPUTED_VALUE"""),"")</f>
        <v/>
      </c>
      <c r="D166" s="21" t="str">
        <f>IFERROR(__xludf.DUMMYFUNCTION("""COMPUTED_VALUE"""),"")</f>
        <v/>
      </c>
      <c r="E166" s="21" t="str">
        <f>IFERROR(__xludf.DUMMYFUNCTION("""COMPUTED_VALUE"""),"")</f>
        <v/>
      </c>
      <c r="F166" s="21" t="str">
        <f>IFERROR(__xludf.DUMMYFUNCTION("""COMPUTED_VALUE"""),"")</f>
        <v/>
      </c>
      <c r="G166" s="23" t="str">
        <f>IFERROR(__xludf.DUMMYFUNCTION("""COMPUTED_VALUE"""),"")</f>
        <v/>
      </c>
      <c r="H166" s="4"/>
      <c r="I166" s="5" t="s">
        <v>3375</v>
      </c>
      <c r="J166" s="5" t="s">
        <v>3203</v>
      </c>
      <c r="K166" s="5">
        <v>650.0</v>
      </c>
      <c r="L166" s="5">
        <v>0.803708</v>
      </c>
      <c r="M166" s="5">
        <v>-1.242739</v>
      </c>
      <c r="N166" s="5">
        <v>-0.43903</v>
      </c>
      <c r="O166" s="5">
        <v>0.307868</v>
      </c>
    </row>
    <row r="167">
      <c r="A167" s="12" t="str">
        <f>IFERROR(__xludf.DUMMYFUNCTION("""COMPUTED_VALUE"""),"")</f>
        <v/>
      </c>
      <c r="B167" s="13" t="str">
        <f>IFERROR(__xludf.DUMMYFUNCTION("""COMPUTED_VALUE"""),"")</f>
        <v/>
      </c>
      <c r="C167" s="14" t="str">
        <f>IFERROR(__xludf.DUMMYFUNCTION("""COMPUTED_VALUE"""),"")</f>
        <v/>
      </c>
      <c r="D167" s="15" t="str">
        <f>IFERROR(__xludf.DUMMYFUNCTION("""COMPUTED_VALUE"""),"")</f>
        <v/>
      </c>
      <c r="E167" s="15" t="str">
        <f>IFERROR(__xludf.DUMMYFUNCTION("""COMPUTED_VALUE"""),"")</f>
        <v/>
      </c>
      <c r="F167" s="15" t="str">
        <f>IFERROR(__xludf.DUMMYFUNCTION("""COMPUTED_VALUE"""),"")</f>
        <v/>
      </c>
      <c r="G167" s="17" t="str">
        <f>IFERROR(__xludf.DUMMYFUNCTION("""COMPUTED_VALUE"""),"")</f>
        <v/>
      </c>
      <c r="H167" s="4"/>
      <c r="I167" s="5" t="s">
        <v>3376</v>
      </c>
      <c r="J167" s="5" t="s">
        <v>644</v>
      </c>
      <c r="K167" s="5">
        <v>3.0</v>
      </c>
      <c r="L167" s="5">
        <v>-0.317082</v>
      </c>
      <c r="M167" s="5">
        <v>-0.125032</v>
      </c>
      <c r="N167" s="5">
        <v>-0.442114</v>
      </c>
      <c r="O167" s="5">
        <v>0.001182</v>
      </c>
    </row>
    <row r="168">
      <c r="A168" s="18" t="str">
        <f>IFERROR(__xludf.DUMMYFUNCTION("""COMPUTED_VALUE"""),"")</f>
        <v/>
      </c>
      <c r="B168" s="19" t="str">
        <f>IFERROR(__xludf.DUMMYFUNCTION("""COMPUTED_VALUE"""),"")</f>
        <v/>
      </c>
      <c r="C168" s="20" t="str">
        <f>IFERROR(__xludf.DUMMYFUNCTION("""COMPUTED_VALUE"""),"")</f>
        <v/>
      </c>
      <c r="D168" s="21" t="str">
        <f>IFERROR(__xludf.DUMMYFUNCTION("""COMPUTED_VALUE"""),"")</f>
        <v/>
      </c>
      <c r="E168" s="21" t="str">
        <f>IFERROR(__xludf.DUMMYFUNCTION("""COMPUTED_VALUE"""),"")</f>
        <v/>
      </c>
      <c r="F168" s="21" t="str">
        <f>IFERROR(__xludf.DUMMYFUNCTION("""COMPUTED_VALUE"""),"")</f>
        <v/>
      </c>
      <c r="G168" s="23" t="str">
        <f>IFERROR(__xludf.DUMMYFUNCTION("""COMPUTED_VALUE"""),"")</f>
        <v/>
      </c>
      <c r="H168" s="4"/>
      <c r="I168" s="5" t="s">
        <v>3377</v>
      </c>
      <c r="J168" s="5" t="s">
        <v>3223</v>
      </c>
      <c r="K168" s="5">
        <v>10.0</v>
      </c>
      <c r="L168" s="5">
        <v>-0.485909</v>
      </c>
      <c r="M168" s="5">
        <v>0.020034</v>
      </c>
      <c r="N168" s="5">
        <v>-0.465875</v>
      </c>
      <c r="O168" s="5">
        <v>0.004662</v>
      </c>
    </row>
    <row r="169">
      <c r="A169" s="12" t="str">
        <f>IFERROR(__xludf.DUMMYFUNCTION("""COMPUTED_VALUE"""),"")</f>
        <v/>
      </c>
      <c r="B169" s="13" t="str">
        <f>IFERROR(__xludf.DUMMYFUNCTION("""COMPUTED_VALUE"""),"")</f>
        <v/>
      </c>
      <c r="C169" s="14" t="str">
        <f>IFERROR(__xludf.DUMMYFUNCTION("""COMPUTED_VALUE"""),"")</f>
        <v/>
      </c>
      <c r="D169" s="15" t="str">
        <f>IFERROR(__xludf.DUMMYFUNCTION("""COMPUTED_VALUE"""),"")</f>
        <v/>
      </c>
      <c r="E169" s="15" t="str">
        <f>IFERROR(__xludf.DUMMYFUNCTION("""COMPUTED_VALUE"""),"")</f>
        <v/>
      </c>
      <c r="F169" s="15" t="str">
        <f>IFERROR(__xludf.DUMMYFUNCTION("""COMPUTED_VALUE"""),"")</f>
        <v/>
      </c>
      <c r="G169" s="17" t="str">
        <f>IFERROR(__xludf.DUMMYFUNCTION("""COMPUTED_VALUE"""),"")</f>
        <v/>
      </c>
      <c r="H169" s="4"/>
      <c r="I169" s="5" t="s">
        <v>3378</v>
      </c>
      <c r="J169" s="5" t="s">
        <v>3210</v>
      </c>
      <c r="K169" s="5">
        <v>84.0</v>
      </c>
      <c r="L169" s="5">
        <v>-0.678753</v>
      </c>
      <c r="M169" s="5">
        <v>0.150786</v>
      </c>
      <c r="N169" s="5">
        <v>-0.527967</v>
      </c>
      <c r="O169" s="5">
        <v>0.037295</v>
      </c>
    </row>
    <row r="170">
      <c r="A170" s="18" t="str">
        <f>IFERROR(__xludf.DUMMYFUNCTION("""COMPUTED_VALUE"""),"")</f>
        <v/>
      </c>
      <c r="B170" s="19" t="str">
        <f>IFERROR(__xludf.DUMMYFUNCTION("""COMPUTED_VALUE"""),"")</f>
        <v/>
      </c>
      <c r="C170" s="20" t="str">
        <f>IFERROR(__xludf.DUMMYFUNCTION("""COMPUTED_VALUE"""),"")</f>
        <v/>
      </c>
      <c r="D170" s="21" t="str">
        <f>IFERROR(__xludf.DUMMYFUNCTION("""COMPUTED_VALUE"""),"")</f>
        <v/>
      </c>
      <c r="E170" s="21" t="str">
        <f>IFERROR(__xludf.DUMMYFUNCTION("""COMPUTED_VALUE"""),"")</f>
        <v/>
      </c>
      <c r="F170" s="21" t="str">
        <f>IFERROR(__xludf.DUMMYFUNCTION("""COMPUTED_VALUE"""),"")</f>
        <v/>
      </c>
      <c r="G170" s="23" t="str">
        <f>IFERROR(__xludf.DUMMYFUNCTION("""COMPUTED_VALUE"""),"")</f>
        <v/>
      </c>
      <c r="H170" s="4"/>
      <c r="I170" s="5" t="s">
        <v>3379</v>
      </c>
      <c r="J170" s="5" t="s">
        <v>3240</v>
      </c>
      <c r="K170" s="5">
        <v>16.0</v>
      </c>
      <c r="L170" s="5">
        <v>-0.671469</v>
      </c>
      <c r="M170" s="5">
        <v>0.116782</v>
      </c>
      <c r="N170" s="5">
        <v>-0.554687</v>
      </c>
      <c r="O170" s="5">
        <v>0.006964</v>
      </c>
    </row>
    <row r="171">
      <c r="A171" s="12" t="str">
        <f>IFERROR(__xludf.DUMMYFUNCTION("""COMPUTED_VALUE"""),"")</f>
        <v/>
      </c>
      <c r="B171" s="13" t="str">
        <f>IFERROR(__xludf.DUMMYFUNCTION("""COMPUTED_VALUE"""),"")</f>
        <v/>
      </c>
      <c r="C171" s="14" t="str">
        <f>IFERROR(__xludf.DUMMYFUNCTION("""COMPUTED_VALUE"""),"")</f>
        <v/>
      </c>
      <c r="D171" s="15" t="str">
        <f>IFERROR(__xludf.DUMMYFUNCTION("""COMPUTED_VALUE"""),"")</f>
        <v/>
      </c>
      <c r="E171" s="15" t="str">
        <f>IFERROR(__xludf.DUMMYFUNCTION("""COMPUTED_VALUE"""),"")</f>
        <v/>
      </c>
      <c r="F171" s="15" t="str">
        <f>IFERROR(__xludf.DUMMYFUNCTION("""COMPUTED_VALUE"""),"")</f>
        <v/>
      </c>
      <c r="G171" s="17" t="str">
        <f>IFERROR(__xludf.DUMMYFUNCTION("""COMPUTED_VALUE"""),"")</f>
        <v/>
      </c>
      <c r="H171" s="4"/>
      <c r="I171" s="5" t="s">
        <v>3380</v>
      </c>
      <c r="J171" s="5" t="s">
        <v>3226</v>
      </c>
      <c r="K171" s="5">
        <v>425.0</v>
      </c>
      <c r="L171" s="5">
        <v>-2.975299</v>
      </c>
      <c r="M171" s="5">
        <v>2.392324</v>
      </c>
      <c r="N171" s="5">
        <v>-0.582976</v>
      </c>
      <c r="O171" s="5">
        <v>0.183592</v>
      </c>
    </row>
    <row r="172">
      <c r="A172" s="18" t="str">
        <f>IFERROR(__xludf.DUMMYFUNCTION("""COMPUTED_VALUE"""),"")</f>
        <v/>
      </c>
      <c r="B172" s="19" t="str">
        <f>IFERROR(__xludf.DUMMYFUNCTION("""COMPUTED_VALUE"""),"")</f>
        <v/>
      </c>
      <c r="C172" s="20" t="str">
        <f>IFERROR(__xludf.DUMMYFUNCTION("""COMPUTED_VALUE"""),"")</f>
        <v/>
      </c>
      <c r="D172" s="21" t="str">
        <f>IFERROR(__xludf.DUMMYFUNCTION("""COMPUTED_VALUE"""),"")</f>
        <v/>
      </c>
      <c r="E172" s="21" t="str">
        <f>IFERROR(__xludf.DUMMYFUNCTION("""COMPUTED_VALUE"""),"")</f>
        <v/>
      </c>
      <c r="F172" s="21" t="str">
        <f>IFERROR(__xludf.DUMMYFUNCTION("""COMPUTED_VALUE"""),"")</f>
        <v/>
      </c>
      <c r="G172" s="23" t="str">
        <f>IFERROR(__xludf.DUMMYFUNCTION("""COMPUTED_VALUE"""),"")</f>
        <v/>
      </c>
      <c r="H172" s="4"/>
      <c r="I172" s="5" t="s">
        <v>3381</v>
      </c>
      <c r="J172" s="5" t="s">
        <v>3281</v>
      </c>
      <c r="K172" s="5">
        <v>380.0</v>
      </c>
      <c r="L172" s="5">
        <v>-1.179694</v>
      </c>
      <c r="M172" s="5">
        <v>0.572275</v>
      </c>
      <c r="N172" s="5">
        <v>-0.607419</v>
      </c>
      <c r="O172" s="5">
        <v>0.161517</v>
      </c>
    </row>
    <row r="173">
      <c r="A173" s="12" t="str">
        <f>IFERROR(__xludf.DUMMYFUNCTION("""COMPUTED_VALUE"""),"")</f>
        <v/>
      </c>
      <c r="B173" s="13" t="str">
        <f>IFERROR(__xludf.DUMMYFUNCTION("""COMPUTED_VALUE"""),"")</f>
        <v/>
      </c>
      <c r="C173" s="14" t="str">
        <f>IFERROR(__xludf.DUMMYFUNCTION("""COMPUTED_VALUE"""),"")</f>
        <v/>
      </c>
      <c r="D173" s="15" t="str">
        <f>IFERROR(__xludf.DUMMYFUNCTION("""COMPUTED_VALUE"""),"")</f>
        <v/>
      </c>
      <c r="E173" s="15" t="str">
        <f>IFERROR(__xludf.DUMMYFUNCTION("""COMPUTED_VALUE"""),"")</f>
        <v/>
      </c>
      <c r="F173" s="15" t="str">
        <f>IFERROR(__xludf.DUMMYFUNCTION("""COMPUTED_VALUE"""),"")</f>
        <v/>
      </c>
      <c r="G173" s="17" t="str">
        <f>IFERROR(__xludf.DUMMYFUNCTION("""COMPUTED_VALUE"""),"")</f>
        <v/>
      </c>
      <c r="H173" s="4"/>
      <c r="I173" s="5" t="s">
        <v>3382</v>
      </c>
      <c r="J173" s="5" t="s">
        <v>3217</v>
      </c>
      <c r="K173" s="5">
        <v>29.0</v>
      </c>
      <c r="L173" s="5">
        <v>-0.435694</v>
      </c>
      <c r="M173" s="5">
        <v>-0.175182</v>
      </c>
      <c r="N173" s="5">
        <v>-0.610877</v>
      </c>
      <c r="O173" s="5">
        <v>0.012082</v>
      </c>
    </row>
    <row r="174">
      <c r="A174" s="18" t="str">
        <f>IFERROR(__xludf.DUMMYFUNCTION("""COMPUTED_VALUE"""),"")</f>
        <v/>
      </c>
      <c r="B174" s="19" t="str">
        <f>IFERROR(__xludf.DUMMYFUNCTION("""COMPUTED_VALUE"""),"")</f>
        <v/>
      </c>
      <c r="C174" s="20" t="str">
        <f>IFERROR(__xludf.DUMMYFUNCTION("""COMPUTED_VALUE"""),"")</f>
        <v/>
      </c>
      <c r="D174" s="21" t="str">
        <f>IFERROR(__xludf.DUMMYFUNCTION("""COMPUTED_VALUE"""),"")</f>
        <v/>
      </c>
      <c r="E174" s="21" t="str">
        <f>IFERROR(__xludf.DUMMYFUNCTION("""COMPUTED_VALUE"""),"")</f>
        <v/>
      </c>
      <c r="F174" s="21" t="str">
        <f>IFERROR(__xludf.DUMMYFUNCTION("""COMPUTED_VALUE"""),"")</f>
        <v/>
      </c>
      <c r="G174" s="23" t="str">
        <f>IFERROR(__xludf.DUMMYFUNCTION("""COMPUTED_VALUE"""),"")</f>
        <v/>
      </c>
      <c r="H174" s="4"/>
      <c r="I174" s="5" t="s">
        <v>3383</v>
      </c>
      <c r="J174" s="5" t="s">
        <v>3281</v>
      </c>
      <c r="K174" s="5">
        <v>373.0</v>
      </c>
      <c r="L174" s="5">
        <v>-0.621654</v>
      </c>
      <c r="M174" s="5">
        <v>0.007196</v>
      </c>
      <c r="N174" s="5">
        <v>-0.614458</v>
      </c>
      <c r="O174" s="5">
        <v>0.157406</v>
      </c>
    </row>
    <row r="175">
      <c r="A175" s="12" t="str">
        <f>IFERROR(__xludf.DUMMYFUNCTION("""COMPUTED_VALUE"""),"")</f>
        <v/>
      </c>
      <c r="B175" s="13" t="str">
        <f>IFERROR(__xludf.DUMMYFUNCTION("""COMPUTED_VALUE"""),"")</f>
        <v/>
      </c>
      <c r="C175" s="14" t="str">
        <f>IFERROR(__xludf.DUMMYFUNCTION("""COMPUTED_VALUE"""),"")</f>
        <v/>
      </c>
      <c r="D175" s="15" t="str">
        <f>IFERROR(__xludf.DUMMYFUNCTION("""COMPUTED_VALUE"""),"")</f>
        <v/>
      </c>
      <c r="E175" s="15" t="str">
        <f>IFERROR(__xludf.DUMMYFUNCTION("""COMPUTED_VALUE"""),"")</f>
        <v/>
      </c>
      <c r="F175" s="15" t="str">
        <f>IFERROR(__xludf.DUMMYFUNCTION("""COMPUTED_VALUE"""),"")</f>
        <v/>
      </c>
      <c r="G175" s="17" t="str">
        <f>IFERROR(__xludf.DUMMYFUNCTION("""COMPUTED_VALUE"""),"")</f>
        <v/>
      </c>
      <c r="H175" s="4"/>
      <c r="I175" s="5" t="s">
        <v>3384</v>
      </c>
      <c r="J175" s="5" t="s">
        <v>3220</v>
      </c>
      <c r="K175" s="24">
        <v>43.0</v>
      </c>
      <c r="L175" s="5">
        <v>0.00717</v>
      </c>
      <c r="M175" s="5">
        <v>-0.62762</v>
      </c>
      <c r="N175" s="5">
        <v>-0.62045</v>
      </c>
      <c r="O175" s="5">
        <v>0.018211</v>
      </c>
    </row>
    <row r="176">
      <c r="A176" s="18" t="str">
        <f>IFERROR(__xludf.DUMMYFUNCTION("""COMPUTED_VALUE"""),"")</f>
        <v/>
      </c>
      <c r="B176" s="19" t="str">
        <f>IFERROR(__xludf.DUMMYFUNCTION("""COMPUTED_VALUE"""),"")</f>
        <v/>
      </c>
      <c r="C176" s="20" t="str">
        <f>IFERROR(__xludf.DUMMYFUNCTION("""COMPUTED_VALUE"""),"")</f>
        <v/>
      </c>
      <c r="D176" s="21" t="str">
        <f>IFERROR(__xludf.DUMMYFUNCTION("""COMPUTED_VALUE"""),"")</f>
        <v/>
      </c>
      <c r="E176" s="21" t="str">
        <f>IFERROR(__xludf.DUMMYFUNCTION("""COMPUTED_VALUE"""),"")</f>
        <v/>
      </c>
      <c r="F176" s="21" t="str">
        <f>IFERROR(__xludf.DUMMYFUNCTION("""COMPUTED_VALUE"""),"")</f>
        <v/>
      </c>
      <c r="G176" s="23" t="str">
        <f>IFERROR(__xludf.DUMMYFUNCTION("""COMPUTED_VALUE"""),"")</f>
        <v/>
      </c>
      <c r="H176" s="4"/>
      <c r="I176" s="5" t="s">
        <v>3385</v>
      </c>
      <c r="J176" s="5" t="s">
        <v>3203</v>
      </c>
      <c r="K176" s="5">
        <v>17.0</v>
      </c>
      <c r="L176" s="5">
        <v>-0.45183</v>
      </c>
      <c r="M176" s="5">
        <v>-0.207793</v>
      </c>
      <c r="N176" s="5">
        <v>-0.659623</v>
      </c>
      <c r="O176" s="5">
        <v>0.006747</v>
      </c>
    </row>
    <row r="177">
      <c r="A177" s="12" t="str">
        <f>IFERROR(__xludf.DUMMYFUNCTION("""COMPUTED_VALUE"""),"")</f>
        <v/>
      </c>
      <c r="B177" s="13" t="str">
        <f>IFERROR(__xludf.DUMMYFUNCTION("""COMPUTED_VALUE"""),"")</f>
        <v/>
      </c>
      <c r="C177" s="14" t="str">
        <f>IFERROR(__xludf.DUMMYFUNCTION("""COMPUTED_VALUE"""),"")</f>
        <v/>
      </c>
      <c r="D177" s="15" t="str">
        <f>IFERROR(__xludf.DUMMYFUNCTION("""COMPUTED_VALUE"""),"")</f>
        <v/>
      </c>
      <c r="E177" s="15" t="str">
        <f>IFERROR(__xludf.DUMMYFUNCTION("""COMPUTED_VALUE"""),"")</f>
        <v/>
      </c>
      <c r="F177" s="15" t="str">
        <f>IFERROR(__xludf.DUMMYFUNCTION("""COMPUTED_VALUE"""),"")</f>
        <v/>
      </c>
      <c r="G177" s="17" t="str">
        <f>IFERROR(__xludf.DUMMYFUNCTION("""COMPUTED_VALUE"""),"")</f>
        <v/>
      </c>
      <c r="H177" s="4"/>
      <c r="I177" s="5" t="s">
        <v>3386</v>
      </c>
      <c r="J177" s="5" t="s">
        <v>3226</v>
      </c>
      <c r="K177" s="24">
        <v>53.0</v>
      </c>
      <c r="L177" s="5">
        <v>-1.124436</v>
      </c>
      <c r="M177" s="5">
        <v>0.457689</v>
      </c>
      <c r="N177" s="5">
        <v>-0.666747</v>
      </c>
      <c r="O177" s="5">
        <v>0.02148</v>
      </c>
    </row>
    <row r="178">
      <c r="A178" s="18" t="str">
        <f>IFERROR(__xludf.DUMMYFUNCTION("""COMPUTED_VALUE"""),"")</f>
        <v/>
      </c>
      <c r="B178" s="19" t="str">
        <f>IFERROR(__xludf.DUMMYFUNCTION("""COMPUTED_VALUE"""),"")</f>
        <v/>
      </c>
      <c r="C178" s="20" t="str">
        <f>IFERROR(__xludf.DUMMYFUNCTION("""COMPUTED_VALUE"""),"")</f>
        <v/>
      </c>
      <c r="D178" s="21" t="str">
        <f>IFERROR(__xludf.DUMMYFUNCTION("""COMPUTED_VALUE"""),"")</f>
        <v/>
      </c>
      <c r="E178" s="21" t="str">
        <f>IFERROR(__xludf.DUMMYFUNCTION("""COMPUTED_VALUE"""),"")</f>
        <v/>
      </c>
      <c r="F178" s="21" t="str">
        <f>IFERROR(__xludf.DUMMYFUNCTION("""COMPUTED_VALUE"""),"")</f>
        <v/>
      </c>
      <c r="G178" s="23" t="str">
        <f>IFERROR(__xludf.DUMMYFUNCTION("""COMPUTED_VALUE"""),"")</f>
        <v/>
      </c>
      <c r="H178" s="4"/>
      <c r="I178" s="5" t="s">
        <v>3387</v>
      </c>
      <c r="J178" s="5" t="s">
        <v>3278</v>
      </c>
      <c r="K178" s="5">
        <v>267.0</v>
      </c>
      <c r="L178" s="5">
        <v>0.792143</v>
      </c>
      <c r="M178" s="5">
        <v>-1.464885</v>
      </c>
      <c r="N178" s="5">
        <v>-0.672742</v>
      </c>
      <c r="O178" s="5">
        <v>0.106939</v>
      </c>
    </row>
    <row r="179">
      <c r="A179" s="12" t="str">
        <f>IFERROR(__xludf.DUMMYFUNCTION("""COMPUTED_VALUE"""),"")</f>
        <v/>
      </c>
      <c r="B179" s="13" t="str">
        <f>IFERROR(__xludf.DUMMYFUNCTION("""COMPUTED_VALUE"""),"")</f>
        <v/>
      </c>
      <c r="C179" s="14" t="str">
        <f>IFERROR(__xludf.DUMMYFUNCTION("""COMPUTED_VALUE"""),"")</f>
        <v/>
      </c>
      <c r="D179" s="15" t="str">
        <f>IFERROR(__xludf.DUMMYFUNCTION("""COMPUTED_VALUE"""),"")</f>
        <v/>
      </c>
      <c r="E179" s="15" t="str">
        <f>IFERROR(__xludf.DUMMYFUNCTION("""COMPUTED_VALUE"""),"")</f>
        <v/>
      </c>
      <c r="F179" s="15" t="str">
        <f>IFERROR(__xludf.DUMMYFUNCTION("""COMPUTED_VALUE"""),"")</f>
        <v/>
      </c>
      <c r="G179" s="17" t="str">
        <f>IFERROR(__xludf.DUMMYFUNCTION("""COMPUTED_VALUE"""),"")</f>
        <v/>
      </c>
      <c r="H179" s="4"/>
      <c r="I179" s="5" t="s">
        <v>3388</v>
      </c>
      <c r="J179" s="5" t="s">
        <v>644</v>
      </c>
      <c r="K179" s="5">
        <v>253.0</v>
      </c>
      <c r="L179" s="5">
        <v>-1.658229</v>
      </c>
      <c r="M179" s="5">
        <v>0.976332</v>
      </c>
      <c r="N179" s="5">
        <v>-0.681897</v>
      </c>
      <c r="O179" s="5">
        <v>0.101239</v>
      </c>
    </row>
    <row r="180">
      <c r="A180" s="18" t="str">
        <f>IFERROR(__xludf.DUMMYFUNCTION("""COMPUTED_VALUE"""),"")</f>
        <v/>
      </c>
      <c r="B180" s="19" t="str">
        <f>IFERROR(__xludf.DUMMYFUNCTION("""COMPUTED_VALUE"""),"")</f>
        <v/>
      </c>
      <c r="C180" s="20" t="str">
        <f>IFERROR(__xludf.DUMMYFUNCTION("""COMPUTED_VALUE"""),"")</f>
        <v/>
      </c>
      <c r="D180" s="21" t="str">
        <f>IFERROR(__xludf.DUMMYFUNCTION("""COMPUTED_VALUE"""),"")</f>
        <v/>
      </c>
      <c r="E180" s="21" t="str">
        <f>IFERROR(__xludf.DUMMYFUNCTION("""COMPUTED_VALUE"""),"")</f>
        <v/>
      </c>
      <c r="F180" s="21" t="str">
        <f>IFERROR(__xludf.DUMMYFUNCTION("""COMPUTED_VALUE"""),"")</f>
        <v/>
      </c>
      <c r="G180" s="23" t="str">
        <f>IFERROR(__xludf.DUMMYFUNCTION("""COMPUTED_VALUE"""),"")</f>
        <v/>
      </c>
      <c r="H180" s="4"/>
      <c r="I180" s="5" t="s">
        <v>3389</v>
      </c>
      <c r="J180" s="5" t="s">
        <v>3240</v>
      </c>
      <c r="K180" s="5">
        <v>682.0</v>
      </c>
      <c r="L180" s="5">
        <v>0.445729</v>
      </c>
      <c r="M180" s="5">
        <v>-1.132658</v>
      </c>
      <c r="N180" s="5">
        <v>-0.686929</v>
      </c>
      <c r="O180" s="5">
        <v>0.273201</v>
      </c>
    </row>
    <row r="181">
      <c r="A181" s="12" t="str">
        <f>IFERROR(__xludf.DUMMYFUNCTION("""COMPUTED_VALUE"""),"")</f>
        <v/>
      </c>
      <c r="B181" s="13" t="str">
        <f>IFERROR(__xludf.DUMMYFUNCTION("""COMPUTED_VALUE"""),"")</f>
        <v/>
      </c>
      <c r="C181" s="14" t="str">
        <f>IFERROR(__xludf.DUMMYFUNCTION("""COMPUTED_VALUE"""),"")</f>
        <v/>
      </c>
      <c r="D181" s="15" t="str">
        <f>IFERROR(__xludf.DUMMYFUNCTION("""COMPUTED_VALUE"""),"")</f>
        <v/>
      </c>
      <c r="E181" s="15" t="str">
        <f>IFERROR(__xludf.DUMMYFUNCTION("""COMPUTED_VALUE"""),"")</f>
        <v/>
      </c>
      <c r="F181" s="15" t="str">
        <f>IFERROR(__xludf.DUMMYFUNCTION("""COMPUTED_VALUE"""),"")</f>
        <v/>
      </c>
      <c r="G181" s="17" t="str">
        <f>IFERROR(__xludf.DUMMYFUNCTION("""COMPUTED_VALUE"""),"")</f>
        <v/>
      </c>
      <c r="H181" s="4"/>
      <c r="I181" s="5" t="s">
        <v>3390</v>
      </c>
      <c r="J181" s="5" t="s">
        <v>3283</v>
      </c>
      <c r="K181" s="5">
        <v>15.0</v>
      </c>
      <c r="L181" s="5">
        <v>-0.470273</v>
      </c>
      <c r="M181" s="5">
        <v>-0.239655</v>
      </c>
      <c r="N181" s="5">
        <v>-0.709928</v>
      </c>
      <c r="O181" s="5">
        <v>0.005801</v>
      </c>
    </row>
    <row r="182">
      <c r="A182" s="18" t="str">
        <f>IFERROR(__xludf.DUMMYFUNCTION("""COMPUTED_VALUE"""),"")</f>
        <v/>
      </c>
      <c r="B182" s="19" t="str">
        <f>IFERROR(__xludf.DUMMYFUNCTION("""COMPUTED_VALUE"""),"")</f>
        <v/>
      </c>
      <c r="C182" s="20" t="str">
        <f>IFERROR(__xludf.DUMMYFUNCTION("""COMPUTED_VALUE"""),"")</f>
        <v/>
      </c>
      <c r="D182" s="21" t="str">
        <f>IFERROR(__xludf.DUMMYFUNCTION("""COMPUTED_VALUE"""),"")</f>
        <v/>
      </c>
      <c r="E182" s="21" t="str">
        <f>IFERROR(__xludf.DUMMYFUNCTION("""COMPUTED_VALUE"""),"")</f>
        <v/>
      </c>
      <c r="F182" s="21" t="str">
        <f>IFERROR(__xludf.DUMMYFUNCTION("""COMPUTED_VALUE"""),"")</f>
        <v/>
      </c>
      <c r="G182" s="23" t="str">
        <f>IFERROR(__xludf.DUMMYFUNCTION("""COMPUTED_VALUE"""),"")</f>
        <v/>
      </c>
      <c r="H182" s="4"/>
      <c r="I182" s="5" t="s">
        <v>3391</v>
      </c>
      <c r="J182" s="5" t="s">
        <v>3256</v>
      </c>
      <c r="K182" s="5">
        <v>81.0</v>
      </c>
      <c r="L182" s="5">
        <v>-0.770181</v>
      </c>
      <c r="M182" s="5">
        <v>0.043169</v>
      </c>
      <c r="N182" s="5">
        <v>-0.727012</v>
      </c>
      <c r="O182" s="5">
        <v>0.031218</v>
      </c>
    </row>
    <row r="183">
      <c r="A183" s="12" t="str">
        <f>IFERROR(__xludf.DUMMYFUNCTION("""COMPUTED_VALUE"""),"")</f>
        <v/>
      </c>
      <c r="B183" s="13" t="str">
        <f>IFERROR(__xludf.DUMMYFUNCTION("""COMPUTED_VALUE"""),"")</f>
        <v/>
      </c>
      <c r="C183" s="14" t="str">
        <f>IFERROR(__xludf.DUMMYFUNCTION("""COMPUTED_VALUE"""),"")</f>
        <v/>
      </c>
      <c r="D183" s="15" t="str">
        <f>IFERROR(__xludf.DUMMYFUNCTION("""COMPUTED_VALUE"""),"")</f>
        <v/>
      </c>
      <c r="E183" s="15" t="str">
        <f>IFERROR(__xludf.DUMMYFUNCTION("""COMPUTED_VALUE"""),"")</f>
        <v/>
      </c>
      <c r="F183" s="15" t="str">
        <f>IFERROR(__xludf.DUMMYFUNCTION("""COMPUTED_VALUE"""),"")</f>
        <v/>
      </c>
      <c r="G183" s="17" t="str">
        <f>IFERROR(__xludf.DUMMYFUNCTION("""COMPUTED_VALUE"""),"")</f>
        <v/>
      </c>
      <c r="H183" s="4"/>
      <c r="I183" s="5" t="s">
        <v>3392</v>
      </c>
      <c r="J183" s="5" t="s">
        <v>3205</v>
      </c>
      <c r="K183" s="5">
        <v>621.0</v>
      </c>
      <c r="L183" s="5">
        <v>-0.669208</v>
      </c>
      <c r="M183" s="5">
        <v>-0.058883</v>
      </c>
      <c r="N183" s="5">
        <v>-0.728091</v>
      </c>
      <c r="O183" s="5">
        <v>0.239726</v>
      </c>
    </row>
    <row r="184">
      <c r="A184" s="18" t="str">
        <f>IFERROR(__xludf.DUMMYFUNCTION("""COMPUTED_VALUE"""),"")</f>
        <v/>
      </c>
      <c r="B184" s="19" t="str">
        <f>IFERROR(__xludf.DUMMYFUNCTION("""COMPUTED_VALUE"""),"")</f>
        <v/>
      </c>
      <c r="C184" s="20" t="str">
        <f>IFERROR(__xludf.DUMMYFUNCTION("""COMPUTED_VALUE"""),"")</f>
        <v/>
      </c>
      <c r="D184" s="21" t="str">
        <f>IFERROR(__xludf.DUMMYFUNCTION("""COMPUTED_VALUE"""),"")</f>
        <v/>
      </c>
      <c r="E184" s="21" t="str">
        <f>IFERROR(__xludf.DUMMYFUNCTION("""COMPUTED_VALUE"""),"")</f>
        <v/>
      </c>
      <c r="F184" s="21" t="str">
        <f>IFERROR(__xludf.DUMMYFUNCTION("""COMPUTED_VALUE"""),"")</f>
        <v/>
      </c>
      <c r="G184" s="23" t="str">
        <f>IFERROR(__xludf.DUMMYFUNCTION("""COMPUTED_VALUE"""),"")</f>
        <v/>
      </c>
      <c r="H184" s="4"/>
      <c r="I184" s="5" t="s">
        <v>3393</v>
      </c>
      <c r="J184" s="5" t="s">
        <v>3281</v>
      </c>
      <c r="K184" s="5">
        <v>87.0</v>
      </c>
      <c r="L184" s="5">
        <v>-1.159717</v>
      </c>
      <c r="M184" s="5">
        <v>0.423817</v>
      </c>
      <c r="N184" s="5">
        <v>-0.735899</v>
      </c>
      <c r="O184" s="5">
        <v>0.033609</v>
      </c>
    </row>
    <row r="185">
      <c r="A185" s="12" t="str">
        <f>IFERROR(__xludf.DUMMYFUNCTION("""COMPUTED_VALUE"""),"")</f>
        <v/>
      </c>
      <c r="B185" s="13" t="str">
        <f>IFERROR(__xludf.DUMMYFUNCTION("""COMPUTED_VALUE"""),"")</f>
        <v/>
      </c>
      <c r="C185" s="14" t="str">
        <f>IFERROR(__xludf.DUMMYFUNCTION("""COMPUTED_VALUE"""),"")</f>
        <v/>
      </c>
      <c r="D185" s="15" t="str">
        <f>IFERROR(__xludf.DUMMYFUNCTION("""COMPUTED_VALUE"""),"")</f>
        <v/>
      </c>
      <c r="E185" s="15" t="str">
        <f>IFERROR(__xludf.DUMMYFUNCTION("""COMPUTED_VALUE"""),"")</f>
        <v/>
      </c>
      <c r="F185" s="15" t="str">
        <f>IFERROR(__xludf.DUMMYFUNCTION("""COMPUTED_VALUE"""),"")</f>
        <v/>
      </c>
      <c r="G185" s="17" t="str">
        <f>IFERROR(__xludf.DUMMYFUNCTION("""COMPUTED_VALUE"""),"")</f>
        <v/>
      </c>
      <c r="H185" s="4"/>
      <c r="I185" s="5" t="s">
        <v>3394</v>
      </c>
      <c r="J185" s="5" t="s">
        <v>3278</v>
      </c>
      <c r="K185" s="24">
        <v>20.0</v>
      </c>
      <c r="L185" s="5">
        <v>-0.905808</v>
      </c>
      <c r="M185" s="5">
        <v>0.163242</v>
      </c>
      <c r="N185" s="5">
        <v>-0.742566</v>
      </c>
      <c r="O185" s="5">
        <v>0.007405</v>
      </c>
    </row>
    <row r="186">
      <c r="A186" s="18" t="str">
        <f>IFERROR(__xludf.DUMMYFUNCTION("""COMPUTED_VALUE"""),"")</f>
        <v/>
      </c>
      <c r="B186" s="19" t="str">
        <f>IFERROR(__xludf.DUMMYFUNCTION("""COMPUTED_VALUE"""),"")</f>
        <v/>
      </c>
      <c r="C186" s="20" t="str">
        <f>IFERROR(__xludf.DUMMYFUNCTION("""COMPUTED_VALUE"""),"")</f>
        <v/>
      </c>
      <c r="D186" s="21" t="str">
        <f>IFERROR(__xludf.DUMMYFUNCTION("""COMPUTED_VALUE"""),"")</f>
        <v/>
      </c>
      <c r="E186" s="21" t="str">
        <f>IFERROR(__xludf.DUMMYFUNCTION("""COMPUTED_VALUE"""),"")</f>
        <v/>
      </c>
      <c r="F186" s="21" t="str">
        <f>IFERROR(__xludf.DUMMYFUNCTION("""COMPUTED_VALUE"""),"")</f>
        <v/>
      </c>
      <c r="G186" s="23" t="str">
        <f>IFERROR(__xludf.DUMMYFUNCTION("""COMPUTED_VALUE"""),"")</f>
        <v/>
      </c>
      <c r="H186" s="4"/>
      <c r="I186" s="5" t="s">
        <v>3395</v>
      </c>
      <c r="J186" s="5" t="s">
        <v>3233</v>
      </c>
      <c r="K186" s="5">
        <v>84.0</v>
      </c>
      <c r="L186" s="5">
        <v>0.266053</v>
      </c>
      <c r="M186" s="5">
        <v>-1.014186</v>
      </c>
      <c r="N186" s="5">
        <v>-0.748133</v>
      </c>
      <c r="O186" s="5">
        <v>0.031226</v>
      </c>
    </row>
    <row r="187">
      <c r="A187" s="12" t="str">
        <f>IFERROR(__xludf.DUMMYFUNCTION("""COMPUTED_VALUE"""),"")</f>
        <v/>
      </c>
      <c r="B187" s="13" t="str">
        <f>IFERROR(__xludf.DUMMYFUNCTION("""COMPUTED_VALUE"""),"")</f>
        <v/>
      </c>
      <c r="C187" s="14" t="str">
        <f>IFERROR(__xludf.DUMMYFUNCTION("""COMPUTED_VALUE"""),"")</f>
        <v/>
      </c>
      <c r="D187" s="15" t="str">
        <f>IFERROR(__xludf.DUMMYFUNCTION("""COMPUTED_VALUE"""),"")</f>
        <v/>
      </c>
      <c r="E187" s="15" t="str">
        <f>IFERROR(__xludf.DUMMYFUNCTION("""COMPUTED_VALUE"""),"")</f>
        <v/>
      </c>
      <c r="F187" s="15" t="str">
        <f>IFERROR(__xludf.DUMMYFUNCTION("""COMPUTED_VALUE"""),"")</f>
        <v/>
      </c>
      <c r="G187" s="17" t="str">
        <f>IFERROR(__xludf.DUMMYFUNCTION("""COMPUTED_VALUE"""),"")</f>
        <v/>
      </c>
      <c r="H187" s="4"/>
      <c r="I187" s="5" t="s">
        <v>945</v>
      </c>
      <c r="J187" s="5" t="s">
        <v>3226</v>
      </c>
      <c r="K187" s="5">
        <v>68.0</v>
      </c>
      <c r="L187" s="5">
        <v>-0.892872</v>
      </c>
      <c r="M187" s="5">
        <v>0.119832</v>
      </c>
      <c r="N187" s="5">
        <v>-0.773039</v>
      </c>
      <c r="O187" s="5">
        <v>0.025346</v>
      </c>
    </row>
    <row r="188">
      <c r="A188" s="18" t="str">
        <f>IFERROR(__xludf.DUMMYFUNCTION("""COMPUTED_VALUE"""),"")</f>
        <v/>
      </c>
      <c r="B188" s="19" t="str">
        <f>IFERROR(__xludf.DUMMYFUNCTION("""COMPUTED_VALUE"""),"")</f>
        <v/>
      </c>
      <c r="C188" s="20" t="str">
        <f>IFERROR(__xludf.DUMMYFUNCTION("""COMPUTED_VALUE"""),"")</f>
        <v/>
      </c>
      <c r="D188" s="21" t="str">
        <f>IFERROR(__xludf.DUMMYFUNCTION("""COMPUTED_VALUE"""),"")</f>
        <v/>
      </c>
      <c r="E188" s="21" t="str">
        <f>IFERROR(__xludf.DUMMYFUNCTION("""COMPUTED_VALUE"""),"")</f>
        <v/>
      </c>
      <c r="F188" s="21" t="str">
        <f>IFERROR(__xludf.DUMMYFUNCTION("""COMPUTED_VALUE"""),"")</f>
        <v/>
      </c>
      <c r="G188" s="23" t="str">
        <f>IFERROR(__xludf.DUMMYFUNCTION("""COMPUTED_VALUE"""),"")</f>
        <v/>
      </c>
      <c r="H188" s="4"/>
      <c r="I188" s="5" t="s">
        <v>1202</v>
      </c>
      <c r="J188" s="5" t="s">
        <v>3263</v>
      </c>
      <c r="K188" s="5">
        <v>31.0</v>
      </c>
      <c r="L188" s="5">
        <v>-0.773589</v>
      </c>
      <c r="M188" s="5">
        <v>-0.003118</v>
      </c>
      <c r="N188" s="5">
        <v>-0.776707</v>
      </c>
      <c r="O188" s="5">
        <v>0.011398</v>
      </c>
    </row>
    <row r="189">
      <c r="A189" s="12" t="str">
        <f>IFERROR(__xludf.DUMMYFUNCTION("""COMPUTED_VALUE"""),"")</f>
        <v/>
      </c>
      <c r="B189" s="13" t="str">
        <f>IFERROR(__xludf.DUMMYFUNCTION("""COMPUTED_VALUE"""),"")</f>
        <v/>
      </c>
      <c r="C189" s="14" t="str">
        <f>IFERROR(__xludf.DUMMYFUNCTION("""COMPUTED_VALUE"""),"")</f>
        <v/>
      </c>
      <c r="D189" s="15" t="str">
        <f>IFERROR(__xludf.DUMMYFUNCTION("""COMPUTED_VALUE"""),"")</f>
        <v/>
      </c>
      <c r="E189" s="15" t="str">
        <f>IFERROR(__xludf.DUMMYFUNCTION("""COMPUTED_VALUE"""),"")</f>
        <v/>
      </c>
      <c r="F189" s="15" t="str">
        <f>IFERROR(__xludf.DUMMYFUNCTION("""COMPUTED_VALUE"""),"")</f>
        <v/>
      </c>
      <c r="G189" s="17" t="str">
        <f>IFERROR(__xludf.DUMMYFUNCTION("""COMPUTED_VALUE"""),"")</f>
        <v/>
      </c>
      <c r="H189" s="4"/>
      <c r="I189" s="5" t="s">
        <v>3396</v>
      </c>
      <c r="J189" s="5" t="s">
        <v>3240</v>
      </c>
      <c r="K189" s="5">
        <v>21.0</v>
      </c>
      <c r="L189" s="5">
        <v>-0.653261</v>
      </c>
      <c r="M189" s="5">
        <v>-0.149143</v>
      </c>
      <c r="N189" s="5">
        <v>-0.802404</v>
      </c>
      <c r="O189" s="5">
        <v>0.007487</v>
      </c>
    </row>
    <row r="190">
      <c r="A190" s="18" t="str">
        <f>IFERROR(__xludf.DUMMYFUNCTION("""COMPUTED_VALUE"""),"")</f>
        <v/>
      </c>
      <c r="B190" s="19" t="str">
        <f>IFERROR(__xludf.DUMMYFUNCTION("""COMPUTED_VALUE"""),"")</f>
        <v/>
      </c>
      <c r="C190" s="20" t="str">
        <f>IFERROR(__xludf.DUMMYFUNCTION("""COMPUTED_VALUE"""),"")</f>
        <v/>
      </c>
      <c r="D190" s="21" t="str">
        <f>IFERROR(__xludf.DUMMYFUNCTION("""COMPUTED_VALUE"""),"")</f>
        <v/>
      </c>
      <c r="E190" s="21" t="str">
        <f>IFERROR(__xludf.DUMMYFUNCTION("""COMPUTED_VALUE"""),"")</f>
        <v/>
      </c>
      <c r="F190" s="21" t="str">
        <f>IFERROR(__xludf.DUMMYFUNCTION("""COMPUTED_VALUE"""),"")</f>
        <v/>
      </c>
      <c r="G190" s="23" t="str">
        <f>IFERROR(__xludf.DUMMYFUNCTION("""COMPUTED_VALUE"""),"")</f>
        <v/>
      </c>
      <c r="H190" s="4"/>
      <c r="I190" s="5" t="s">
        <v>3397</v>
      </c>
      <c r="J190" s="5" t="s">
        <v>3237</v>
      </c>
      <c r="K190" s="5">
        <v>909.0</v>
      </c>
      <c r="L190" s="5">
        <v>-0.035343</v>
      </c>
      <c r="M190" s="5">
        <v>-0.813236</v>
      </c>
      <c r="N190" s="5">
        <v>-0.848578</v>
      </c>
      <c r="O190" s="5">
        <v>0.353117</v>
      </c>
    </row>
    <row r="191">
      <c r="A191" s="12" t="str">
        <f>IFERROR(__xludf.DUMMYFUNCTION("""COMPUTED_VALUE"""),"")</f>
        <v/>
      </c>
      <c r="B191" s="13" t="str">
        <f>IFERROR(__xludf.DUMMYFUNCTION("""COMPUTED_VALUE"""),"")</f>
        <v/>
      </c>
      <c r="C191" s="14" t="str">
        <f>IFERROR(__xludf.DUMMYFUNCTION("""COMPUTED_VALUE"""),"")</f>
        <v/>
      </c>
      <c r="D191" s="15" t="str">
        <f>IFERROR(__xludf.DUMMYFUNCTION("""COMPUTED_VALUE"""),"")</f>
        <v/>
      </c>
      <c r="E191" s="15" t="str">
        <f>IFERROR(__xludf.DUMMYFUNCTION("""COMPUTED_VALUE"""),"")</f>
        <v/>
      </c>
      <c r="F191" s="15" t="str">
        <f>IFERROR(__xludf.DUMMYFUNCTION("""COMPUTED_VALUE"""),"")</f>
        <v/>
      </c>
      <c r="G191" s="17" t="str">
        <f>IFERROR(__xludf.DUMMYFUNCTION("""COMPUTED_VALUE"""),"")</f>
        <v/>
      </c>
      <c r="H191" s="4"/>
      <c r="I191" s="5" t="s">
        <v>3398</v>
      </c>
      <c r="J191" s="5" t="s">
        <v>3240</v>
      </c>
      <c r="K191" s="5">
        <v>83.0</v>
      </c>
      <c r="L191" s="5">
        <v>-1.075652</v>
      </c>
      <c r="M191" s="5">
        <v>0.209736</v>
      </c>
      <c r="N191" s="5">
        <v>-0.865916</v>
      </c>
      <c r="O191" s="5">
        <v>0.028635</v>
      </c>
    </row>
    <row r="192">
      <c r="A192" s="18" t="str">
        <f>IFERROR(__xludf.DUMMYFUNCTION("""COMPUTED_VALUE"""),"")</f>
        <v/>
      </c>
      <c r="B192" s="19" t="str">
        <f>IFERROR(__xludf.DUMMYFUNCTION("""COMPUTED_VALUE"""),"")</f>
        <v/>
      </c>
      <c r="C192" s="20" t="str">
        <f>IFERROR(__xludf.DUMMYFUNCTION("""COMPUTED_VALUE"""),"")</f>
        <v/>
      </c>
      <c r="D192" s="21" t="str">
        <f>IFERROR(__xludf.DUMMYFUNCTION("""COMPUTED_VALUE"""),"")</f>
        <v/>
      </c>
      <c r="E192" s="21" t="str">
        <f>IFERROR(__xludf.DUMMYFUNCTION("""COMPUTED_VALUE"""),"")</f>
        <v/>
      </c>
      <c r="F192" s="21" t="str">
        <f>IFERROR(__xludf.DUMMYFUNCTION("""COMPUTED_VALUE"""),"")</f>
        <v/>
      </c>
      <c r="G192" s="23" t="str">
        <f>IFERROR(__xludf.DUMMYFUNCTION("""COMPUTED_VALUE"""),"")</f>
        <v/>
      </c>
      <c r="H192" s="4"/>
      <c r="I192" s="5" t="s">
        <v>3399</v>
      </c>
      <c r="J192" s="5" t="s">
        <v>3205</v>
      </c>
      <c r="K192" s="5">
        <v>65.0</v>
      </c>
      <c r="L192" s="5">
        <v>-0.342678</v>
      </c>
      <c r="M192" s="5">
        <v>-0.539997</v>
      </c>
      <c r="N192" s="5">
        <v>-0.882675</v>
      </c>
      <c r="O192" s="5">
        <v>0.02213</v>
      </c>
    </row>
    <row r="193">
      <c r="A193" s="12" t="str">
        <f>IFERROR(__xludf.DUMMYFUNCTION("""COMPUTED_VALUE"""),"")</f>
        <v/>
      </c>
      <c r="B193" s="13" t="str">
        <f>IFERROR(__xludf.DUMMYFUNCTION("""COMPUTED_VALUE"""),"")</f>
        <v/>
      </c>
      <c r="C193" s="14" t="str">
        <f>IFERROR(__xludf.DUMMYFUNCTION("""COMPUTED_VALUE"""),"")</f>
        <v/>
      </c>
      <c r="D193" s="15" t="str">
        <f>IFERROR(__xludf.DUMMYFUNCTION("""COMPUTED_VALUE"""),"")</f>
        <v/>
      </c>
      <c r="E193" s="15" t="str">
        <f>IFERROR(__xludf.DUMMYFUNCTION("""COMPUTED_VALUE"""),"")</f>
        <v/>
      </c>
      <c r="F193" s="15" t="str">
        <f>IFERROR(__xludf.DUMMYFUNCTION("""COMPUTED_VALUE"""),"")</f>
        <v/>
      </c>
      <c r="G193" s="17" t="str">
        <f>IFERROR(__xludf.DUMMYFUNCTION("""COMPUTED_VALUE"""),"")</f>
        <v/>
      </c>
      <c r="H193" s="4"/>
      <c r="I193" s="5" t="s">
        <v>3400</v>
      </c>
      <c r="J193" s="5" t="s">
        <v>3212</v>
      </c>
      <c r="K193" s="5">
        <v>162.0</v>
      </c>
      <c r="L193" s="5">
        <v>-2.121096</v>
      </c>
      <c r="M193" s="5">
        <v>1.234322</v>
      </c>
      <c r="N193" s="5">
        <v>-0.886774</v>
      </c>
      <c r="O193" s="5">
        <v>0.054607</v>
      </c>
    </row>
    <row r="194">
      <c r="A194" s="18" t="str">
        <f>IFERROR(__xludf.DUMMYFUNCTION("""COMPUTED_VALUE"""),"")</f>
        <v/>
      </c>
      <c r="B194" s="19" t="str">
        <f>IFERROR(__xludf.DUMMYFUNCTION("""COMPUTED_VALUE"""),"")</f>
        <v/>
      </c>
      <c r="C194" s="20" t="str">
        <f>IFERROR(__xludf.DUMMYFUNCTION("""COMPUTED_VALUE"""),"")</f>
        <v/>
      </c>
      <c r="D194" s="21" t="str">
        <f>IFERROR(__xludf.DUMMYFUNCTION("""COMPUTED_VALUE"""),"")</f>
        <v/>
      </c>
      <c r="E194" s="21" t="str">
        <f>IFERROR(__xludf.DUMMYFUNCTION("""COMPUTED_VALUE"""),"")</f>
        <v/>
      </c>
      <c r="F194" s="21" t="str">
        <f>IFERROR(__xludf.DUMMYFUNCTION("""COMPUTED_VALUE"""),"")</f>
        <v/>
      </c>
      <c r="G194" s="23" t="str">
        <f>IFERROR(__xludf.DUMMYFUNCTION("""COMPUTED_VALUE"""),"")</f>
        <v/>
      </c>
      <c r="H194" s="4"/>
      <c r="I194" s="5" t="s">
        <v>3401</v>
      </c>
      <c r="J194" s="5" t="s">
        <v>3331</v>
      </c>
      <c r="K194" s="5">
        <v>15.0</v>
      </c>
      <c r="L194" s="5">
        <v>-0.575761</v>
      </c>
      <c r="M194" s="5">
        <v>-0.313557</v>
      </c>
      <c r="N194" s="5">
        <v>-0.889318</v>
      </c>
      <c r="O194" s="5">
        <v>0.004955</v>
      </c>
    </row>
    <row r="195">
      <c r="A195" s="12" t="str">
        <f>IFERROR(__xludf.DUMMYFUNCTION("""COMPUTED_VALUE"""),"")</f>
        <v/>
      </c>
      <c r="B195" s="13" t="str">
        <f>IFERROR(__xludf.DUMMYFUNCTION("""COMPUTED_VALUE"""),"")</f>
        <v/>
      </c>
      <c r="C195" s="14" t="str">
        <f>IFERROR(__xludf.DUMMYFUNCTION("""COMPUTED_VALUE"""),"")</f>
        <v/>
      </c>
      <c r="D195" s="15" t="str">
        <f>IFERROR(__xludf.DUMMYFUNCTION("""COMPUTED_VALUE"""),"")</f>
        <v/>
      </c>
      <c r="E195" s="15" t="str">
        <f>IFERROR(__xludf.DUMMYFUNCTION("""COMPUTED_VALUE"""),"")</f>
        <v/>
      </c>
      <c r="F195" s="15" t="str">
        <f>IFERROR(__xludf.DUMMYFUNCTION("""COMPUTED_VALUE"""),"")</f>
        <v/>
      </c>
      <c r="G195" s="17" t="str">
        <f>IFERROR(__xludf.DUMMYFUNCTION("""COMPUTED_VALUE"""),"")</f>
        <v/>
      </c>
      <c r="H195" s="4"/>
      <c r="I195" s="5" t="s">
        <v>3402</v>
      </c>
      <c r="J195" s="5" t="s">
        <v>2838</v>
      </c>
      <c r="K195" s="5">
        <v>18.0</v>
      </c>
      <c r="L195" s="5">
        <v>-0.525235</v>
      </c>
      <c r="M195" s="5">
        <v>-0.378052</v>
      </c>
      <c r="N195" s="5">
        <v>-0.903287</v>
      </c>
      <c r="O195" s="5">
        <v>0.00598</v>
      </c>
    </row>
    <row r="196">
      <c r="A196" s="18" t="str">
        <f>IFERROR(__xludf.DUMMYFUNCTION("""COMPUTED_VALUE"""),"")</f>
        <v/>
      </c>
      <c r="B196" s="19" t="str">
        <f>IFERROR(__xludf.DUMMYFUNCTION("""COMPUTED_VALUE"""),"")</f>
        <v/>
      </c>
      <c r="C196" s="20" t="str">
        <f>IFERROR(__xludf.DUMMYFUNCTION("""COMPUTED_VALUE"""),"")</f>
        <v/>
      </c>
      <c r="D196" s="21" t="str">
        <f>IFERROR(__xludf.DUMMYFUNCTION("""COMPUTED_VALUE"""),"")</f>
        <v/>
      </c>
      <c r="E196" s="21" t="str">
        <f>IFERROR(__xludf.DUMMYFUNCTION("""COMPUTED_VALUE"""),"")</f>
        <v/>
      </c>
      <c r="F196" s="21" t="str">
        <f>IFERROR(__xludf.DUMMYFUNCTION("""COMPUTED_VALUE"""),"")</f>
        <v/>
      </c>
      <c r="G196" s="23" t="str">
        <f>IFERROR(__xludf.DUMMYFUNCTION("""COMPUTED_VALUE"""),"")</f>
        <v/>
      </c>
      <c r="H196" s="4"/>
      <c r="I196" s="5" t="s">
        <v>3403</v>
      </c>
      <c r="J196" s="5" t="s">
        <v>3220</v>
      </c>
      <c r="K196" s="5">
        <v>25.0</v>
      </c>
      <c r="L196" s="5">
        <v>-0.652833</v>
      </c>
      <c r="M196" s="5">
        <v>-0.290432</v>
      </c>
      <c r="N196" s="5">
        <v>-0.943265</v>
      </c>
      <c r="O196" s="5">
        <v>0.008143</v>
      </c>
    </row>
    <row r="197">
      <c r="A197" s="12" t="str">
        <f>IFERROR(__xludf.DUMMYFUNCTION("""COMPUTED_VALUE"""),"")</f>
        <v/>
      </c>
      <c r="B197" s="13" t="str">
        <f>IFERROR(__xludf.DUMMYFUNCTION("""COMPUTED_VALUE"""),"")</f>
        <v/>
      </c>
      <c r="C197" s="14" t="str">
        <f>IFERROR(__xludf.DUMMYFUNCTION("""COMPUTED_VALUE"""),"")</f>
        <v/>
      </c>
      <c r="D197" s="15" t="str">
        <f>IFERROR(__xludf.DUMMYFUNCTION("""COMPUTED_VALUE"""),"")</f>
        <v/>
      </c>
      <c r="E197" s="15" t="str">
        <f>IFERROR(__xludf.DUMMYFUNCTION("""COMPUTED_VALUE"""),"")</f>
        <v/>
      </c>
      <c r="F197" s="15" t="str">
        <f>IFERROR(__xludf.DUMMYFUNCTION("""COMPUTED_VALUE"""),"")</f>
        <v/>
      </c>
      <c r="G197" s="17" t="str">
        <f>IFERROR(__xludf.DUMMYFUNCTION("""COMPUTED_VALUE"""),"")</f>
        <v/>
      </c>
      <c r="H197" s="4"/>
      <c r="I197" s="5" t="s">
        <v>3404</v>
      </c>
      <c r="J197" s="5" t="s">
        <v>644</v>
      </c>
      <c r="K197" s="24">
        <v>20.0</v>
      </c>
      <c r="L197" s="5">
        <v>-0.394647</v>
      </c>
      <c r="M197" s="5">
        <v>-0.565924</v>
      </c>
      <c r="N197" s="5">
        <v>-0.960571</v>
      </c>
      <c r="O197" s="5">
        <v>0.00628</v>
      </c>
    </row>
    <row r="198">
      <c r="A198" s="18" t="str">
        <f>IFERROR(__xludf.DUMMYFUNCTION("""COMPUTED_VALUE"""),"")</f>
        <v/>
      </c>
      <c r="B198" s="19" t="str">
        <f>IFERROR(__xludf.DUMMYFUNCTION("""COMPUTED_VALUE"""),"")</f>
        <v/>
      </c>
      <c r="C198" s="20" t="str">
        <f>IFERROR(__xludf.DUMMYFUNCTION("""COMPUTED_VALUE"""),"")</f>
        <v/>
      </c>
      <c r="D198" s="21" t="str">
        <f>IFERROR(__xludf.DUMMYFUNCTION("""COMPUTED_VALUE"""),"")</f>
        <v/>
      </c>
      <c r="E198" s="21" t="str">
        <f>IFERROR(__xludf.DUMMYFUNCTION("""COMPUTED_VALUE"""),"")</f>
        <v/>
      </c>
      <c r="F198" s="21" t="str">
        <f>IFERROR(__xludf.DUMMYFUNCTION("""COMPUTED_VALUE"""),"")</f>
        <v/>
      </c>
      <c r="G198" s="23" t="str">
        <f>IFERROR(__xludf.DUMMYFUNCTION("""COMPUTED_VALUE"""),"")</f>
        <v/>
      </c>
      <c r="H198" s="4"/>
      <c r="I198" s="5" t="s">
        <v>3405</v>
      </c>
      <c r="J198" s="5" t="s">
        <v>3223</v>
      </c>
      <c r="K198" s="24">
        <v>78.0</v>
      </c>
      <c r="L198" s="5">
        <v>-0.988511</v>
      </c>
      <c r="M198" s="5">
        <v>0.027867</v>
      </c>
      <c r="N198" s="5">
        <v>-0.960644</v>
      </c>
      <c r="O198" s="5">
        <v>0.024607</v>
      </c>
    </row>
    <row r="199">
      <c r="A199" s="12" t="str">
        <f>IFERROR(__xludf.DUMMYFUNCTION("""COMPUTED_VALUE"""),"")</f>
        <v/>
      </c>
      <c r="B199" s="13" t="str">
        <f>IFERROR(__xludf.DUMMYFUNCTION("""COMPUTED_VALUE"""),"")</f>
        <v/>
      </c>
      <c r="C199" s="14" t="str">
        <f>IFERROR(__xludf.DUMMYFUNCTION("""COMPUTED_VALUE"""),"")</f>
        <v/>
      </c>
      <c r="D199" s="15" t="str">
        <f>IFERROR(__xludf.DUMMYFUNCTION("""COMPUTED_VALUE"""),"")</f>
        <v/>
      </c>
      <c r="E199" s="15" t="str">
        <f>IFERROR(__xludf.DUMMYFUNCTION("""COMPUTED_VALUE"""),"")</f>
        <v/>
      </c>
      <c r="F199" s="15" t="str">
        <f>IFERROR(__xludf.DUMMYFUNCTION("""COMPUTED_VALUE"""),"")</f>
        <v/>
      </c>
      <c r="G199" s="17" t="str">
        <f>IFERROR(__xludf.DUMMYFUNCTION("""COMPUTED_VALUE"""),"")</f>
        <v/>
      </c>
      <c r="H199" s="4"/>
      <c r="I199" s="5" t="s">
        <v>3406</v>
      </c>
      <c r="J199" s="5" t="s">
        <v>3240</v>
      </c>
      <c r="K199" s="5">
        <v>16.0</v>
      </c>
      <c r="L199" s="5">
        <v>-0.562825</v>
      </c>
      <c r="M199" s="5">
        <v>-0.422769</v>
      </c>
      <c r="N199" s="5">
        <v>-0.985595</v>
      </c>
      <c r="O199" s="5">
        <v>0.004826</v>
      </c>
    </row>
    <row r="200">
      <c r="A200" s="18" t="str">
        <f>IFERROR(__xludf.DUMMYFUNCTION("""COMPUTED_VALUE"""),"")</f>
        <v/>
      </c>
      <c r="B200" s="19" t="str">
        <f>IFERROR(__xludf.DUMMYFUNCTION("""COMPUTED_VALUE"""),"")</f>
        <v/>
      </c>
      <c r="C200" s="20" t="str">
        <f>IFERROR(__xludf.DUMMYFUNCTION("""COMPUTED_VALUE"""),"")</f>
        <v/>
      </c>
      <c r="D200" s="21" t="str">
        <f>IFERROR(__xludf.DUMMYFUNCTION("""COMPUTED_VALUE"""),"")</f>
        <v/>
      </c>
      <c r="E200" s="21" t="str">
        <f>IFERROR(__xludf.DUMMYFUNCTION("""COMPUTED_VALUE"""),"")</f>
        <v/>
      </c>
      <c r="F200" s="21" t="str">
        <f>IFERROR(__xludf.DUMMYFUNCTION("""COMPUTED_VALUE"""),"")</f>
        <v/>
      </c>
      <c r="G200" s="23" t="str">
        <f>IFERROR(__xludf.DUMMYFUNCTION("""COMPUTED_VALUE"""),"")</f>
        <v/>
      </c>
      <c r="H200" s="4"/>
      <c r="I200" s="5" t="s">
        <v>3407</v>
      </c>
      <c r="J200" s="5" t="s">
        <v>3233</v>
      </c>
      <c r="K200" s="5">
        <v>13.0</v>
      </c>
      <c r="L200" s="5">
        <v>-0.628658</v>
      </c>
      <c r="M200" s="5">
        <v>-0.364033</v>
      </c>
      <c r="N200" s="5">
        <v>-0.992691</v>
      </c>
      <c r="O200" s="5">
        <v>0.0039</v>
      </c>
    </row>
    <row r="201">
      <c r="A201" s="12" t="str">
        <f>IFERROR(__xludf.DUMMYFUNCTION("""COMPUTED_VALUE"""),"")</f>
        <v/>
      </c>
      <c r="B201" s="13" t="str">
        <f>IFERROR(__xludf.DUMMYFUNCTION("""COMPUTED_VALUE"""),"")</f>
        <v/>
      </c>
      <c r="C201" s="14" t="str">
        <f>IFERROR(__xludf.DUMMYFUNCTION("""COMPUTED_VALUE"""),"")</f>
        <v/>
      </c>
      <c r="D201" s="15" t="str">
        <f>IFERROR(__xludf.DUMMYFUNCTION("""COMPUTED_VALUE"""),"")</f>
        <v/>
      </c>
      <c r="E201" s="15" t="str">
        <f>IFERROR(__xludf.DUMMYFUNCTION("""COMPUTED_VALUE"""),"")</f>
        <v/>
      </c>
      <c r="F201" s="15" t="str">
        <f>IFERROR(__xludf.DUMMYFUNCTION("""COMPUTED_VALUE"""),"")</f>
        <v/>
      </c>
      <c r="G201" s="17" t="str">
        <f>IFERROR(__xludf.DUMMYFUNCTION("""COMPUTED_VALUE"""),"")</f>
        <v/>
      </c>
      <c r="H201" s="4"/>
      <c r="I201" s="5" t="s">
        <v>3408</v>
      </c>
      <c r="J201" s="5" t="s">
        <v>3215</v>
      </c>
      <c r="K201" s="5">
        <v>21.0</v>
      </c>
      <c r="L201" s="5">
        <v>-0.599524</v>
      </c>
      <c r="M201" s="5">
        <v>-0.411439</v>
      </c>
      <c r="N201" s="5">
        <v>-1.010962</v>
      </c>
      <c r="O201" s="5">
        <v>0.006157</v>
      </c>
    </row>
    <row r="202">
      <c r="A202" s="18" t="str">
        <f>IFERROR(__xludf.DUMMYFUNCTION("""COMPUTED_VALUE"""),"")</f>
        <v/>
      </c>
      <c r="B202" s="19" t="str">
        <f>IFERROR(__xludf.DUMMYFUNCTION("""COMPUTED_VALUE"""),"")</f>
        <v/>
      </c>
      <c r="C202" s="20" t="str">
        <f>IFERROR(__xludf.DUMMYFUNCTION("""COMPUTED_VALUE"""),"")</f>
        <v/>
      </c>
      <c r="D202" s="21" t="str">
        <f>IFERROR(__xludf.DUMMYFUNCTION("""COMPUTED_VALUE"""),"")</f>
        <v/>
      </c>
      <c r="E202" s="21" t="str">
        <f>IFERROR(__xludf.DUMMYFUNCTION("""COMPUTED_VALUE"""),"")</f>
        <v/>
      </c>
      <c r="F202" s="21" t="str">
        <f>IFERROR(__xludf.DUMMYFUNCTION("""COMPUTED_VALUE"""),"")</f>
        <v/>
      </c>
      <c r="G202" s="23" t="str">
        <f>IFERROR(__xludf.DUMMYFUNCTION("""COMPUTED_VALUE"""),"")</f>
        <v/>
      </c>
      <c r="H202" s="4"/>
      <c r="I202" s="5" t="s">
        <v>3409</v>
      </c>
      <c r="J202" s="5" t="s">
        <v>3281</v>
      </c>
      <c r="K202" s="5">
        <v>147.0</v>
      </c>
      <c r="L202" s="5">
        <v>-2.057113</v>
      </c>
      <c r="M202" s="5">
        <v>1.019109</v>
      </c>
      <c r="N202" s="5">
        <v>-1.038004</v>
      </c>
      <c r="O202" s="5">
        <v>0.04297</v>
      </c>
    </row>
    <row r="203">
      <c r="A203" s="12" t="str">
        <f>IFERROR(__xludf.DUMMYFUNCTION("""COMPUTED_VALUE"""),"")</f>
        <v/>
      </c>
      <c r="B203" s="13" t="str">
        <f>IFERROR(__xludf.DUMMYFUNCTION("""COMPUTED_VALUE"""),"")</f>
        <v/>
      </c>
      <c r="C203" s="14" t="str">
        <f>IFERROR(__xludf.DUMMYFUNCTION("""COMPUTED_VALUE"""),"")</f>
        <v/>
      </c>
      <c r="D203" s="15" t="str">
        <f>IFERROR(__xludf.DUMMYFUNCTION("""COMPUTED_VALUE"""),"")</f>
        <v/>
      </c>
      <c r="E203" s="15" t="str">
        <f>IFERROR(__xludf.DUMMYFUNCTION("""COMPUTED_VALUE"""),"")</f>
        <v/>
      </c>
      <c r="F203" s="15" t="str">
        <f>IFERROR(__xludf.DUMMYFUNCTION("""COMPUTED_VALUE"""),"")</f>
        <v/>
      </c>
      <c r="G203" s="17" t="str">
        <f>IFERROR(__xludf.DUMMYFUNCTION("""COMPUTED_VALUE"""),"")</f>
        <v/>
      </c>
      <c r="H203" s="4"/>
      <c r="I203" s="5" t="s">
        <v>3410</v>
      </c>
      <c r="J203" s="5" t="s">
        <v>3263</v>
      </c>
      <c r="K203" s="5">
        <v>344.0</v>
      </c>
      <c r="L203" s="5">
        <v>-1.929005</v>
      </c>
      <c r="M203" s="5">
        <v>0.861375</v>
      </c>
      <c r="N203" s="5">
        <v>-1.06763</v>
      </c>
      <c r="O203" s="5">
        <v>0.096483</v>
      </c>
    </row>
    <row r="204">
      <c r="A204" s="18" t="str">
        <f>IFERROR(__xludf.DUMMYFUNCTION("""COMPUTED_VALUE"""),"")</f>
        <v/>
      </c>
      <c r="B204" s="19" t="str">
        <f>IFERROR(__xludf.DUMMYFUNCTION("""COMPUTED_VALUE"""),"")</f>
        <v/>
      </c>
      <c r="C204" s="20" t="str">
        <f>IFERROR(__xludf.DUMMYFUNCTION("""COMPUTED_VALUE"""),"")</f>
        <v/>
      </c>
      <c r="D204" s="21" t="str">
        <f>IFERROR(__xludf.DUMMYFUNCTION("""COMPUTED_VALUE"""),"")</f>
        <v/>
      </c>
      <c r="E204" s="21" t="str">
        <f>IFERROR(__xludf.DUMMYFUNCTION("""COMPUTED_VALUE"""),"")</f>
        <v/>
      </c>
      <c r="F204" s="21" t="str">
        <f>IFERROR(__xludf.DUMMYFUNCTION("""COMPUTED_VALUE"""),"")</f>
        <v/>
      </c>
      <c r="G204" s="23" t="str">
        <f>IFERROR(__xludf.DUMMYFUNCTION("""COMPUTED_VALUE"""),"")</f>
        <v/>
      </c>
      <c r="H204" s="4"/>
      <c r="I204" s="5" t="s">
        <v>3411</v>
      </c>
      <c r="J204" s="5" t="s">
        <v>3233</v>
      </c>
      <c r="K204" s="5">
        <v>192.0</v>
      </c>
      <c r="L204" s="5">
        <v>-2.585039</v>
      </c>
      <c r="M204" s="5">
        <v>1.512624</v>
      </c>
      <c r="N204" s="5">
        <v>-1.072415</v>
      </c>
      <c r="O204" s="5">
        <v>0.052552</v>
      </c>
    </row>
    <row r="205">
      <c r="A205" s="12" t="str">
        <f>IFERROR(__xludf.DUMMYFUNCTION("""COMPUTED_VALUE"""),"")</f>
        <v/>
      </c>
      <c r="B205" s="13" t="str">
        <f>IFERROR(__xludf.DUMMYFUNCTION("""COMPUTED_VALUE"""),"")</f>
        <v/>
      </c>
      <c r="C205" s="14" t="str">
        <f>IFERROR(__xludf.DUMMYFUNCTION("""COMPUTED_VALUE"""),"")</f>
        <v/>
      </c>
      <c r="D205" s="15" t="str">
        <f>IFERROR(__xludf.DUMMYFUNCTION("""COMPUTED_VALUE"""),"")</f>
        <v/>
      </c>
      <c r="E205" s="15" t="str">
        <f>IFERROR(__xludf.DUMMYFUNCTION("""COMPUTED_VALUE"""),"")</f>
        <v/>
      </c>
      <c r="F205" s="15" t="str">
        <f>IFERROR(__xludf.DUMMYFUNCTION("""COMPUTED_VALUE"""),"")</f>
        <v/>
      </c>
      <c r="G205" s="17" t="str">
        <f>IFERROR(__xludf.DUMMYFUNCTION("""COMPUTED_VALUE"""),"")</f>
        <v/>
      </c>
      <c r="H205" s="4"/>
      <c r="I205" s="5" t="s">
        <v>3412</v>
      </c>
      <c r="J205" s="5" t="s">
        <v>3251</v>
      </c>
      <c r="K205" s="5">
        <v>26.0</v>
      </c>
      <c r="L205" s="5">
        <v>-1.060091</v>
      </c>
      <c r="M205" s="5">
        <v>-0.034929</v>
      </c>
      <c r="N205" s="5">
        <v>-1.095019</v>
      </c>
      <c r="O205" s="5">
        <v>0.007176</v>
      </c>
    </row>
    <row r="206">
      <c r="A206" s="18" t="str">
        <f>IFERROR(__xludf.DUMMYFUNCTION("""COMPUTED_VALUE"""),"")</f>
        <v/>
      </c>
      <c r="B206" s="19" t="str">
        <f>IFERROR(__xludf.DUMMYFUNCTION("""COMPUTED_VALUE"""),"")</f>
        <v/>
      </c>
      <c r="C206" s="20" t="str">
        <f>IFERROR(__xludf.DUMMYFUNCTION("""COMPUTED_VALUE"""),"")</f>
        <v/>
      </c>
      <c r="D206" s="21" t="str">
        <f>IFERROR(__xludf.DUMMYFUNCTION("""COMPUTED_VALUE"""),"")</f>
        <v/>
      </c>
      <c r="E206" s="21" t="str">
        <f>IFERROR(__xludf.DUMMYFUNCTION("""COMPUTED_VALUE"""),"")</f>
        <v/>
      </c>
      <c r="F206" s="21" t="str">
        <f>IFERROR(__xludf.DUMMYFUNCTION("""COMPUTED_VALUE"""),"")</f>
        <v/>
      </c>
      <c r="G206" s="23" t="str">
        <f>IFERROR(__xludf.DUMMYFUNCTION("""COMPUTED_VALUE"""),"")</f>
        <v/>
      </c>
      <c r="H206" s="4"/>
      <c r="I206" s="5" t="s">
        <v>3413</v>
      </c>
      <c r="J206" s="5" t="s">
        <v>3240</v>
      </c>
      <c r="K206" s="24">
        <v>25.0</v>
      </c>
      <c r="L206" s="5">
        <v>-0.565951</v>
      </c>
      <c r="M206" s="5">
        <v>-0.576498</v>
      </c>
      <c r="N206" s="5">
        <v>-1.142449</v>
      </c>
      <c r="O206" s="5">
        <v>0.006642</v>
      </c>
    </row>
    <row r="207">
      <c r="A207" s="12" t="str">
        <f>IFERROR(__xludf.DUMMYFUNCTION("""COMPUTED_VALUE"""),"")</f>
        <v/>
      </c>
      <c r="B207" s="13" t="str">
        <f>IFERROR(__xludf.DUMMYFUNCTION("""COMPUTED_VALUE"""),"")</f>
        <v/>
      </c>
      <c r="C207" s="14" t="str">
        <f>IFERROR(__xludf.DUMMYFUNCTION("""COMPUTED_VALUE"""),"")</f>
        <v/>
      </c>
      <c r="D207" s="15" t="str">
        <f>IFERROR(__xludf.DUMMYFUNCTION("""COMPUTED_VALUE"""),"")</f>
        <v/>
      </c>
      <c r="E207" s="15" t="str">
        <f>IFERROR(__xludf.DUMMYFUNCTION("""COMPUTED_VALUE"""),"")</f>
        <v/>
      </c>
      <c r="F207" s="15" t="str">
        <f>IFERROR(__xludf.DUMMYFUNCTION("""COMPUTED_VALUE"""),"")</f>
        <v/>
      </c>
      <c r="G207" s="17" t="str">
        <f>IFERROR(__xludf.DUMMYFUNCTION("""COMPUTED_VALUE"""),"")</f>
        <v/>
      </c>
      <c r="H207" s="4"/>
      <c r="I207" s="5" t="s">
        <v>3414</v>
      </c>
      <c r="J207" s="5" t="s">
        <v>3331</v>
      </c>
      <c r="K207" s="24">
        <v>783.0</v>
      </c>
      <c r="L207" s="5">
        <v>0.206832</v>
      </c>
      <c r="M207" s="5">
        <v>-1.352003</v>
      </c>
      <c r="N207" s="5">
        <v>-1.145171</v>
      </c>
      <c r="O207" s="5">
        <v>0.203098</v>
      </c>
    </row>
    <row r="208">
      <c r="A208" s="18" t="str">
        <f>IFERROR(__xludf.DUMMYFUNCTION("""COMPUTED_VALUE"""),"")</f>
        <v/>
      </c>
      <c r="B208" s="19" t="str">
        <f>IFERROR(__xludf.DUMMYFUNCTION("""COMPUTED_VALUE"""),"")</f>
        <v/>
      </c>
      <c r="C208" s="20" t="str">
        <f>IFERROR(__xludf.DUMMYFUNCTION("""COMPUTED_VALUE"""),"")</f>
        <v/>
      </c>
      <c r="D208" s="21" t="str">
        <f>IFERROR(__xludf.DUMMYFUNCTION("""COMPUTED_VALUE"""),"")</f>
        <v/>
      </c>
      <c r="E208" s="21" t="str">
        <f>IFERROR(__xludf.DUMMYFUNCTION("""COMPUTED_VALUE"""),"")</f>
        <v/>
      </c>
      <c r="F208" s="21" t="str">
        <f>IFERROR(__xludf.DUMMYFUNCTION("""COMPUTED_VALUE"""),"")</f>
        <v/>
      </c>
      <c r="G208" s="23" t="str">
        <f>IFERROR(__xludf.DUMMYFUNCTION("""COMPUTED_VALUE"""),"")</f>
        <v/>
      </c>
      <c r="H208" s="4"/>
      <c r="I208" s="5" t="s">
        <v>3415</v>
      </c>
      <c r="J208" s="5" t="s">
        <v>3205</v>
      </c>
      <c r="K208" s="5">
        <v>454.0</v>
      </c>
      <c r="L208" s="5">
        <v>-0.006266</v>
      </c>
      <c r="M208" s="5">
        <v>-1.15705</v>
      </c>
      <c r="N208" s="5">
        <v>-1.163316</v>
      </c>
      <c r="O208" s="5">
        <v>0.11529</v>
      </c>
    </row>
    <row r="209">
      <c r="A209" s="12" t="str">
        <f>IFERROR(__xludf.DUMMYFUNCTION("""COMPUTED_VALUE"""),"")</f>
        <v/>
      </c>
      <c r="B209" s="13" t="str">
        <f>IFERROR(__xludf.DUMMYFUNCTION("""COMPUTED_VALUE"""),"")</f>
        <v/>
      </c>
      <c r="C209" s="14" t="str">
        <f>IFERROR(__xludf.DUMMYFUNCTION("""COMPUTED_VALUE"""),"")</f>
        <v/>
      </c>
      <c r="D209" s="15" t="str">
        <f>IFERROR(__xludf.DUMMYFUNCTION("""COMPUTED_VALUE"""),"")</f>
        <v/>
      </c>
      <c r="E209" s="15" t="str">
        <f>IFERROR(__xludf.DUMMYFUNCTION("""COMPUTED_VALUE"""),"")</f>
        <v/>
      </c>
      <c r="F209" s="15" t="str">
        <f>IFERROR(__xludf.DUMMYFUNCTION("""COMPUTED_VALUE"""),"")</f>
        <v/>
      </c>
      <c r="G209" s="17" t="str">
        <f>IFERROR(__xludf.DUMMYFUNCTION("""COMPUTED_VALUE"""),"")</f>
        <v/>
      </c>
      <c r="H209" s="4"/>
      <c r="I209" s="5" t="s">
        <v>3416</v>
      </c>
      <c r="J209" s="5" t="s">
        <v>3263</v>
      </c>
      <c r="K209" s="5">
        <v>82.0</v>
      </c>
      <c r="L209" s="5">
        <v>-0.768175</v>
      </c>
      <c r="M209" s="5">
        <v>-0.433616</v>
      </c>
      <c r="N209" s="5">
        <v>-1.201791</v>
      </c>
      <c r="O209" s="5">
        <v>0.0196</v>
      </c>
    </row>
    <row r="210">
      <c r="A210" s="18" t="str">
        <f>IFERROR(__xludf.DUMMYFUNCTION("""COMPUTED_VALUE"""),"")</f>
        <v/>
      </c>
      <c r="B210" s="19" t="str">
        <f>IFERROR(__xludf.DUMMYFUNCTION("""COMPUTED_VALUE"""),"")</f>
        <v/>
      </c>
      <c r="C210" s="20" t="str">
        <f>IFERROR(__xludf.DUMMYFUNCTION("""COMPUTED_VALUE"""),"")</f>
        <v/>
      </c>
      <c r="D210" s="21" t="str">
        <f>IFERROR(__xludf.DUMMYFUNCTION("""COMPUTED_VALUE"""),"")</f>
        <v/>
      </c>
      <c r="E210" s="21" t="str">
        <f>IFERROR(__xludf.DUMMYFUNCTION("""COMPUTED_VALUE"""),"")</f>
        <v/>
      </c>
      <c r="F210" s="21" t="str">
        <f>IFERROR(__xludf.DUMMYFUNCTION("""COMPUTED_VALUE"""),"")</f>
        <v/>
      </c>
      <c r="G210" s="23" t="str">
        <f>IFERROR(__xludf.DUMMYFUNCTION("""COMPUTED_VALUE"""),"")</f>
        <v/>
      </c>
      <c r="H210" s="4"/>
      <c r="I210" s="5" t="s">
        <v>3417</v>
      </c>
      <c r="J210" s="5" t="s">
        <v>2838</v>
      </c>
      <c r="K210" s="5">
        <v>329.0</v>
      </c>
      <c r="L210" s="5">
        <v>1.609448</v>
      </c>
      <c r="M210" s="5">
        <v>-2.82442</v>
      </c>
      <c r="N210" s="5">
        <v>-1.214972</v>
      </c>
      <c r="O210" s="5">
        <v>0.077351</v>
      </c>
    </row>
    <row r="211">
      <c r="A211" s="12" t="str">
        <f>IFERROR(__xludf.DUMMYFUNCTION("""COMPUTED_VALUE"""),"")</f>
        <v/>
      </c>
      <c r="B211" s="13" t="str">
        <f>IFERROR(__xludf.DUMMYFUNCTION("""COMPUTED_VALUE"""),"")</f>
        <v/>
      </c>
      <c r="C211" s="14" t="str">
        <f>IFERROR(__xludf.DUMMYFUNCTION("""COMPUTED_VALUE"""),"")</f>
        <v/>
      </c>
      <c r="D211" s="15" t="str">
        <f>IFERROR(__xludf.DUMMYFUNCTION("""COMPUTED_VALUE"""),"")</f>
        <v/>
      </c>
      <c r="E211" s="15" t="str">
        <f>IFERROR(__xludf.DUMMYFUNCTION("""COMPUTED_VALUE"""),"")</f>
        <v/>
      </c>
      <c r="F211" s="15" t="str">
        <f>IFERROR(__xludf.DUMMYFUNCTION("""COMPUTED_VALUE"""),"")</f>
        <v/>
      </c>
      <c r="G211" s="17" t="str">
        <f>IFERROR(__xludf.DUMMYFUNCTION("""COMPUTED_VALUE"""),"")</f>
        <v/>
      </c>
      <c r="H211" s="4"/>
      <c r="I211" s="5" t="s">
        <v>3418</v>
      </c>
      <c r="J211" s="5" t="s">
        <v>3203</v>
      </c>
      <c r="K211" s="5">
        <v>258.0</v>
      </c>
      <c r="L211" s="5">
        <v>-0.418633</v>
      </c>
      <c r="M211" s="5">
        <v>-0.810679</v>
      </c>
      <c r="N211" s="5">
        <v>-1.229311</v>
      </c>
      <c r="O211" s="5">
        <v>0.060202</v>
      </c>
    </row>
    <row r="212">
      <c r="A212" s="18" t="str">
        <f>IFERROR(__xludf.DUMMYFUNCTION("""COMPUTED_VALUE"""),"")</f>
        <v/>
      </c>
      <c r="B212" s="19" t="str">
        <f>IFERROR(__xludf.DUMMYFUNCTION("""COMPUTED_VALUE"""),"")</f>
        <v/>
      </c>
      <c r="C212" s="20" t="str">
        <f>IFERROR(__xludf.DUMMYFUNCTION("""COMPUTED_VALUE"""),"")</f>
        <v/>
      </c>
      <c r="D212" s="21" t="str">
        <f>IFERROR(__xludf.DUMMYFUNCTION("""COMPUTED_VALUE"""),"")</f>
        <v/>
      </c>
      <c r="E212" s="21" t="str">
        <f>IFERROR(__xludf.DUMMYFUNCTION("""COMPUTED_VALUE"""),"")</f>
        <v/>
      </c>
      <c r="F212" s="21" t="str">
        <f>IFERROR(__xludf.DUMMYFUNCTION("""COMPUTED_VALUE"""),"")</f>
        <v/>
      </c>
      <c r="G212" s="23" t="str">
        <f>IFERROR(__xludf.DUMMYFUNCTION("""COMPUTED_VALUE"""),"")</f>
        <v/>
      </c>
      <c r="H212" s="4"/>
      <c r="I212" s="5" t="s">
        <v>3419</v>
      </c>
      <c r="J212" s="5" t="s">
        <v>3220</v>
      </c>
      <c r="K212" s="5">
        <v>316.0</v>
      </c>
      <c r="L212" s="5">
        <v>-0.122936</v>
      </c>
      <c r="M212" s="5">
        <v>-1.133769</v>
      </c>
      <c r="N212" s="5">
        <v>-1.256705</v>
      </c>
      <c r="O212" s="5">
        <v>0.071994</v>
      </c>
    </row>
    <row r="213">
      <c r="A213" s="12" t="str">
        <f>IFERROR(__xludf.DUMMYFUNCTION("""COMPUTED_VALUE"""),"")</f>
        <v/>
      </c>
      <c r="B213" s="13" t="str">
        <f>IFERROR(__xludf.DUMMYFUNCTION("""COMPUTED_VALUE"""),"")</f>
        <v/>
      </c>
      <c r="C213" s="14" t="str">
        <f>IFERROR(__xludf.DUMMYFUNCTION("""COMPUTED_VALUE"""),"")</f>
        <v/>
      </c>
      <c r="D213" s="15" t="str">
        <f>IFERROR(__xludf.DUMMYFUNCTION("""COMPUTED_VALUE"""),"")</f>
        <v/>
      </c>
      <c r="E213" s="15" t="str">
        <f>IFERROR(__xludf.DUMMYFUNCTION("""COMPUTED_VALUE"""),"")</f>
        <v/>
      </c>
      <c r="F213" s="15" t="str">
        <f>IFERROR(__xludf.DUMMYFUNCTION("""COMPUTED_VALUE"""),"")</f>
        <v/>
      </c>
      <c r="G213" s="17" t="str">
        <f>IFERROR(__xludf.DUMMYFUNCTION("""COMPUTED_VALUE"""),"")</f>
        <v/>
      </c>
      <c r="H213" s="4"/>
      <c r="I213" s="5" t="s">
        <v>3420</v>
      </c>
      <c r="J213" s="5" t="s">
        <v>3215</v>
      </c>
      <c r="K213" s="5">
        <v>63.0</v>
      </c>
      <c r="L213" s="5">
        <v>-0.9899</v>
      </c>
      <c r="M213" s="5">
        <v>-0.271581</v>
      </c>
      <c r="N213" s="5">
        <v>-1.261481</v>
      </c>
      <c r="O213" s="5">
        <v>0.01415</v>
      </c>
    </row>
    <row r="214">
      <c r="A214" s="18" t="str">
        <f>IFERROR(__xludf.DUMMYFUNCTION("""COMPUTED_VALUE"""),"")</f>
        <v/>
      </c>
      <c r="B214" s="19" t="str">
        <f>IFERROR(__xludf.DUMMYFUNCTION("""COMPUTED_VALUE"""),"")</f>
        <v/>
      </c>
      <c r="C214" s="20" t="str">
        <f>IFERROR(__xludf.DUMMYFUNCTION("""COMPUTED_VALUE"""),"")</f>
        <v/>
      </c>
      <c r="D214" s="21" t="str">
        <f>IFERROR(__xludf.DUMMYFUNCTION("""COMPUTED_VALUE"""),"")</f>
        <v/>
      </c>
      <c r="E214" s="21" t="str">
        <f>IFERROR(__xludf.DUMMYFUNCTION("""COMPUTED_VALUE"""),"")</f>
        <v/>
      </c>
      <c r="F214" s="21" t="str">
        <f>IFERROR(__xludf.DUMMYFUNCTION("""COMPUTED_VALUE"""),"")</f>
        <v/>
      </c>
      <c r="G214" s="23" t="str">
        <f>IFERROR(__xludf.DUMMYFUNCTION("""COMPUTED_VALUE"""),"")</f>
        <v/>
      </c>
      <c r="H214" s="4"/>
      <c r="I214" s="5" t="s">
        <v>3421</v>
      </c>
      <c r="J214" s="5" t="s">
        <v>3223</v>
      </c>
      <c r="K214" s="5">
        <v>514.0</v>
      </c>
      <c r="L214" s="5">
        <v>-2.397411</v>
      </c>
      <c r="M214" s="5">
        <v>1.109743</v>
      </c>
      <c r="N214" s="5">
        <v>-1.287668</v>
      </c>
      <c r="O214" s="5">
        <v>0.111319</v>
      </c>
    </row>
    <row r="215">
      <c r="A215" s="12" t="str">
        <f>IFERROR(__xludf.DUMMYFUNCTION("""COMPUTED_VALUE"""),"")</f>
        <v/>
      </c>
      <c r="B215" s="13" t="str">
        <f>IFERROR(__xludf.DUMMYFUNCTION("""COMPUTED_VALUE"""),"")</f>
        <v/>
      </c>
      <c r="C215" s="14" t="str">
        <f>IFERROR(__xludf.DUMMYFUNCTION("""COMPUTED_VALUE"""),"")</f>
        <v/>
      </c>
      <c r="D215" s="15" t="str">
        <f>IFERROR(__xludf.DUMMYFUNCTION("""COMPUTED_VALUE"""),"")</f>
        <v/>
      </c>
      <c r="E215" s="15" t="str">
        <f>IFERROR(__xludf.DUMMYFUNCTION("""COMPUTED_VALUE"""),"")</f>
        <v/>
      </c>
      <c r="F215" s="15" t="str">
        <f>IFERROR(__xludf.DUMMYFUNCTION("""COMPUTED_VALUE"""),"")</f>
        <v/>
      </c>
      <c r="G215" s="17" t="str">
        <f>IFERROR(__xludf.DUMMYFUNCTION("""COMPUTED_VALUE"""),"")</f>
        <v/>
      </c>
      <c r="H215" s="4"/>
      <c r="I215" s="5" t="s">
        <v>3422</v>
      </c>
      <c r="J215" s="5" t="s">
        <v>3229</v>
      </c>
      <c r="K215" s="5">
        <v>25.0</v>
      </c>
      <c r="L215" s="5">
        <v>-0.86279</v>
      </c>
      <c r="M215" s="5">
        <v>-0.43882</v>
      </c>
      <c r="N215" s="5">
        <v>-1.301609</v>
      </c>
      <c r="O215" s="5">
        <v>0.005517</v>
      </c>
    </row>
    <row r="216">
      <c r="A216" s="18" t="str">
        <f>IFERROR(__xludf.DUMMYFUNCTION("""COMPUTED_VALUE"""),"")</f>
        <v/>
      </c>
      <c r="B216" s="19" t="str">
        <f>IFERROR(__xludf.DUMMYFUNCTION("""COMPUTED_VALUE"""),"")</f>
        <v/>
      </c>
      <c r="C216" s="20" t="str">
        <f>IFERROR(__xludf.DUMMYFUNCTION("""COMPUTED_VALUE"""),"")</f>
        <v/>
      </c>
      <c r="D216" s="21" t="str">
        <f>IFERROR(__xludf.DUMMYFUNCTION("""COMPUTED_VALUE"""),"")</f>
        <v/>
      </c>
      <c r="E216" s="21" t="str">
        <f>IFERROR(__xludf.DUMMYFUNCTION("""COMPUTED_VALUE"""),"")</f>
        <v/>
      </c>
      <c r="F216" s="21" t="str">
        <f>IFERROR(__xludf.DUMMYFUNCTION("""COMPUTED_VALUE"""),"")</f>
        <v/>
      </c>
      <c r="G216" s="23" t="str">
        <f>IFERROR(__xludf.DUMMYFUNCTION("""COMPUTED_VALUE"""),"")</f>
        <v/>
      </c>
      <c r="H216" s="4"/>
      <c r="I216" s="5" t="s">
        <v>1182</v>
      </c>
      <c r="J216" s="5" t="s">
        <v>3217</v>
      </c>
      <c r="K216" s="5">
        <v>714.0</v>
      </c>
      <c r="L216" s="5">
        <v>-0.609627</v>
      </c>
      <c r="M216" s="5">
        <v>-0.764987</v>
      </c>
      <c r="N216" s="5">
        <v>-1.374615</v>
      </c>
      <c r="O216" s="5">
        <v>0.134407</v>
      </c>
    </row>
    <row r="217">
      <c r="A217" s="12" t="str">
        <f>IFERROR(__xludf.DUMMYFUNCTION("""COMPUTED_VALUE"""),"")</f>
        <v/>
      </c>
      <c r="B217" s="13" t="str">
        <f>IFERROR(__xludf.DUMMYFUNCTION("""COMPUTED_VALUE"""),"")</f>
        <v/>
      </c>
      <c r="C217" s="14" t="str">
        <f>IFERROR(__xludf.DUMMYFUNCTION("""COMPUTED_VALUE"""),"")</f>
        <v/>
      </c>
      <c r="D217" s="15" t="str">
        <f>IFERROR(__xludf.DUMMYFUNCTION("""COMPUTED_VALUE"""),"")</f>
        <v/>
      </c>
      <c r="E217" s="15" t="str">
        <f>IFERROR(__xludf.DUMMYFUNCTION("""COMPUTED_VALUE"""),"")</f>
        <v/>
      </c>
      <c r="F217" s="15" t="str">
        <f>IFERROR(__xludf.DUMMYFUNCTION("""COMPUTED_VALUE"""),"")</f>
        <v/>
      </c>
      <c r="G217" s="17" t="str">
        <f>IFERROR(__xludf.DUMMYFUNCTION("""COMPUTED_VALUE"""),"")</f>
        <v/>
      </c>
      <c r="H217" s="4"/>
      <c r="I217" s="5" t="s">
        <v>3423</v>
      </c>
      <c r="J217" s="5" t="s">
        <v>3207</v>
      </c>
      <c r="K217" s="5">
        <v>437.0</v>
      </c>
      <c r="L217" s="5">
        <v>-2.8372</v>
      </c>
      <c r="M217" s="5">
        <v>1.431985</v>
      </c>
      <c r="N217" s="5">
        <v>-1.405215</v>
      </c>
      <c r="O217" s="5">
        <v>0.077575</v>
      </c>
    </row>
    <row r="218">
      <c r="A218" s="18" t="str">
        <f>IFERROR(__xludf.DUMMYFUNCTION("""COMPUTED_VALUE"""),"")</f>
        <v/>
      </c>
      <c r="B218" s="19" t="str">
        <f>IFERROR(__xludf.DUMMYFUNCTION("""COMPUTED_VALUE"""),"")</f>
        <v/>
      </c>
      <c r="C218" s="20" t="str">
        <f>IFERROR(__xludf.DUMMYFUNCTION("""COMPUTED_VALUE"""),"")</f>
        <v/>
      </c>
      <c r="D218" s="21" t="str">
        <f>IFERROR(__xludf.DUMMYFUNCTION("""COMPUTED_VALUE"""),"")</f>
        <v/>
      </c>
      <c r="E218" s="21" t="str">
        <f>IFERROR(__xludf.DUMMYFUNCTION("""COMPUTED_VALUE"""),"")</f>
        <v/>
      </c>
      <c r="F218" s="21" t="str">
        <f>IFERROR(__xludf.DUMMYFUNCTION("""COMPUTED_VALUE"""),"")</f>
        <v/>
      </c>
      <c r="G218" s="23" t="str">
        <f>IFERROR(__xludf.DUMMYFUNCTION("""COMPUTED_VALUE"""),"")</f>
        <v/>
      </c>
      <c r="H218" s="4"/>
      <c r="I218" s="5" t="s">
        <v>3424</v>
      </c>
      <c r="J218" s="5" t="s">
        <v>3233</v>
      </c>
      <c r="K218" s="5">
        <v>45.0</v>
      </c>
      <c r="L218" s="5">
        <v>-1.134274</v>
      </c>
      <c r="M218" s="5">
        <v>-0.288334</v>
      </c>
      <c r="N218" s="5">
        <v>-1.422608</v>
      </c>
      <c r="O218" s="5">
        <v>0.007696</v>
      </c>
    </row>
    <row r="219">
      <c r="A219" s="12" t="str">
        <f>IFERROR(__xludf.DUMMYFUNCTION("""COMPUTED_VALUE"""),"")</f>
        <v/>
      </c>
      <c r="B219" s="13" t="str">
        <f>IFERROR(__xludf.DUMMYFUNCTION("""COMPUTED_VALUE"""),"")</f>
        <v/>
      </c>
      <c r="C219" s="14" t="str">
        <f>IFERROR(__xludf.DUMMYFUNCTION("""COMPUTED_VALUE"""),"")</f>
        <v/>
      </c>
      <c r="D219" s="15" t="str">
        <f>IFERROR(__xludf.DUMMYFUNCTION("""COMPUTED_VALUE"""),"")</f>
        <v/>
      </c>
      <c r="E219" s="15" t="str">
        <f>IFERROR(__xludf.DUMMYFUNCTION("""COMPUTED_VALUE"""),"")</f>
        <v/>
      </c>
      <c r="F219" s="15" t="str">
        <f>IFERROR(__xludf.DUMMYFUNCTION("""COMPUTED_VALUE"""),"")</f>
        <v/>
      </c>
      <c r="G219" s="17" t="str">
        <f>IFERROR(__xludf.DUMMYFUNCTION("""COMPUTED_VALUE"""),"")</f>
        <v/>
      </c>
      <c r="H219" s="4"/>
      <c r="I219" s="5" t="s">
        <v>3425</v>
      </c>
      <c r="J219" s="5" t="s">
        <v>3205</v>
      </c>
      <c r="K219" s="5">
        <v>102.0</v>
      </c>
      <c r="L219" s="5">
        <v>0.466139</v>
      </c>
      <c r="M219" s="5">
        <v>-1.903523</v>
      </c>
      <c r="N219" s="5">
        <v>-1.437385</v>
      </c>
      <c r="O219" s="5">
        <v>0.017406</v>
      </c>
    </row>
    <row r="220">
      <c r="A220" s="18" t="str">
        <f>IFERROR(__xludf.DUMMYFUNCTION("""COMPUTED_VALUE"""),"")</f>
        <v/>
      </c>
      <c r="B220" s="19" t="str">
        <f>IFERROR(__xludf.DUMMYFUNCTION("""COMPUTED_VALUE"""),"")</f>
        <v/>
      </c>
      <c r="C220" s="20" t="str">
        <f>IFERROR(__xludf.DUMMYFUNCTION("""COMPUTED_VALUE"""),"")</f>
        <v/>
      </c>
      <c r="D220" s="21" t="str">
        <f>IFERROR(__xludf.DUMMYFUNCTION("""COMPUTED_VALUE"""),"")</f>
        <v/>
      </c>
      <c r="E220" s="21" t="str">
        <f>IFERROR(__xludf.DUMMYFUNCTION("""COMPUTED_VALUE"""),"")</f>
        <v/>
      </c>
      <c r="F220" s="21" t="str">
        <f>IFERROR(__xludf.DUMMYFUNCTION("""COMPUTED_VALUE"""),"")</f>
        <v/>
      </c>
      <c r="G220" s="23" t="str">
        <f>IFERROR(__xludf.DUMMYFUNCTION("""COMPUTED_VALUE"""),"")</f>
        <v/>
      </c>
      <c r="H220" s="4"/>
      <c r="I220" s="5" t="s">
        <v>3426</v>
      </c>
      <c r="J220" s="5" t="s">
        <v>3205</v>
      </c>
      <c r="K220" s="5">
        <v>555.0</v>
      </c>
      <c r="L220" s="5">
        <v>0.185051</v>
      </c>
      <c r="M220" s="5">
        <v>-1.643163</v>
      </c>
      <c r="N220" s="5">
        <v>-1.458112</v>
      </c>
      <c r="O220" s="5">
        <v>0.091154</v>
      </c>
    </row>
    <row r="221">
      <c r="A221" s="12" t="str">
        <f>IFERROR(__xludf.DUMMYFUNCTION("""COMPUTED_VALUE"""),"")</f>
        <v/>
      </c>
      <c r="B221" s="13" t="str">
        <f>IFERROR(__xludf.DUMMYFUNCTION("""COMPUTED_VALUE"""),"")</f>
        <v/>
      </c>
      <c r="C221" s="14" t="str">
        <f>IFERROR(__xludf.DUMMYFUNCTION("""COMPUTED_VALUE"""),"")</f>
        <v/>
      </c>
      <c r="D221" s="15" t="str">
        <f>IFERROR(__xludf.DUMMYFUNCTION("""COMPUTED_VALUE"""),"")</f>
        <v/>
      </c>
      <c r="E221" s="15" t="str">
        <f>IFERROR(__xludf.DUMMYFUNCTION("""COMPUTED_VALUE"""),"")</f>
        <v/>
      </c>
      <c r="F221" s="15" t="str">
        <f>IFERROR(__xludf.DUMMYFUNCTION("""COMPUTED_VALUE"""),"")</f>
        <v/>
      </c>
      <c r="G221" s="17" t="str">
        <f>IFERROR(__xludf.DUMMYFUNCTION("""COMPUTED_VALUE"""),"")</f>
        <v/>
      </c>
      <c r="H221" s="4"/>
      <c r="I221" s="5" t="s">
        <v>3427</v>
      </c>
      <c r="J221" s="5" t="s">
        <v>2201</v>
      </c>
      <c r="K221" s="5">
        <v>185.0</v>
      </c>
      <c r="L221" s="5">
        <v>-2.143103</v>
      </c>
      <c r="M221" s="5">
        <v>0.673756</v>
      </c>
      <c r="N221" s="5">
        <v>-1.469347</v>
      </c>
      <c r="O221" s="5">
        <v>0.030047</v>
      </c>
    </row>
    <row r="222">
      <c r="A222" s="18" t="str">
        <f>IFERROR(__xludf.DUMMYFUNCTION("""COMPUTED_VALUE"""),"")</f>
        <v/>
      </c>
      <c r="B222" s="19" t="str">
        <f>IFERROR(__xludf.DUMMYFUNCTION("""COMPUTED_VALUE"""),"")</f>
        <v/>
      </c>
      <c r="C222" s="20" t="str">
        <f>IFERROR(__xludf.DUMMYFUNCTION("""COMPUTED_VALUE"""),"")</f>
        <v/>
      </c>
      <c r="D222" s="21" t="str">
        <f>IFERROR(__xludf.DUMMYFUNCTION("""COMPUTED_VALUE"""),"")</f>
        <v/>
      </c>
      <c r="E222" s="21" t="str">
        <f>IFERROR(__xludf.DUMMYFUNCTION("""COMPUTED_VALUE"""),"")</f>
        <v/>
      </c>
      <c r="F222" s="21" t="str">
        <f>IFERROR(__xludf.DUMMYFUNCTION("""COMPUTED_VALUE"""),"")</f>
        <v/>
      </c>
      <c r="G222" s="23" t="str">
        <f>IFERROR(__xludf.DUMMYFUNCTION("""COMPUTED_VALUE"""),"")</f>
        <v/>
      </c>
      <c r="H222" s="4"/>
      <c r="I222" s="5" t="s">
        <v>3428</v>
      </c>
      <c r="J222" s="5" t="s">
        <v>644</v>
      </c>
      <c r="K222" s="5">
        <v>670.0</v>
      </c>
      <c r="L222" s="5">
        <v>-0.946641</v>
      </c>
      <c r="M222" s="5">
        <v>-0.529658</v>
      </c>
      <c r="N222" s="5">
        <v>-1.476299</v>
      </c>
      <c r="O222" s="5">
        <v>0.106569</v>
      </c>
    </row>
    <row r="223">
      <c r="A223" s="12" t="str">
        <f>IFERROR(__xludf.DUMMYFUNCTION("""COMPUTED_VALUE"""),"")</f>
        <v/>
      </c>
      <c r="B223" s="13" t="str">
        <f>IFERROR(__xludf.DUMMYFUNCTION("""COMPUTED_VALUE"""),"")</f>
        <v/>
      </c>
      <c r="C223" s="14" t="str">
        <f>IFERROR(__xludf.DUMMYFUNCTION("""COMPUTED_VALUE"""),"")</f>
        <v/>
      </c>
      <c r="D223" s="15" t="str">
        <f>IFERROR(__xludf.DUMMYFUNCTION("""COMPUTED_VALUE"""),"")</f>
        <v/>
      </c>
      <c r="E223" s="15" t="str">
        <f>IFERROR(__xludf.DUMMYFUNCTION("""COMPUTED_VALUE"""),"")</f>
        <v/>
      </c>
      <c r="F223" s="15" t="str">
        <f>IFERROR(__xludf.DUMMYFUNCTION("""COMPUTED_VALUE"""),"")</f>
        <v/>
      </c>
      <c r="G223" s="17" t="str">
        <f>IFERROR(__xludf.DUMMYFUNCTION("""COMPUTED_VALUE"""),"")</f>
        <v/>
      </c>
      <c r="H223" s="4"/>
      <c r="I223" s="5" t="s">
        <v>3429</v>
      </c>
      <c r="J223" s="5" t="s">
        <v>3331</v>
      </c>
      <c r="K223" s="5">
        <v>437.0</v>
      </c>
      <c r="L223" s="5">
        <v>-0.929777</v>
      </c>
      <c r="M223" s="5">
        <v>-0.558018</v>
      </c>
      <c r="N223" s="5">
        <v>-1.487795</v>
      </c>
      <c r="O223" s="5">
        <v>0.067921</v>
      </c>
    </row>
    <row r="224">
      <c r="A224" s="18" t="str">
        <f>IFERROR(__xludf.DUMMYFUNCTION("""COMPUTED_VALUE"""),"")</f>
        <v/>
      </c>
      <c r="B224" s="19" t="str">
        <f>IFERROR(__xludf.DUMMYFUNCTION("""COMPUTED_VALUE"""),"")</f>
        <v/>
      </c>
      <c r="C224" s="20" t="str">
        <f>IFERROR(__xludf.DUMMYFUNCTION("""COMPUTED_VALUE"""),"")</f>
        <v/>
      </c>
      <c r="D224" s="21" t="str">
        <f>IFERROR(__xludf.DUMMYFUNCTION("""COMPUTED_VALUE"""),"")</f>
        <v/>
      </c>
      <c r="E224" s="21" t="str">
        <f>IFERROR(__xludf.DUMMYFUNCTION("""COMPUTED_VALUE"""),"")</f>
        <v/>
      </c>
      <c r="F224" s="21" t="str">
        <f>IFERROR(__xludf.DUMMYFUNCTION("""COMPUTED_VALUE"""),"")</f>
        <v/>
      </c>
      <c r="G224" s="23" t="str">
        <f>IFERROR(__xludf.DUMMYFUNCTION("""COMPUTED_VALUE"""),"")</f>
        <v/>
      </c>
      <c r="H224" s="4"/>
      <c r="I224" s="5" t="s">
        <v>942</v>
      </c>
      <c r="J224" s="5" t="s">
        <v>3237</v>
      </c>
      <c r="K224" s="5">
        <v>692.0</v>
      </c>
      <c r="L224" s="5">
        <v>0.18515</v>
      </c>
      <c r="M224" s="5">
        <v>-1.711086</v>
      </c>
      <c r="N224" s="5">
        <v>-1.525936</v>
      </c>
      <c r="O224" s="5">
        <v>0.110743</v>
      </c>
    </row>
    <row r="225">
      <c r="A225" s="12" t="str">
        <f>IFERROR(__xludf.DUMMYFUNCTION("""COMPUTED_VALUE"""),"")</f>
        <v/>
      </c>
      <c r="B225" s="13" t="str">
        <f>IFERROR(__xludf.DUMMYFUNCTION("""COMPUTED_VALUE"""),"")</f>
        <v/>
      </c>
      <c r="C225" s="14" t="str">
        <f>IFERROR(__xludf.DUMMYFUNCTION("""COMPUTED_VALUE"""),"")</f>
        <v/>
      </c>
      <c r="D225" s="15" t="str">
        <f>IFERROR(__xludf.DUMMYFUNCTION("""COMPUTED_VALUE"""),"")</f>
        <v/>
      </c>
      <c r="E225" s="15" t="str">
        <f>IFERROR(__xludf.DUMMYFUNCTION("""COMPUTED_VALUE"""),"")</f>
        <v/>
      </c>
      <c r="F225" s="15" t="str">
        <f>IFERROR(__xludf.DUMMYFUNCTION("""COMPUTED_VALUE"""),"")</f>
        <v/>
      </c>
      <c r="G225" s="17" t="str">
        <f>IFERROR(__xludf.DUMMYFUNCTION("""COMPUTED_VALUE"""),"")</f>
        <v/>
      </c>
      <c r="H225" s="4"/>
      <c r="I225" s="5" t="s">
        <v>3430</v>
      </c>
      <c r="J225" s="5" t="s">
        <v>3283</v>
      </c>
      <c r="K225" s="5">
        <v>181.0</v>
      </c>
      <c r="L225" s="5">
        <v>-0.180683</v>
      </c>
      <c r="M225" s="5">
        <v>-1.368194</v>
      </c>
      <c r="N225" s="5">
        <v>-1.548877</v>
      </c>
      <c r="O225" s="5">
        <v>0.024862</v>
      </c>
    </row>
    <row r="226">
      <c r="A226" s="18" t="str">
        <f>IFERROR(__xludf.DUMMYFUNCTION("""COMPUTED_VALUE"""),"")</f>
        <v/>
      </c>
      <c r="B226" s="19" t="str">
        <f>IFERROR(__xludf.DUMMYFUNCTION("""COMPUTED_VALUE"""),"")</f>
        <v/>
      </c>
      <c r="C226" s="20" t="str">
        <f>IFERROR(__xludf.DUMMYFUNCTION("""COMPUTED_VALUE"""),"")</f>
        <v/>
      </c>
      <c r="D226" s="21" t="str">
        <f>IFERROR(__xludf.DUMMYFUNCTION("""COMPUTED_VALUE"""),"")</f>
        <v/>
      </c>
      <c r="E226" s="21" t="str">
        <f>IFERROR(__xludf.DUMMYFUNCTION("""COMPUTED_VALUE"""),"")</f>
        <v/>
      </c>
      <c r="F226" s="21" t="str">
        <f>IFERROR(__xludf.DUMMYFUNCTION("""COMPUTED_VALUE"""),"")</f>
        <v/>
      </c>
      <c r="G226" s="23" t="str">
        <f>IFERROR(__xludf.DUMMYFUNCTION("""COMPUTED_VALUE"""),"")</f>
        <v/>
      </c>
      <c r="H226" s="4"/>
      <c r="I226" s="5" t="s">
        <v>3431</v>
      </c>
      <c r="J226" s="5" t="s">
        <v>3226</v>
      </c>
      <c r="K226" s="5">
        <v>416.0</v>
      </c>
      <c r="L226" s="5">
        <v>-0.941768</v>
      </c>
      <c r="M226" s="5">
        <v>-0.635026</v>
      </c>
      <c r="N226" s="5">
        <v>-1.576794</v>
      </c>
      <c r="O226" s="5">
        <v>0.053669</v>
      </c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 t="s">
        <v>3432</v>
      </c>
      <c r="J227" s="5" t="s">
        <v>2201</v>
      </c>
      <c r="K227" s="24">
        <v>221.0</v>
      </c>
      <c r="L227" s="5">
        <v>-3.002004</v>
      </c>
      <c r="M227" s="5">
        <v>1.420141</v>
      </c>
      <c r="N227" s="5">
        <v>-1.581863</v>
      </c>
      <c r="O227" s="5">
        <v>0.028184</v>
      </c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 t="s">
        <v>949</v>
      </c>
      <c r="J228" s="5" t="s">
        <v>3217</v>
      </c>
      <c r="K228" s="5">
        <v>173.0</v>
      </c>
      <c r="L228" s="5">
        <v>-2.031342</v>
      </c>
      <c r="M228" s="5">
        <v>0.427901</v>
      </c>
      <c r="N228" s="5">
        <v>-1.603441</v>
      </c>
      <c r="O228" s="5">
        <v>0.020636</v>
      </c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 t="s">
        <v>3433</v>
      </c>
      <c r="J229" s="5" t="s">
        <v>3283</v>
      </c>
      <c r="K229" s="24">
        <v>381.0</v>
      </c>
      <c r="L229" s="5">
        <v>0.651514</v>
      </c>
      <c r="M229" s="5">
        <v>-2.266925</v>
      </c>
      <c r="N229" s="5">
        <v>-1.615411</v>
      </c>
      <c r="O229" s="5">
        <v>0.044529</v>
      </c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 t="s">
        <v>3434</v>
      </c>
      <c r="J230" s="5" t="s">
        <v>3215</v>
      </c>
      <c r="K230" s="24">
        <v>46.0</v>
      </c>
      <c r="L230" s="5">
        <v>-1.436566</v>
      </c>
      <c r="M230" s="5">
        <v>-0.185182</v>
      </c>
      <c r="N230" s="5">
        <v>-1.621747</v>
      </c>
      <c r="O230" s="5">
        <v>0.005283</v>
      </c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 t="s">
        <v>3435</v>
      </c>
      <c r="J231" s="5" t="s">
        <v>3229</v>
      </c>
      <c r="K231" s="5">
        <v>63.0</v>
      </c>
      <c r="L231" s="5">
        <v>-0.136159</v>
      </c>
      <c r="M231" s="5">
        <v>-1.506286</v>
      </c>
      <c r="N231" s="5">
        <v>-1.642445</v>
      </c>
      <c r="O231" s="5">
        <v>0.007152</v>
      </c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 t="s">
        <v>3436</v>
      </c>
      <c r="J232" s="5" t="s">
        <v>3237</v>
      </c>
      <c r="K232" s="5">
        <v>260.0</v>
      </c>
      <c r="L232" s="5">
        <v>0.831814</v>
      </c>
      <c r="M232" s="5">
        <v>-2.486188</v>
      </c>
      <c r="N232" s="5">
        <v>-1.654373</v>
      </c>
      <c r="O232" s="5">
        <v>0.03033</v>
      </c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 t="s">
        <v>3437</v>
      </c>
      <c r="J233" s="5" t="s">
        <v>3207</v>
      </c>
      <c r="K233" s="24">
        <v>86.0</v>
      </c>
      <c r="L233" s="5">
        <v>-0.88667</v>
      </c>
      <c r="M233" s="5">
        <v>-0.805056</v>
      </c>
      <c r="N233" s="5">
        <v>-1.691726</v>
      </c>
      <c r="O233" s="5">
        <v>0.007924</v>
      </c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 t="s">
        <v>3438</v>
      </c>
      <c r="J234" s="5" t="s">
        <v>3278</v>
      </c>
      <c r="K234" s="5">
        <v>322.0</v>
      </c>
      <c r="L234" s="5">
        <v>-1.33954</v>
      </c>
      <c r="M234" s="5">
        <v>-0.361065</v>
      </c>
      <c r="N234" s="5">
        <v>-1.700604</v>
      </c>
      <c r="O234" s="5">
        <v>0.029141</v>
      </c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 t="s">
        <v>3439</v>
      </c>
      <c r="J235" s="5" t="s">
        <v>2201</v>
      </c>
      <c r="K235" s="5">
        <v>437.0</v>
      </c>
      <c r="L235" s="5">
        <v>-4.366636</v>
      </c>
      <c r="M235" s="5">
        <v>2.600493</v>
      </c>
      <c r="N235" s="5">
        <v>-1.766143</v>
      </c>
      <c r="O235" s="5">
        <v>0.031204</v>
      </c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 t="s">
        <v>3440</v>
      </c>
      <c r="J236" s="5" t="s">
        <v>3223</v>
      </c>
      <c r="K236" s="5">
        <v>592.0</v>
      </c>
      <c r="L236" s="5">
        <v>-1.651993</v>
      </c>
      <c r="M236" s="5">
        <v>-0.152759</v>
      </c>
      <c r="N236" s="5">
        <v>-1.804752</v>
      </c>
      <c r="O236" s="5">
        <v>0.035141</v>
      </c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 t="s">
        <v>3441</v>
      </c>
      <c r="J237" s="5" t="s">
        <v>3251</v>
      </c>
      <c r="K237" s="5">
        <v>330.0</v>
      </c>
      <c r="L237" s="5">
        <v>-0.562051</v>
      </c>
      <c r="M237" s="5">
        <v>-1.260419</v>
      </c>
      <c r="N237" s="5">
        <v>-1.82247</v>
      </c>
      <c r="O237" s="5">
        <v>0.017776</v>
      </c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 t="s">
        <v>3442</v>
      </c>
      <c r="J238" s="5" t="s">
        <v>644</v>
      </c>
      <c r="K238" s="5">
        <v>59.0</v>
      </c>
      <c r="L238" s="5">
        <v>-1.276908</v>
      </c>
      <c r="M238" s="5">
        <v>-0.549891</v>
      </c>
      <c r="N238" s="5">
        <v>-1.826799</v>
      </c>
      <c r="O238" s="5">
        <v>0.003123</v>
      </c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 t="s">
        <v>3443</v>
      </c>
      <c r="J239" s="5" t="s">
        <v>3229</v>
      </c>
      <c r="K239" s="24">
        <v>249.0</v>
      </c>
      <c r="L239" s="5">
        <v>-1.095146</v>
      </c>
      <c r="M239" s="5">
        <v>-0.732315</v>
      </c>
      <c r="N239" s="5">
        <v>-1.827461</v>
      </c>
      <c r="O239" s="5">
        <v>0.013564</v>
      </c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 t="s">
        <v>3444</v>
      </c>
      <c r="J240" s="5" t="s">
        <v>3237</v>
      </c>
      <c r="K240" s="5">
        <v>55.0</v>
      </c>
      <c r="L240" s="5">
        <v>-0.950707</v>
      </c>
      <c r="M240" s="5">
        <v>-0.877893</v>
      </c>
      <c r="N240" s="5">
        <v>-1.828601</v>
      </c>
      <c r="O240" s="5">
        <v>0.003204</v>
      </c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 t="s">
        <v>3445</v>
      </c>
      <c r="J241" s="5" t="s">
        <v>3251</v>
      </c>
      <c r="K241" s="24">
        <v>640.0</v>
      </c>
      <c r="L241" s="5">
        <v>-0.974066</v>
      </c>
      <c r="M241" s="5">
        <v>-0.880508</v>
      </c>
      <c r="N241" s="5">
        <v>-1.854575</v>
      </c>
      <c r="O241" s="5">
        <v>0.028258</v>
      </c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 t="s">
        <v>3446</v>
      </c>
      <c r="J242" s="5" t="s">
        <v>644</v>
      </c>
      <c r="K242" s="5">
        <v>330.0</v>
      </c>
      <c r="L242" s="5">
        <v>-0.058871</v>
      </c>
      <c r="M242" s="5">
        <v>-1.79851</v>
      </c>
      <c r="N242" s="5">
        <v>-1.857381</v>
      </c>
      <c r="O242" s="5">
        <v>0.014288</v>
      </c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 t="s">
        <v>3447</v>
      </c>
      <c r="J243" s="5" t="s">
        <v>2201</v>
      </c>
      <c r="K243" s="5">
        <v>423.0</v>
      </c>
      <c r="L243" s="5">
        <v>-1.121156</v>
      </c>
      <c r="M243" s="5">
        <v>-0.743679</v>
      </c>
      <c r="N243" s="5">
        <v>-1.864835</v>
      </c>
      <c r="O243" s="5">
        <v>0.017453</v>
      </c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 t="s">
        <v>3448</v>
      </c>
      <c r="J244" s="5" t="s">
        <v>3203</v>
      </c>
      <c r="K244" s="5">
        <v>497.0</v>
      </c>
      <c r="L244" s="5">
        <v>-2.529456</v>
      </c>
      <c r="M244" s="5">
        <v>0.654112</v>
      </c>
      <c r="N244" s="5">
        <v>-1.875344</v>
      </c>
      <c r="O244" s="5">
        <v>0.018802</v>
      </c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 t="s">
        <v>3449</v>
      </c>
      <c r="J245" s="5" t="s">
        <v>3233</v>
      </c>
      <c r="K245" s="5">
        <v>897.0</v>
      </c>
      <c r="L245" s="5">
        <v>0.349784</v>
      </c>
      <c r="M245" s="5">
        <v>-2.246134</v>
      </c>
      <c r="N245" s="5">
        <v>-1.896351</v>
      </c>
      <c r="O245" s="5">
        <v>0.027471</v>
      </c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 t="s">
        <v>3450</v>
      </c>
      <c r="J246" s="5" t="s">
        <v>3220</v>
      </c>
      <c r="K246" s="5">
        <v>180.0</v>
      </c>
      <c r="L246" s="5">
        <v>-1.034085</v>
      </c>
      <c r="M246" s="5">
        <v>-0.930863</v>
      </c>
      <c r="N246" s="5">
        <v>-1.964947</v>
      </c>
      <c r="O246" s="5">
        <v>0.001937</v>
      </c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 t="s">
        <v>3451</v>
      </c>
      <c r="J247" s="5" t="s">
        <v>3220</v>
      </c>
      <c r="K247" s="5">
        <v>323.0</v>
      </c>
      <c r="L247" s="5">
        <v>-2.154155</v>
      </c>
      <c r="M247" s="5">
        <v>0.157415</v>
      </c>
      <c r="N247" s="5">
        <v>-1.996739</v>
      </c>
      <c r="O247" s="5">
        <v>3.24E-4</v>
      </c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 t="s">
        <v>3452</v>
      </c>
      <c r="J248" s="5" t="s">
        <v>2201</v>
      </c>
      <c r="K248" s="5">
        <v>49.0</v>
      </c>
      <c r="L248" s="5">
        <v>-1.453442</v>
      </c>
      <c r="M248" s="5">
        <v>-0.549813</v>
      </c>
      <c r="N248" s="5">
        <v>-2.003254</v>
      </c>
      <c r="O248" s="5">
        <v>-4.9E-5</v>
      </c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 t="s">
        <v>3453</v>
      </c>
      <c r="J249" s="5" t="s">
        <v>3226</v>
      </c>
      <c r="K249" s="5">
        <v>297.0</v>
      </c>
      <c r="L249" s="5">
        <v>-3.100941</v>
      </c>
      <c r="M249" s="5">
        <v>1.097519</v>
      </c>
      <c r="N249" s="5">
        <v>-2.003422</v>
      </c>
      <c r="O249" s="5">
        <v>-3.1E-4</v>
      </c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 t="s">
        <v>3454</v>
      </c>
      <c r="J250" s="5" t="s">
        <v>3203</v>
      </c>
      <c r="K250" s="5">
        <v>362.0</v>
      </c>
      <c r="L250" s="5">
        <v>-0.113415</v>
      </c>
      <c r="M250" s="5">
        <v>-1.974144</v>
      </c>
      <c r="N250" s="5">
        <v>-2.087559</v>
      </c>
      <c r="O250" s="5">
        <v>-0.009598</v>
      </c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 t="s">
        <v>3455</v>
      </c>
      <c r="J251" s="5" t="s">
        <v>644</v>
      </c>
      <c r="K251" s="24">
        <v>106.0</v>
      </c>
      <c r="L251" s="5">
        <v>-0.683731</v>
      </c>
      <c r="M251" s="5">
        <v>-1.408786</v>
      </c>
      <c r="N251" s="5">
        <v>-2.092517</v>
      </c>
      <c r="O251" s="5">
        <v>-0.002983</v>
      </c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 t="s">
        <v>3456</v>
      </c>
      <c r="J252" s="5" t="s">
        <v>3256</v>
      </c>
      <c r="K252" s="5">
        <v>69.0</v>
      </c>
      <c r="L252" s="5">
        <v>-0.936564</v>
      </c>
      <c r="M252" s="5">
        <v>-1.15913</v>
      </c>
      <c r="N252" s="5">
        <v>-2.095694</v>
      </c>
      <c r="O252" s="5">
        <v>-0.002001</v>
      </c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 t="s">
        <v>3457</v>
      </c>
      <c r="J253" s="5" t="s">
        <v>3281</v>
      </c>
      <c r="K253" s="5">
        <v>43.0</v>
      </c>
      <c r="L253" s="5">
        <v>-1.930465</v>
      </c>
      <c r="M253" s="5">
        <v>-0.176145</v>
      </c>
      <c r="N253" s="5">
        <v>-2.10661</v>
      </c>
      <c r="O253" s="5">
        <v>-0.001381</v>
      </c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 t="s">
        <v>3458</v>
      </c>
      <c r="J254" s="5" t="s">
        <v>3237</v>
      </c>
      <c r="K254" s="24">
        <v>132.0</v>
      </c>
      <c r="L254" s="5">
        <v>-1.785034</v>
      </c>
      <c r="M254" s="5">
        <v>-0.333231</v>
      </c>
      <c r="N254" s="5">
        <v>-2.118266</v>
      </c>
      <c r="O254" s="5">
        <v>-0.005283</v>
      </c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 t="s">
        <v>1137</v>
      </c>
      <c r="J255" s="5" t="s">
        <v>3233</v>
      </c>
      <c r="K255" s="5">
        <v>224.0</v>
      </c>
      <c r="L255" s="5">
        <v>-1.490313</v>
      </c>
      <c r="M255" s="5">
        <v>-0.629871</v>
      </c>
      <c r="N255" s="5">
        <v>-2.120184</v>
      </c>
      <c r="O255" s="5">
        <v>-0.007963</v>
      </c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 t="s">
        <v>3459</v>
      </c>
      <c r="J256" s="5" t="s">
        <v>3331</v>
      </c>
      <c r="K256" s="5">
        <v>83.0</v>
      </c>
      <c r="L256" s="5">
        <v>-2.144994</v>
      </c>
      <c r="M256" s="5">
        <v>0.007608</v>
      </c>
      <c r="N256" s="5">
        <v>-2.137385</v>
      </c>
      <c r="O256" s="5">
        <v>-0.00344</v>
      </c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 t="s">
        <v>3460</v>
      </c>
      <c r="J257" s="5" t="s">
        <v>3240</v>
      </c>
      <c r="K257" s="5">
        <v>254.0</v>
      </c>
      <c r="L257" s="5">
        <v>-0.369819</v>
      </c>
      <c r="M257" s="5">
        <v>-1.77254</v>
      </c>
      <c r="N257" s="5">
        <v>-2.14236</v>
      </c>
      <c r="O257" s="5">
        <v>-0.011031</v>
      </c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 t="s">
        <v>3461</v>
      </c>
      <c r="J258" s="5" t="s">
        <v>3203</v>
      </c>
      <c r="K258" s="5">
        <v>48.0</v>
      </c>
      <c r="L258" s="5">
        <v>-1.828336</v>
      </c>
      <c r="M258" s="5">
        <v>-0.326061</v>
      </c>
      <c r="N258" s="5">
        <v>-2.154397</v>
      </c>
      <c r="O258" s="5">
        <v>-0.002247</v>
      </c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 t="s">
        <v>1247</v>
      </c>
      <c r="J259" s="5" t="s">
        <v>3263</v>
      </c>
      <c r="K259" s="5">
        <v>376.0</v>
      </c>
      <c r="L259" s="5">
        <v>-2.387322</v>
      </c>
      <c r="M259" s="5">
        <v>0.227415</v>
      </c>
      <c r="N259" s="5">
        <v>-2.159907</v>
      </c>
      <c r="O259" s="5">
        <v>-0.018052</v>
      </c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 t="s">
        <v>3462</v>
      </c>
      <c r="J260" s="5" t="s">
        <v>3205</v>
      </c>
      <c r="K260" s="5">
        <v>710.0</v>
      </c>
      <c r="L260" s="5">
        <v>-0.51303</v>
      </c>
      <c r="M260" s="5">
        <v>-1.676971</v>
      </c>
      <c r="N260" s="5">
        <v>-2.190001</v>
      </c>
      <c r="O260" s="5">
        <v>-0.040923</v>
      </c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 t="s">
        <v>3463</v>
      </c>
      <c r="J261" s="5" t="s">
        <v>3263</v>
      </c>
      <c r="K261" s="24">
        <v>107.0</v>
      </c>
      <c r="L261" s="5">
        <v>-2.387557</v>
      </c>
      <c r="M261" s="5">
        <v>0.175784</v>
      </c>
      <c r="N261" s="5">
        <v>-2.211773</v>
      </c>
      <c r="O261" s="5">
        <v>-0.006791</v>
      </c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 t="s">
        <v>3464</v>
      </c>
      <c r="J262" s="5" t="s">
        <v>3251</v>
      </c>
      <c r="K262" s="5">
        <v>492.0</v>
      </c>
      <c r="L262" s="5">
        <v>-1.739502</v>
      </c>
      <c r="M262" s="5">
        <v>-0.476302</v>
      </c>
      <c r="N262" s="5">
        <v>-2.215804</v>
      </c>
      <c r="O262" s="5">
        <v>-0.032236</v>
      </c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 t="s">
        <v>3465</v>
      </c>
      <c r="J263" s="5" t="s">
        <v>3278</v>
      </c>
      <c r="K263" s="5">
        <v>121.0</v>
      </c>
      <c r="L263" s="5">
        <v>-1.645214</v>
      </c>
      <c r="M263" s="5">
        <v>-0.588362</v>
      </c>
      <c r="N263" s="5">
        <v>-2.233576</v>
      </c>
      <c r="O263" s="5">
        <v>-0.008542</v>
      </c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 t="s">
        <v>3466</v>
      </c>
      <c r="J264" s="5" t="s">
        <v>3283</v>
      </c>
      <c r="K264" s="5">
        <v>51.0</v>
      </c>
      <c r="L264" s="5">
        <v>-1.663396</v>
      </c>
      <c r="M264" s="5">
        <v>-0.616178</v>
      </c>
      <c r="N264" s="5">
        <v>-2.279573</v>
      </c>
      <c r="O264" s="5">
        <v>-0.004366</v>
      </c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 t="s">
        <v>3467</v>
      </c>
      <c r="J265" s="5" t="s">
        <v>2201</v>
      </c>
      <c r="K265" s="5">
        <v>342.0</v>
      </c>
      <c r="L265" s="5">
        <v>-2.2531</v>
      </c>
      <c r="M265" s="5">
        <v>-0.045533</v>
      </c>
      <c r="N265" s="5">
        <v>-2.298633</v>
      </c>
      <c r="O265" s="5">
        <v>-0.031201</v>
      </c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 t="s">
        <v>3468</v>
      </c>
      <c r="J266" s="5" t="s">
        <v>3240</v>
      </c>
      <c r="K266" s="5">
        <v>77.0</v>
      </c>
      <c r="L266" s="5">
        <v>-1.962044</v>
      </c>
      <c r="M266" s="5">
        <v>-0.3436</v>
      </c>
      <c r="N266" s="5">
        <v>-2.305644</v>
      </c>
      <c r="O266" s="5">
        <v>-0.00713</v>
      </c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 t="s">
        <v>3469</v>
      </c>
      <c r="J267" s="5" t="s">
        <v>3281</v>
      </c>
      <c r="K267" s="5">
        <v>508.0</v>
      </c>
      <c r="L267" s="5">
        <v>-2.612061</v>
      </c>
      <c r="M267" s="5">
        <v>0.296944</v>
      </c>
      <c r="N267" s="5">
        <v>-2.315116</v>
      </c>
      <c r="O267" s="5">
        <v>-0.048847</v>
      </c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 t="s">
        <v>3470</v>
      </c>
      <c r="J268" s="5" t="s">
        <v>2838</v>
      </c>
      <c r="K268" s="5">
        <v>486.0</v>
      </c>
      <c r="L268" s="5">
        <v>-3.00061</v>
      </c>
      <c r="M268" s="5">
        <v>0.666445</v>
      </c>
      <c r="N268" s="5">
        <v>-2.334165</v>
      </c>
      <c r="O268" s="5">
        <v>-0.048673</v>
      </c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 t="s">
        <v>3471</v>
      </c>
      <c r="J269" s="5" t="s">
        <v>3210</v>
      </c>
      <c r="K269" s="24">
        <v>448.0</v>
      </c>
      <c r="L269" s="5">
        <v>-2.242264</v>
      </c>
      <c r="M269" s="5">
        <v>-0.09372</v>
      </c>
      <c r="N269" s="5">
        <v>-2.335984</v>
      </c>
      <c r="O269" s="5">
        <v>-0.045252</v>
      </c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 t="s">
        <v>3472</v>
      </c>
      <c r="J270" s="5" t="s">
        <v>3251</v>
      </c>
      <c r="K270" s="5">
        <v>118.0</v>
      </c>
      <c r="L270" s="5">
        <v>-1.575285</v>
      </c>
      <c r="M270" s="5">
        <v>-0.76763</v>
      </c>
      <c r="N270" s="5">
        <v>-2.342916</v>
      </c>
      <c r="O270" s="5">
        <v>-0.012272</v>
      </c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 t="s">
        <v>3473</v>
      </c>
      <c r="J271" s="5" t="s">
        <v>2201</v>
      </c>
      <c r="K271" s="5">
        <v>83.0</v>
      </c>
      <c r="L271" s="5">
        <v>-2.282745</v>
      </c>
      <c r="M271" s="5">
        <v>-0.15631</v>
      </c>
      <c r="N271" s="5">
        <v>-2.439055</v>
      </c>
      <c r="O271" s="5">
        <v>-0.011089</v>
      </c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 t="s">
        <v>3474</v>
      </c>
      <c r="J272" s="5" t="s">
        <v>3215</v>
      </c>
      <c r="K272" s="5">
        <v>110.0</v>
      </c>
      <c r="L272" s="5">
        <v>-2.71702</v>
      </c>
      <c r="M272" s="5">
        <v>0.229508</v>
      </c>
      <c r="N272" s="5">
        <v>-2.487513</v>
      </c>
      <c r="O272" s="5">
        <v>-0.016298</v>
      </c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 t="s">
        <v>3475</v>
      </c>
      <c r="J273" s="5" t="s">
        <v>3237</v>
      </c>
      <c r="K273" s="5">
        <v>62.0</v>
      </c>
      <c r="L273" s="5">
        <v>-1.737551</v>
      </c>
      <c r="M273" s="5">
        <v>-0.763448</v>
      </c>
      <c r="N273" s="5">
        <v>-2.501</v>
      </c>
      <c r="O273" s="5">
        <v>-0.010446</v>
      </c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 t="s">
        <v>3476</v>
      </c>
      <c r="J274" s="5" t="s">
        <v>3226</v>
      </c>
      <c r="K274" s="5">
        <v>342.0</v>
      </c>
      <c r="L274" s="5">
        <v>-2.454833</v>
      </c>
      <c r="M274" s="5">
        <v>-0.066754</v>
      </c>
      <c r="N274" s="5">
        <v>-2.521587</v>
      </c>
      <c r="O274" s="5">
        <v>-0.054463</v>
      </c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 t="s">
        <v>3065</v>
      </c>
      <c r="J275" s="5" t="s">
        <v>3281</v>
      </c>
      <c r="K275" s="5">
        <v>307.0</v>
      </c>
      <c r="L275" s="5">
        <v>-3.415105</v>
      </c>
      <c r="M275" s="5">
        <v>0.848347</v>
      </c>
      <c r="N275" s="5">
        <v>-2.566758</v>
      </c>
      <c r="O275" s="5">
        <v>-0.053103</v>
      </c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 t="s">
        <v>3477</v>
      </c>
      <c r="J276" s="5" t="s">
        <v>3283</v>
      </c>
      <c r="K276" s="5">
        <v>569.0</v>
      </c>
      <c r="L276" s="5">
        <v>-0.577801</v>
      </c>
      <c r="M276" s="5">
        <v>-1.997607</v>
      </c>
      <c r="N276" s="5">
        <v>-2.575408</v>
      </c>
      <c r="O276" s="5">
        <v>-0.099489</v>
      </c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 t="s">
        <v>3478</v>
      </c>
      <c r="J277" s="5" t="s">
        <v>3217</v>
      </c>
      <c r="K277" s="5">
        <v>579.0</v>
      </c>
      <c r="L277" s="5">
        <v>-3.084038</v>
      </c>
      <c r="M277" s="5">
        <v>0.508137</v>
      </c>
      <c r="N277" s="5">
        <v>-2.575901</v>
      </c>
      <c r="O277" s="5">
        <v>-0.100321</v>
      </c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 t="s">
        <v>3479</v>
      </c>
      <c r="J278" s="5" t="s">
        <v>3263</v>
      </c>
      <c r="K278" s="5">
        <v>311.0</v>
      </c>
      <c r="L278" s="5">
        <v>-0.881069</v>
      </c>
      <c r="M278" s="5">
        <v>-1.715344</v>
      </c>
      <c r="N278" s="5">
        <v>-2.596413</v>
      </c>
      <c r="O278" s="5">
        <v>-0.055784</v>
      </c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 t="s">
        <v>1165</v>
      </c>
      <c r="J279" s="5" t="s">
        <v>3263</v>
      </c>
      <c r="K279" s="5">
        <v>98.0</v>
      </c>
      <c r="L279" s="5">
        <v>-1.183657</v>
      </c>
      <c r="M279" s="5">
        <v>-1.437267</v>
      </c>
      <c r="N279" s="5">
        <v>-2.620925</v>
      </c>
      <c r="O279" s="5">
        <v>-0.018233</v>
      </c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 t="s">
        <v>3480</v>
      </c>
      <c r="J280" s="5" t="s">
        <v>3283</v>
      </c>
      <c r="K280" s="5">
        <v>140.0</v>
      </c>
      <c r="L280" s="5">
        <v>-1.6226</v>
      </c>
      <c r="M280" s="5">
        <v>-1.005716</v>
      </c>
      <c r="N280" s="5">
        <v>-2.628315</v>
      </c>
      <c r="O280" s="5">
        <v>-0.026763</v>
      </c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 t="s">
        <v>3481</v>
      </c>
      <c r="J281" s="5" t="s">
        <v>3233</v>
      </c>
      <c r="K281" s="5">
        <v>93.0</v>
      </c>
      <c r="L281" s="5">
        <v>-1.530837</v>
      </c>
      <c r="M281" s="5">
        <v>-1.121027</v>
      </c>
      <c r="N281" s="5">
        <v>-2.651864</v>
      </c>
      <c r="O281" s="5">
        <v>-0.01782</v>
      </c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 t="s">
        <v>930</v>
      </c>
      <c r="J282" s="5" t="s">
        <v>3256</v>
      </c>
      <c r="K282" s="5">
        <v>419.0</v>
      </c>
      <c r="L282" s="5">
        <v>-4.45482</v>
      </c>
      <c r="M282" s="5">
        <v>1.764793</v>
      </c>
      <c r="N282" s="5">
        <v>-2.690027</v>
      </c>
      <c r="O282" s="5">
        <v>-0.087771</v>
      </c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 t="s">
        <v>3482</v>
      </c>
      <c r="J283" s="5" t="s">
        <v>3278</v>
      </c>
      <c r="K283" s="5">
        <v>185.0</v>
      </c>
      <c r="L283" s="5">
        <v>-0.482759</v>
      </c>
      <c r="M283" s="5">
        <v>-2.273796</v>
      </c>
      <c r="N283" s="5">
        <v>-2.756556</v>
      </c>
      <c r="O283" s="5">
        <v>-0.042222</v>
      </c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 t="s">
        <v>3483</v>
      </c>
      <c r="J284" s="5" t="s">
        <v>3263</v>
      </c>
      <c r="K284" s="24">
        <v>183.0</v>
      </c>
      <c r="L284" s="5">
        <v>-2.157038</v>
      </c>
      <c r="M284" s="5">
        <v>-0.609595</v>
      </c>
      <c r="N284" s="5">
        <v>-2.766632</v>
      </c>
      <c r="O284" s="5">
        <v>-0.042189</v>
      </c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 t="s">
        <v>3484</v>
      </c>
      <c r="J285" s="5" t="s">
        <v>3233</v>
      </c>
      <c r="K285" s="5">
        <v>271.0</v>
      </c>
      <c r="L285" s="5">
        <v>-1.61059</v>
      </c>
      <c r="M285" s="5">
        <v>-1.225871</v>
      </c>
      <c r="N285" s="5">
        <v>-2.836461</v>
      </c>
      <c r="O285" s="5">
        <v>-0.066893</v>
      </c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 t="s">
        <v>3485</v>
      </c>
      <c r="J286" s="5" t="s">
        <v>3256</v>
      </c>
      <c r="K286" s="5">
        <v>317.0</v>
      </c>
      <c r="L286" s="5">
        <v>-2.180145</v>
      </c>
      <c r="M286" s="5">
        <v>-0.722607</v>
      </c>
      <c r="N286" s="5">
        <v>-2.902752</v>
      </c>
      <c r="O286" s="5">
        <v>-0.086773</v>
      </c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 t="s">
        <v>3486</v>
      </c>
      <c r="J287" s="5" t="s">
        <v>3283</v>
      </c>
      <c r="K287" s="5">
        <v>92.0</v>
      </c>
      <c r="L287" s="5">
        <v>-2.150085</v>
      </c>
      <c r="M287" s="5">
        <v>-0.775334</v>
      </c>
      <c r="N287" s="5">
        <v>-2.925418</v>
      </c>
      <c r="O287" s="5">
        <v>-0.025726</v>
      </c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 t="s">
        <v>3487</v>
      </c>
      <c r="J288" s="5" t="s">
        <v>3240</v>
      </c>
      <c r="K288" s="5">
        <v>245.0</v>
      </c>
      <c r="L288" s="5">
        <v>-2.728893</v>
      </c>
      <c r="M288" s="5">
        <v>-0.227601</v>
      </c>
      <c r="N288" s="5">
        <v>-2.956494</v>
      </c>
      <c r="O288" s="5">
        <v>-0.071373</v>
      </c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 t="s">
        <v>3488</v>
      </c>
      <c r="J289" s="5" t="s">
        <v>3223</v>
      </c>
      <c r="K289" s="5">
        <v>157.0</v>
      </c>
      <c r="L289" s="5">
        <v>-1.91862</v>
      </c>
      <c r="M289" s="5">
        <v>-1.039035</v>
      </c>
      <c r="N289" s="5">
        <v>-2.957655</v>
      </c>
      <c r="O289" s="5">
        <v>-0.045549</v>
      </c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 t="s">
        <v>3489</v>
      </c>
      <c r="J290" s="5" t="s">
        <v>3215</v>
      </c>
      <c r="K290" s="5">
        <v>117.0</v>
      </c>
      <c r="L290" s="5">
        <v>-0.952545</v>
      </c>
      <c r="M290" s="5">
        <v>-2.006973</v>
      </c>
      <c r="N290" s="5">
        <v>-2.959518</v>
      </c>
      <c r="O290" s="5">
        <v>-0.034176</v>
      </c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 t="s">
        <v>1169</v>
      </c>
      <c r="J291" s="5" t="s">
        <v>3215</v>
      </c>
      <c r="K291" s="5">
        <v>848.0</v>
      </c>
      <c r="L291" s="5">
        <v>0.091624</v>
      </c>
      <c r="M291" s="5">
        <v>-3.065669</v>
      </c>
      <c r="N291" s="5">
        <v>-2.974045</v>
      </c>
      <c r="O291" s="5">
        <v>-0.250839</v>
      </c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 t="s">
        <v>3490</v>
      </c>
      <c r="J292" s="5" t="s">
        <v>3205</v>
      </c>
      <c r="K292" s="5">
        <v>185.0</v>
      </c>
      <c r="L292" s="5">
        <v>-1.609941</v>
      </c>
      <c r="M292" s="5">
        <v>-1.36459</v>
      </c>
      <c r="N292" s="5">
        <v>-2.974531</v>
      </c>
      <c r="O292" s="5">
        <v>-0.054713</v>
      </c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  <c r="I293" s="5" t="s">
        <v>3491</v>
      </c>
      <c r="J293" s="5" t="s">
        <v>644</v>
      </c>
      <c r="K293" s="5">
        <v>553.0</v>
      </c>
      <c r="L293" s="5">
        <v>-1.642326</v>
      </c>
      <c r="M293" s="5">
        <v>-1.336164</v>
      </c>
      <c r="N293" s="5">
        <v>-2.97849</v>
      </c>
      <c r="O293" s="5">
        <v>-0.164152</v>
      </c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  <c r="I294" s="5" t="s">
        <v>3492</v>
      </c>
      <c r="J294" s="5" t="s">
        <v>3212</v>
      </c>
      <c r="K294" s="5">
        <v>233.0</v>
      </c>
      <c r="L294" s="5">
        <v>-2.882479</v>
      </c>
      <c r="M294" s="5">
        <v>-0.100439</v>
      </c>
      <c r="N294" s="5">
        <v>-2.982918</v>
      </c>
      <c r="O294" s="5">
        <v>-0.069531</v>
      </c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  <c r="I295" s="5" t="s">
        <v>3493</v>
      </c>
      <c r="J295" s="5" t="s">
        <v>3263</v>
      </c>
      <c r="K295" s="5">
        <v>99.0</v>
      </c>
      <c r="L295" s="5">
        <v>-2.838442</v>
      </c>
      <c r="M295" s="5">
        <v>-0.217971</v>
      </c>
      <c r="N295" s="5">
        <v>-3.056414</v>
      </c>
      <c r="O295" s="5">
        <v>-0.031434</v>
      </c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  <c r="I296" s="5" t="s">
        <v>3494</v>
      </c>
      <c r="J296" s="5" t="s">
        <v>644</v>
      </c>
      <c r="K296" s="5">
        <v>632.0</v>
      </c>
      <c r="L296" s="5">
        <v>-0.666056</v>
      </c>
      <c r="M296" s="5">
        <v>-2.404779</v>
      </c>
      <c r="N296" s="5">
        <v>-3.070835</v>
      </c>
      <c r="O296" s="5">
        <v>-0.205326</v>
      </c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  <c r="I297" s="5" t="s">
        <v>3495</v>
      </c>
      <c r="J297" s="5" t="s">
        <v>3331</v>
      </c>
      <c r="K297" s="5">
        <v>491.0</v>
      </c>
      <c r="L297" s="5">
        <v>-0.030979</v>
      </c>
      <c r="M297" s="5">
        <v>-3.041282</v>
      </c>
      <c r="N297" s="5">
        <v>-3.072261</v>
      </c>
      <c r="O297" s="5">
        <v>-0.159663</v>
      </c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  <c r="I298" s="5" t="s">
        <v>3496</v>
      </c>
      <c r="J298" s="5" t="s">
        <v>3233</v>
      </c>
      <c r="K298" s="5">
        <v>253.0</v>
      </c>
      <c r="L298" s="5">
        <v>-2.647115</v>
      </c>
      <c r="M298" s="5">
        <v>-0.42775</v>
      </c>
      <c r="N298" s="5">
        <v>-3.074865</v>
      </c>
      <c r="O298" s="5">
        <v>-0.080464</v>
      </c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  <c r="I299" s="5" t="s">
        <v>3497</v>
      </c>
      <c r="J299" s="5" t="s">
        <v>3233</v>
      </c>
      <c r="K299" s="5">
        <v>532.0</v>
      </c>
      <c r="L299" s="5">
        <v>-1.735362</v>
      </c>
      <c r="M299" s="5">
        <v>-1.367195</v>
      </c>
      <c r="N299" s="5">
        <v>-3.102558</v>
      </c>
      <c r="O299" s="5">
        <v>-0.173447</v>
      </c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  <c r="I300" s="5" t="s">
        <v>3498</v>
      </c>
      <c r="J300" s="5" t="s">
        <v>3281</v>
      </c>
      <c r="K300" s="5">
        <v>295.0</v>
      </c>
      <c r="L300" s="5">
        <v>-3.246133</v>
      </c>
      <c r="M300" s="5">
        <v>0.120674</v>
      </c>
      <c r="N300" s="5">
        <v>-3.125459</v>
      </c>
      <c r="O300" s="5">
        <v>-0.101127</v>
      </c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  <c r="I301" s="5" t="s">
        <v>3499</v>
      </c>
      <c r="J301" s="5" t="s">
        <v>3240</v>
      </c>
      <c r="K301" s="5">
        <v>101.0</v>
      </c>
      <c r="L301" s="5">
        <v>-1.888709</v>
      </c>
      <c r="M301" s="5">
        <v>-1.333733</v>
      </c>
      <c r="N301" s="5">
        <v>-3.222442</v>
      </c>
      <c r="O301" s="5">
        <v>-0.037688</v>
      </c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  <c r="I302" s="5" t="s">
        <v>3500</v>
      </c>
      <c r="J302" s="5" t="s">
        <v>3263</v>
      </c>
      <c r="K302" s="5">
        <v>300.0</v>
      </c>
      <c r="L302" s="5">
        <v>-1.904207</v>
      </c>
      <c r="M302" s="5">
        <v>-1.358616</v>
      </c>
      <c r="N302" s="5">
        <v>-3.262823</v>
      </c>
      <c r="O302" s="5">
        <v>-0.114017</v>
      </c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  <c r="I303" s="5" t="s">
        <v>3501</v>
      </c>
      <c r="J303" s="5" t="s">
        <v>3210</v>
      </c>
      <c r="K303" s="5">
        <v>435.0</v>
      </c>
      <c r="L303" s="5">
        <v>-3.755889</v>
      </c>
      <c r="M303" s="5">
        <v>0.489306</v>
      </c>
      <c r="N303" s="5">
        <v>-3.266583</v>
      </c>
      <c r="O303" s="5">
        <v>-0.165862</v>
      </c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  <c r="I304" s="5" t="s">
        <v>3502</v>
      </c>
      <c r="J304" s="5" t="s">
        <v>3237</v>
      </c>
      <c r="K304" s="5">
        <v>189.0</v>
      </c>
      <c r="L304" s="5">
        <v>-2.578828</v>
      </c>
      <c r="M304" s="5">
        <v>-0.711749</v>
      </c>
      <c r="N304" s="5">
        <v>-3.290577</v>
      </c>
      <c r="O304" s="5">
        <v>-0.082294</v>
      </c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  <c r="I305" s="5" t="s">
        <v>3503</v>
      </c>
      <c r="J305" s="5" t="s">
        <v>3237</v>
      </c>
      <c r="K305" s="5">
        <v>539.0</v>
      </c>
      <c r="L305" s="5">
        <v>-2.510872</v>
      </c>
      <c r="M305" s="5">
        <v>-0.780144</v>
      </c>
      <c r="N305" s="5">
        <v>-3.291016</v>
      </c>
      <c r="O305" s="5">
        <v>-0.234595</v>
      </c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  <c r="I306" s="5" t="s">
        <v>3504</v>
      </c>
      <c r="J306" s="5" t="s">
        <v>3210</v>
      </c>
      <c r="K306" s="5">
        <v>730.0</v>
      </c>
      <c r="L306" s="5">
        <v>-2.518534</v>
      </c>
      <c r="M306" s="5">
        <v>-0.780076</v>
      </c>
      <c r="N306" s="5">
        <v>-3.298609</v>
      </c>
      <c r="O306" s="5">
        <v>-0.285094</v>
      </c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  <c r="I307" s="5" t="s">
        <v>3505</v>
      </c>
      <c r="J307" s="5" t="s">
        <v>3283</v>
      </c>
      <c r="K307" s="5">
        <v>586.0</v>
      </c>
      <c r="L307" s="5">
        <v>-1.714394</v>
      </c>
      <c r="M307" s="5">
        <v>-1.683783</v>
      </c>
      <c r="N307" s="5">
        <v>-3.398177</v>
      </c>
      <c r="O307" s="5">
        <v>-0.248755</v>
      </c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  <c r="I308" s="5" t="s">
        <v>3506</v>
      </c>
      <c r="J308" s="5" t="s">
        <v>3251</v>
      </c>
      <c r="K308" s="5">
        <v>779.0</v>
      </c>
      <c r="L308" s="5">
        <v>-1.799446</v>
      </c>
      <c r="M308" s="5">
        <v>-1.616521</v>
      </c>
      <c r="N308" s="5">
        <v>-3.415967</v>
      </c>
      <c r="O308" s="5">
        <v>-0.334929</v>
      </c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  <c r="I309" s="5" t="s">
        <v>3507</v>
      </c>
      <c r="J309" s="5" t="s">
        <v>3215</v>
      </c>
      <c r="K309" s="5">
        <v>319.0</v>
      </c>
      <c r="L309" s="5">
        <v>-1.400023</v>
      </c>
      <c r="M309" s="5">
        <v>-2.090707</v>
      </c>
      <c r="N309" s="5">
        <v>-3.49073</v>
      </c>
      <c r="O309" s="5">
        <v>-0.144352</v>
      </c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  <c r="I310" s="5" t="s">
        <v>3508</v>
      </c>
      <c r="J310" s="5" t="s">
        <v>3207</v>
      </c>
      <c r="K310" s="5">
        <v>673.0</v>
      </c>
      <c r="L310" s="5">
        <v>0.177598</v>
      </c>
      <c r="M310" s="5">
        <v>-3.67508</v>
      </c>
      <c r="N310" s="5">
        <v>-3.497482</v>
      </c>
      <c r="O310" s="5">
        <v>-0.30069</v>
      </c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  <c r="I311" s="5" t="s">
        <v>3510</v>
      </c>
      <c r="J311" s="5" t="s">
        <v>3278</v>
      </c>
      <c r="K311" s="5">
        <v>584.0</v>
      </c>
      <c r="L311" s="5">
        <v>-1.965126</v>
      </c>
      <c r="M311" s="5">
        <v>-1.57845</v>
      </c>
      <c r="N311" s="5">
        <v>-3.543576</v>
      </c>
      <c r="O311" s="5">
        <v>-0.272042</v>
      </c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  <c r="I312" s="5" t="s">
        <v>3511</v>
      </c>
      <c r="J312" s="5" t="s">
        <v>3203</v>
      </c>
      <c r="K312" s="5">
        <v>177.0</v>
      </c>
      <c r="L312" s="5">
        <v>-2.321825</v>
      </c>
      <c r="M312" s="5">
        <v>-1.232919</v>
      </c>
      <c r="N312" s="5">
        <v>-3.554745</v>
      </c>
      <c r="O312" s="5">
        <v>-0.083638</v>
      </c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  <c r="I313" s="5" t="s">
        <v>3512</v>
      </c>
      <c r="J313" s="5" t="s">
        <v>3220</v>
      </c>
      <c r="K313" s="5">
        <v>132.0</v>
      </c>
      <c r="L313" s="5">
        <v>-2.826361</v>
      </c>
      <c r="M313" s="5">
        <v>-0.73411</v>
      </c>
      <c r="N313" s="5">
        <v>-3.560471</v>
      </c>
      <c r="O313" s="5">
        <v>-0.06338</v>
      </c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  <c r="I314" s="5" t="s">
        <v>1070</v>
      </c>
      <c r="J314" s="5" t="s">
        <v>3223</v>
      </c>
      <c r="K314" s="5">
        <v>710.0</v>
      </c>
      <c r="L314" s="5">
        <v>-2.84778</v>
      </c>
      <c r="M314" s="5">
        <v>-0.729711</v>
      </c>
      <c r="N314" s="5">
        <v>-3.577491</v>
      </c>
      <c r="O314" s="5">
        <v>-0.340585</v>
      </c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  <c r="I315" s="5" t="s">
        <v>3513</v>
      </c>
      <c r="J315" s="5" t="s">
        <v>3278</v>
      </c>
      <c r="K315" s="5">
        <v>96.0</v>
      </c>
      <c r="L315" s="5">
        <v>-3.099955</v>
      </c>
      <c r="M315" s="5">
        <v>-0.56396</v>
      </c>
      <c r="N315" s="5">
        <v>-3.663915</v>
      </c>
      <c r="O315" s="5">
        <v>-0.048188</v>
      </c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  <c r="I316" s="5" t="s">
        <v>3514</v>
      </c>
      <c r="J316" s="5" t="s">
        <v>2838</v>
      </c>
      <c r="K316" s="5">
        <v>332.0</v>
      </c>
      <c r="L316" s="5">
        <v>-4.731279</v>
      </c>
      <c r="M316" s="5">
        <v>1.044055</v>
      </c>
      <c r="N316" s="5">
        <v>-3.687224</v>
      </c>
      <c r="O316" s="5">
        <v>-0.167813</v>
      </c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  <c r="I317" s="5" t="s">
        <v>3515</v>
      </c>
      <c r="J317" s="5" t="s">
        <v>3205</v>
      </c>
      <c r="K317" s="5">
        <v>226.0</v>
      </c>
      <c r="L317" s="5">
        <v>-2.728779</v>
      </c>
      <c r="M317" s="5">
        <v>-0.960568</v>
      </c>
      <c r="N317" s="5">
        <v>-3.689347</v>
      </c>
      <c r="O317" s="5">
        <v>-0.116007</v>
      </c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  <c r="I318" s="5" t="s">
        <v>1087</v>
      </c>
      <c r="J318" s="5" t="s">
        <v>3256</v>
      </c>
      <c r="K318" s="5">
        <v>388.0</v>
      </c>
      <c r="L318" s="5">
        <v>-2.398893</v>
      </c>
      <c r="M318" s="5">
        <v>-1.305145</v>
      </c>
      <c r="N318" s="5">
        <v>-3.704038</v>
      </c>
      <c r="O318" s="5">
        <v>-0.200461</v>
      </c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  <c r="I319" s="5" t="s">
        <v>3516</v>
      </c>
      <c r="J319" s="5" t="s">
        <v>3207</v>
      </c>
      <c r="K319" s="5">
        <v>666.0</v>
      </c>
      <c r="L319" s="5">
        <v>-1.178807</v>
      </c>
      <c r="M319" s="5">
        <v>-2.574462</v>
      </c>
      <c r="N319" s="5">
        <v>-3.753269</v>
      </c>
      <c r="O319" s="5">
        <v>-0.347974</v>
      </c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  <c r="I320" s="5" t="s">
        <v>3517</v>
      </c>
      <c r="J320" s="5" t="s">
        <v>3229</v>
      </c>
      <c r="K320" s="5">
        <v>635.0</v>
      </c>
      <c r="L320" s="5">
        <v>-4.13866</v>
      </c>
      <c r="M320" s="5">
        <v>0.352837</v>
      </c>
      <c r="N320" s="5">
        <v>-3.785823</v>
      </c>
      <c r="O320" s="5">
        <v>-0.358495</v>
      </c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  <c r="I321" s="5" t="s">
        <v>3239</v>
      </c>
      <c r="J321" s="5" t="s">
        <v>3233</v>
      </c>
      <c r="K321" s="5">
        <v>241.0</v>
      </c>
      <c r="L321" s="5">
        <v>-0.713924</v>
      </c>
      <c r="M321" s="5">
        <v>-3.093648</v>
      </c>
      <c r="N321" s="5">
        <v>-3.807572</v>
      </c>
      <c r="O321" s="5">
        <v>-0.128956</v>
      </c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  <c r="I322" s="5" t="s">
        <v>3518</v>
      </c>
      <c r="J322" s="5" t="s">
        <v>3226</v>
      </c>
      <c r="K322" s="5">
        <v>155.0</v>
      </c>
      <c r="L322" s="5">
        <v>-4.150523</v>
      </c>
      <c r="M322" s="5">
        <v>0.271959</v>
      </c>
      <c r="N322" s="5">
        <v>-3.878564</v>
      </c>
      <c r="O322" s="5">
        <v>-0.088563</v>
      </c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  <c r="I323" s="5" t="s">
        <v>3519</v>
      </c>
      <c r="J323" s="5" t="s">
        <v>3283</v>
      </c>
      <c r="K323" s="5">
        <v>479.0</v>
      </c>
      <c r="L323" s="5">
        <v>-1.295698</v>
      </c>
      <c r="M323" s="5">
        <v>-2.667513</v>
      </c>
      <c r="N323" s="5">
        <v>-3.963212</v>
      </c>
      <c r="O323" s="5">
        <v>-0.28582</v>
      </c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  <c r="I324" s="5" t="s">
        <v>3520</v>
      </c>
      <c r="J324" s="5" t="s">
        <v>3207</v>
      </c>
      <c r="K324" s="5">
        <v>145.0</v>
      </c>
      <c r="L324" s="5">
        <v>-2.58635</v>
      </c>
      <c r="M324" s="5">
        <v>-1.435861</v>
      </c>
      <c r="N324" s="5">
        <v>-4.022211</v>
      </c>
      <c r="O324" s="5">
        <v>-0.087494</v>
      </c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  <c r="I325" s="5" t="s">
        <v>3521</v>
      </c>
      <c r="J325" s="5" t="s">
        <v>3220</v>
      </c>
      <c r="K325" s="5">
        <v>234.0</v>
      </c>
      <c r="L325" s="5">
        <v>-2.819385</v>
      </c>
      <c r="M325" s="5">
        <v>-1.212113</v>
      </c>
      <c r="N325" s="5">
        <v>-4.031499</v>
      </c>
      <c r="O325" s="5">
        <v>-0.145626</v>
      </c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  <c r="I326" s="5" t="s">
        <v>3522</v>
      </c>
      <c r="J326" s="5" t="s">
        <v>3223</v>
      </c>
      <c r="K326" s="5">
        <v>156.0</v>
      </c>
      <c r="L326" s="5">
        <v>-4.49176</v>
      </c>
      <c r="M326" s="5">
        <v>0.44955</v>
      </c>
      <c r="N326" s="5">
        <v>-4.04221</v>
      </c>
      <c r="O326" s="5">
        <v>-0.096886</v>
      </c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  <c r="I327" s="5" t="s">
        <v>3523</v>
      </c>
      <c r="J327" s="5" t="s">
        <v>3256</v>
      </c>
      <c r="K327" s="5">
        <v>372.0</v>
      </c>
      <c r="L327" s="5">
        <v>-3.225118</v>
      </c>
      <c r="M327" s="5">
        <v>-0.858507</v>
      </c>
      <c r="N327" s="5">
        <v>-4.083625</v>
      </c>
      <c r="O327" s="5">
        <v>-0.234934</v>
      </c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  <c r="I328" s="5" t="s">
        <v>3524</v>
      </c>
      <c r="J328" s="5" t="s">
        <v>2838</v>
      </c>
      <c r="K328" s="5">
        <v>241.0</v>
      </c>
      <c r="L328" s="5">
        <v>-4.770746</v>
      </c>
      <c r="M328" s="5">
        <v>0.657235</v>
      </c>
      <c r="N328" s="5">
        <v>-4.11351</v>
      </c>
      <c r="O328" s="5">
        <v>-0.152341</v>
      </c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  <c r="I329" s="5" t="s">
        <v>3525</v>
      </c>
      <c r="J329" s="5" t="s">
        <v>3278</v>
      </c>
      <c r="K329" s="5">
        <v>260.0</v>
      </c>
      <c r="L329" s="5">
        <v>-2.487915</v>
      </c>
      <c r="M329" s="5">
        <v>-1.657111</v>
      </c>
      <c r="N329" s="5">
        <v>-4.145026</v>
      </c>
      <c r="O329" s="5">
        <v>-0.168422</v>
      </c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  <c r="I330" s="5" t="s">
        <v>3526</v>
      </c>
      <c r="J330" s="5" t="s">
        <v>3237</v>
      </c>
      <c r="K330" s="5">
        <v>117.0</v>
      </c>
      <c r="L330" s="5">
        <v>-3.65048</v>
      </c>
      <c r="M330" s="5">
        <v>-0.530322</v>
      </c>
      <c r="N330" s="5">
        <v>-4.180802</v>
      </c>
      <c r="O330" s="5">
        <v>-0.086305</v>
      </c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  <c r="I331" s="5" t="s">
        <v>3527</v>
      </c>
      <c r="J331" s="5" t="s">
        <v>3331</v>
      </c>
      <c r="K331" s="5">
        <v>446.0</v>
      </c>
      <c r="L331" s="5">
        <v>-3.344243</v>
      </c>
      <c r="M331" s="5">
        <v>-0.89744</v>
      </c>
      <c r="N331" s="5">
        <v>-4.241683</v>
      </c>
      <c r="O331" s="5">
        <v>-0.303381</v>
      </c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  <c r="I332" s="5" t="s">
        <v>3528</v>
      </c>
      <c r="J332" s="5" t="s">
        <v>3207</v>
      </c>
      <c r="K332" s="5">
        <v>162.0</v>
      </c>
      <c r="L332" s="5">
        <v>-3.15389</v>
      </c>
      <c r="M332" s="5">
        <v>-1.111359</v>
      </c>
      <c r="N332" s="5">
        <v>-4.265249</v>
      </c>
      <c r="O332" s="5">
        <v>-0.10956</v>
      </c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  <c r="I333" s="5" t="s">
        <v>3529</v>
      </c>
      <c r="J333" s="5" t="s">
        <v>3251</v>
      </c>
      <c r="K333" s="5">
        <v>273.0</v>
      </c>
      <c r="L333" s="5">
        <v>-1.272826</v>
      </c>
      <c r="M333" s="5">
        <v>-3.123574</v>
      </c>
      <c r="N333" s="5">
        <v>-4.3964</v>
      </c>
      <c r="O333" s="5">
        <v>-0.198459</v>
      </c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  <c r="I334" s="5" t="s">
        <v>3530</v>
      </c>
      <c r="J334" s="5" t="s">
        <v>3207</v>
      </c>
      <c r="K334" s="5">
        <v>386.0</v>
      </c>
      <c r="L334" s="5">
        <v>-2.494896</v>
      </c>
      <c r="M334" s="5">
        <v>-1.963249</v>
      </c>
      <c r="N334" s="5">
        <v>-4.458145</v>
      </c>
      <c r="O334" s="5">
        <v>-0.28315</v>
      </c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  <c r="I335" s="5" t="s">
        <v>3531</v>
      </c>
      <c r="J335" s="5" t="s">
        <v>3240</v>
      </c>
      <c r="K335" s="5">
        <v>290.0</v>
      </c>
      <c r="L335" s="5">
        <v>-4.128156</v>
      </c>
      <c r="M335" s="5">
        <v>-0.331535</v>
      </c>
      <c r="N335" s="5">
        <v>-4.459692</v>
      </c>
      <c r="O335" s="5">
        <v>-0.217144</v>
      </c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  <c r="I336" s="5" t="s">
        <v>3532</v>
      </c>
      <c r="J336" s="5" t="s">
        <v>3331</v>
      </c>
      <c r="K336" s="5">
        <v>259.0</v>
      </c>
      <c r="L336" s="5">
        <v>-2.529044</v>
      </c>
      <c r="M336" s="5">
        <v>-1.94721</v>
      </c>
      <c r="N336" s="5">
        <v>-4.476254</v>
      </c>
      <c r="O336" s="5">
        <v>-0.194357</v>
      </c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  <c r="I337" s="5" t="s">
        <v>3533</v>
      </c>
      <c r="J337" s="5" t="s">
        <v>3240</v>
      </c>
      <c r="K337" s="5">
        <v>474.0</v>
      </c>
      <c r="L337" s="5">
        <v>-4.485827</v>
      </c>
      <c r="M337" s="5">
        <v>-0.06988</v>
      </c>
      <c r="N337" s="5">
        <v>-4.555707</v>
      </c>
      <c r="O337" s="5">
        <v>-0.369254</v>
      </c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  <c r="I338" s="5" t="s">
        <v>3534</v>
      </c>
      <c r="J338" s="5" t="s">
        <v>3251</v>
      </c>
      <c r="K338" s="5">
        <v>413.0</v>
      </c>
      <c r="L338" s="5">
        <v>-2.877573</v>
      </c>
      <c r="M338" s="5">
        <v>-1.727063</v>
      </c>
      <c r="N338" s="5">
        <v>-4.604636</v>
      </c>
      <c r="O338" s="5">
        <v>-0.326801</v>
      </c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  <c r="I339" s="5" t="s">
        <v>3535</v>
      </c>
      <c r="J339" s="5" t="s">
        <v>3331</v>
      </c>
      <c r="K339" s="5">
        <v>782.0</v>
      </c>
      <c r="L339" s="5">
        <v>0.192329</v>
      </c>
      <c r="M339" s="5">
        <v>-4.942187</v>
      </c>
      <c r="N339" s="5">
        <v>-4.749859</v>
      </c>
      <c r="O339" s="5">
        <v>-0.652419</v>
      </c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  <c r="I340" s="5" t="s">
        <v>3536</v>
      </c>
      <c r="J340" s="5" t="s">
        <v>3251</v>
      </c>
      <c r="K340" s="5">
        <v>355.0</v>
      </c>
      <c r="L340" s="5">
        <v>-1.557812</v>
      </c>
      <c r="M340" s="5">
        <v>-3.213857</v>
      </c>
      <c r="N340" s="5">
        <v>-4.771669</v>
      </c>
      <c r="O340" s="5">
        <v>-0.299089</v>
      </c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  <c r="I341" s="5" t="s">
        <v>3537</v>
      </c>
      <c r="J341" s="5" t="s">
        <v>3210</v>
      </c>
      <c r="K341" s="5">
        <v>532.0</v>
      </c>
      <c r="L341" s="5">
        <v>-3.705165</v>
      </c>
      <c r="M341" s="5">
        <v>-1.162103</v>
      </c>
      <c r="N341" s="5">
        <v>-4.867268</v>
      </c>
      <c r="O341" s="5">
        <v>-0.459337</v>
      </c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  <c r="I342" s="5" t="s">
        <v>3538</v>
      </c>
      <c r="J342" s="5" t="s">
        <v>3283</v>
      </c>
      <c r="K342" s="5">
        <v>380.0</v>
      </c>
      <c r="L342" s="5">
        <v>-1.41241</v>
      </c>
      <c r="M342" s="5">
        <v>-3.47517</v>
      </c>
      <c r="N342" s="5">
        <v>-4.88758</v>
      </c>
      <c r="O342" s="5">
        <v>-0.333633</v>
      </c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  <c r="I343" s="5" t="s">
        <v>3539</v>
      </c>
      <c r="J343" s="5" t="s">
        <v>3215</v>
      </c>
      <c r="K343" s="5">
        <v>410.0</v>
      </c>
      <c r="L343" s="5">
        <v>-3.412804</v>
      </c>
      <c r="M343" s="5">
        <v>-1.505788</v>
      </c>
      <c r="N343" s="5">
        <v>-4.918592</v>
      </c>
      <c r="O343" s="5">
        <v>-0.363173</v>
      </c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  <c r="I344" s="5" t="s">
        <v>3540</v>
      </c>
      <c r="J344" s="5" t="s">
        <v>3229</v>
      </c>
      <c r="K344" s="5">
        <v>215.0</v>
      </c>
      <c r="L344" s="5">
        <v>-2.895847</v>
      </c>
      <c r="M344" s="5">
        <v>-2.066587</v>
      </c>
      <c r="N344" s="5">
        <v>-4.962435</v>
      </c>
      <c r="O344" s="5">
        <v>-0.201351</v>
      </c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  <c r="I345" s="5" t="s">
        <v>1158</v>
      </c>
      <c r="J345" s="5" t="s">
        <v>3226</v>
      </c>
      <c r="K345" s="5">
        <v>277.0</v>
      </c>
      <c r="L345" s="5">
        <v>-2.858212</v>
      </c>
      <c r="M345" s="5">
        <v>-2.128732</v>
      </c>
      <c r="N345" s="5">
        <v>-4.986944</v>
      </c>
      <c r="O345" s="5">
        <v>-0.252467</v>
      </c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  <c r="I346" s="5" t="s">
        <v>3541</v>
      </c>
      <c r="J346" s="5" t="s">
        <v>3229</v>
      </c>
      <c r="K346" s="5">
        <v>326.0</v>
      </c>
      <c r="L346" s="5">
        <v>-0.706429</v>
      </c>
      <c r="M346" s="5">
        <v>-4.318743</v>
      </c>
      <c r="N346" s="5">
        <v>-5.025172</v>
      </c>
      <c r="O346" s="5">
        <v>-0.31153</v>
      </c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  <c r="I347" s="5" t="s">
        <v>3542</v>
      </c>
      <c r="J347" s="5" t="s">
        <v>3207</v>
      </c>
      <c r="K347" s="5">
        <v>370.0</v>
      </c>
      <c r="L347" s="5">
        <v>-3.09992</v>
      </c>
      <c r="M347" s="5">
        <v>-1.95893</v>
      </c>
      <c r="N347" s="5">
        <v>-5.05885</v>
      </c>
      <c r="O347" s="5">
        <v>-0.337569</v>
      </c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  <c r="I348" s="5" t="s">
        <v>3543</v>
      </c>
      <c r="J348" s="5" t="s">
        <v>2201</v>
      </c>
      <c r="K348" s="5">
        <v>371.0</v>
      </c>
      <c r="L348" s="5">
        <v>-5.418177</v>
      </c>
      <c r="M348" s="5">
        <v>0.263055</v>
      </c>
      <c r="N348" s="5">
        <v>-5.155123</v>
      </c>
      <c r="O348" s="5">
        <v>-0.357013</v>
      </c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  <c r="I349" s="5" t="s">
        <v>3544</v>
      </c>
      <c r="J349" s="5" t="s">
        <v>3229</v>
      </c>
      <c r="K349" s="5">
        <v>224.0</v>
      </c>
      <c r="L349" s="5">
        <v>-2.369507</v>
      </c>
      <c r="M349" s="5">
        <v>-2.802299</v>
      </c>
      <c r="N349" s="5">
        <v>-5.171806</v>
      </c>
      <c r="O349" s="5">
        <v>-0.224301</v>
      </c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  <c r="I350" s="5" t="s">
        <v>3545</v>
      </c>
      <c r="J350" s="5" t="s">
        <v>3205</v>
      </c>
      <c r="K350" s="5">
        <v>248.0</v>
      </c>
      <c r="L350" s="5">
        <v>-2.993837</v>
      </c>
      <c r="M350" s="5">
        <v>-2.199397</v>
      </c>
      <c r="N350" s="5">
        <v>-5.193234</v>
      </c>
      <c r="O350" s="5">
        <v>-0.240392</v>
      </c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  <c r="I351" s="5" t="s">
        <v>3546</v>
      </c>
      <c r="J351" s="5" t="s">
        <v>3229</v>
      </c>
      <c r="K351" s="5">
        <v>238.0</v>
      </c>
      <c r="L351" s="5">
        <v>-3.862095</v>
      </c>
      <c r="M351" s="5">
        <v>-1.385423</v>
      </c>
      <c r="N351" s="5">
        <v>-5.247518</v>
      </c>
      <c r="O351" s="5">
        <v>-0.243919</v>
      </c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  <c r="I352" s="5" t="s">
        <v>3547</v>
      </c>
      <c r="J352" s="5" t="s">
        <v>3223</v>
      </c>
      <c r="K352" s="5">
        <v>317.0</v>
      </c>
      <c r="L352" s="5">
        <v>-4.369315</v>
      </c>
      <c r="M352" s="5">
        <v>-0.90396</v>
      </c>
      <c r="N352" s="5">
        <v>-5.273275</v>
      </c>
      <c r="O352" s="5">
        <v>-0.315154</v>
      </c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  <c r="I353" s="5" t="s">
        <v>3548</v>
      </c>
      <c r="J353" s="5" t="s">
        <v>3237</v>
      </c>
      <c r="K353" s="5">
        <v>503.0</v>
      </c>
      <c r="L353" s="5">
        <v>-5.050441</v>
      </c>
      <c r="M353" s="5">
        <v>-0.238524</v>
      </c>
      <c r="N353" s="5">
        <v>-5.288964</v>
      </c>
      <c r="O353" s="5">
        <v>-0.558479</v>
      </c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  <c r="I354" s="5" t="s">
        <v>3549</v>
      </c>
      <c r="J354" s="5" t="s">
        <v>3283</v>
      </c>
      <c r="K354" s="5">
        <v>224.0</v>
      </c>
      <c r="L354" s="5">
        <v>-3.827874</v>
      </c>
      <c r="M354" s="5">
        <v>-1.558083</v>
      </c>
      <c r="N354" s="5">
        <v>-5.385957</v>
      </c>
      <c r="O354" s="5">
        <v>-0.23043</v>
      </c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  <c r="I355" s="5" t="s">
        <v>3550</v>
      </c>
      <c r="J355" s="5" t="s">
        <v>3220</v>
      </c>
      <c r="K355" s="5">
        <v>218.0</v>
      </c>
      <c r="L355" s="5">
        <v>-2.770297</v>
      </c>
      <c r="M355" s="5">
        <v>-2.844008</v>
      </c>
      <c r="N355" s="5">
        <v>-5.614305</v>
      </c>
      <c r="O355" s="5">
        <v>-0.241668</v>
      </c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  <c r="I356" s="5" t="s">
        <v>3551</v>
      </c>
      <c r="J356" s="5" t="s">
        <v>3223</v>
      </c>
      <c r="K356" s="5">
        <v>666.0</v>
      </c>
      <c r="L356" s="5">
        <v>-4.174864</v>
      </c>
      <c r="M356" s="5">
        <v>-1.490209</v>
      </c>
      <c r="N356" s="5">
        <v>-5.665073</v>
      </c>
      <c r="O356" s="5">
        <v>-0.741732</v>
      </c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  <c r="I357" s="5" t="s">
        <v>3552</v>
      </c>
      <c r="J357" s="5" t="s">
        <v>3203</v>
      </c>
      <c r="K357" s="5">
        <v>528.0</v>
      </c>
      <c r="L357" s="5">
        <v>-4.263039</v>
      </c>
      <c r="M357" s="5">
        <v>-1.491363</v>
      </c>
      <c r="N357" s="5">
        <v>-5.754402</v>
      </c>
      <c r="O357" s="5">
        <v>-0.600554</v>
      </c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  <c r="I358" s="5" t="s">
        <v>1081</v>
      </c>
      <c r="J358" s="5" t="s">
        <v>3263</v>
      </c>
      <c r="K358" s="5">
        <v>411.0</v>
      </c>
      <c r="L358" s="5">
        <v>-5.115751</v>
      </c>
      <c r="M358" s="5">
        <v>-0.771523</v>
      </c>
      <c r="N358" s="5">
        <v>-5.887274</v>
      </c>
      <c r="O358" s="5">
        <v>-0.479956</v>
      </c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  <c r="I359" s="5" t="s">
        <v>3553</v>
      </c>
      <c r="J359" s="5" t="s">
        <v>3331</v>
      </c>
      <c r="K359" s="5">
        <v>305.0</v>
      </c>
      <c r="L359" s="5">
        <v>-0.19092</v>
      </c>
      <c r="M359" s="5">
        <v>-5.699536</v>
      </c>
      <c r="N359" s="5">
        <v>-5.890456</v>
      </c>
      <c r="O359" s="5">
        <v>-0.360262</v>
      </c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  <c r="I360" s="5" t="s">
        <v>3554</v>
      </c>
      <c r="J360" s="5" t="s">
        <v>3203</v>
      </c>
      <c r="K360" s="5">
        <v>178.0</v>
      </c>
      <c r="L360" s="5">
        <v>-5.252443</v>
      </c>
      <c r="M360" s="5">
        <v>-0.705728</v>
      </c>
      <c r="N360" s="5">
        <v>-5.95817</v>
      </c>
      <c r="O360" s="5">
        <v>-0.21389</v>
      </c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  <c r="I361" s="5" t="s">
        <v>3555</v>
      </c>
      <c r="J361" s="5" t="s">
        <v>3229</v>
      </c>
      <c r="K361" s="5">
        <v>362.0</v>
      </c>
      <c r="L361" s="5">
        <v>-4.554743</v>
      </c>
      <c r="M361" s="5">
        <v>-1.418111</v>
      </c>
      <c r="N361" s="5">
        <v>-5.972854</v>
      </c>
      <c r="O361" s="5">
        <v>-0.454817</v>
      </c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  <c r="I362" s="5" t="s">
        <v>3556</v>
      </c>
      <c r="J362" s="5" t="s">
        <v>3207</v>
      </c>
      <c r="K362" s="5">
        <v>440.0</v>
      </c>
      <c r="L362" s="5">
        <v>-3.065739</v>
      </c>
      <c r="M362" s="5">
        <v>-2.931699</v>
      </c>
      <c r="N362" s="5">
        <v>-5.997438</v>
      </c>
      <c r="O362" s="5">
        <v>-0.524945</v>
      </c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  <c r="I363" s="5" t="s">
        <v>3557</v>
      </c>
      <c r="J363" s="5" t="s">
        <v>3283</v>
      </c>
      <c r="K363" s="5">
        <v>527.0</v>
      </c>
      <c r="L363" s="5">
        <v>-2.248328</v>
      </c>
      <c r="M363" s="5">
        <v>-3.756567</v>
      </c>
      <c r="N363" s="5">
        <v>-6.004895</v>
      </c>
      <c r="O363" s="5">
        <v>-0.641103</v>
      </c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  <c r="I364" s="5" t="s">
        <v>3102</v>
      </c>
      <c r="J364" s="5" t="s">
        <v>3281</v>
      </c>
      <c r="K364" s="5">
        <v>393.0</v>
      </c>
      <c r="L364" s="5">
        <v>-6.185429</v>
      </c>
      <c r="M364" s="5">
        <v>-0.142635</v>
      </c>
      <c r="N364" s="5">
        <v>-6.328064</v>
      </c>
      <c r="O364" s="5">
        <v>-0.518482</v>
      </c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  <c r="I365" s="5" t="s">
        <v>3558</v>
      </c>
      <c r="J365" s="5" t="s">
        <v>3229</v>
      </c>
      <c r="K365" s="5">
        <v>404.0</v>
      </c>
      <c r="L365" s="5">
        <v>-4.968614</v>
      </c>
      <c r="M365" s="5">
        <v>-1.38248</v>
      </c>
      <c r="N365" s="5">
        <v>-6.351094</v>
      </c>
      <c r="O365" s="5">
        <v>-0.555313</v>
      </c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  <c r="I366" s="5" t="s">
        <v>3096</v>
      </c>
      <c r="J366" s="5" t="s">
        <v>3205</v>
      </c>
      <c r="K366" s="5">
        <v>202.0</v>
      </c>
      <c r="L366" s="5">
        <v>-5.569053</v>
      </c>
      <c r="M366" s="5">
        <v>-0.857553</v>
      </c>
      <c r="N366" s="5">
        <v>-6.426606</v>
      </c>
      <c r="O366" s="5">
        <v>-0.27081</v>
      </c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  <c r="I367" s="5" t="s">
        <v>3559</v>
      </c>
      <c r="J367" s="5" t="s">
        <v>3205</v>
      </c>
      <c r="K367" s="5">
        <v>439.0</v>
      </c>
      <c r="L367" s="5">
        <v>-5.368221</v>
      </c>
      <c r="M367" s="5">
        <v>-1.168503</v>
      </c>
      <c r="N367" s="5">
        <v>-6.536724</v>
      </c>
      <c r="O367" s="5">
        <v>-0.604218</v>
      </c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  <c r="I368" s="5" t="s">
        <v>3560</v>
      </c>
      <c r="J368" s="5" t="s">
        <v>3203</v>
      </c>
      <c r="K368" s="5">
        <v>269.0</v>
      </c>
      <c r="L368" s="5">
        <v>-4.064724</v>
      </c>
      <c r="M368" s="5">
        <v>-2.500528</v>
      </c>
      <c r="N368" s="5">
        <v>-6.565251</v>
      </c>
      <c r="O368" s="5">
        <v>-0.37212</v>
      </c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  <c r="I369" s="5" t="s">
        <v>3561</v>
      </c>
      <c r="J369" s="5" t="s">
        <v>3331</v>
      </c>
      <c r="K369" s="5">
        <v>285.0</v>
      </c>
      <c r="L369" s="5">
        <v>-2.194669</v>
      </c>
      <c r="M369" s="5">
        <v>-4.548595</v>
      </c>
      <c r="N369" s="5">
        <v>-6.743264</v>
      </c>
      <c r="O369" s="5">
        <v>-0.410297</v>
      </c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  <c r="I370" s="5" t="s">
        <v>3562</v>
      </c>
      <c r="J370" s="5" t="s">
        <v>3331</v>
      </c>
      <c r="K370" s="5">
        <v>319.0</v>
      </c>
      <c r="L370" s="5">
        <v>-6.866288</v>
      </c>
      <c r="M370" s="5">
        <v>-0.174265</v>
      </c>
      <c r="N370" s="5">
        <v>-7.040553</v>
      </c>
      <c r="O370" s="5">
        <v>-0.487875</v>
      </c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  <c r="I371" s="5" t="s">
        <v>3563</v>
      </c>
      <c r="J371" s="5" t="s">
        <v>3233</v>
      </c>
      <c r="K371" s="5">
        <v>385.0</v>
      </c>
      <c r="L371" s="5">
        <v>-4.702749</v>
      </c>
      <c r="M371" s="5">
        <v>-2.432518</v>
      </c>
      <c r="N371" s="5">
        <v>-7.135266</v>
      </c>
      <c r="O371" s="5">
        <v>-0.584601</v>
      </c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  <c r="I372" s="5" t="s">
        <v>3564</v>
      </c>
      <c r="J372" s="5" t="s">
        <v>3229</v>
      </c>
      <c r="K372" s="5">
        <v>541.0</v>
      </c>
      <c r="L372" s="5">
        <v>-4.882627</v>
      </c>
      <c r="M372" s="5">
        <v>-3.080248</v>
      </c>
      <c r="N372" s="5">
        <v>-7.962875</v>
      </c>
      <c r="O372" s="5">
        <v>-1.020092</v>
      </c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E06666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3509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IFERROR(__xludf.DUMMYFUNCTION("IMPORTRANGE(""https://docs.google.com/spreadsheets/d/1iocBWmhrl8UDiAfbHpg99YxWSHMF-VUp2Ys6HlW4ncM/edit#gid=1120027332"",""Leaders!A3:G502"")"),"Javonte Green")</f>
        <v>Javonte Green</v>
      </c>
      <c r="B3" s="13" t="str">
        <f>IFERROR(__xludf.DUMMYFUNCTION("""COMPUTED_VALUE"""),"TRIE")</f>
        <v>TRIE</v>
      </c>
      <c r="C3" s="14">
        <f>IFERROR(__xludf.DUMMYFUNCTION("""COMPUTED_VALUE"""),1202.0)</f>
        <v>1202</v>
      </c>
      <c r="D3" s="15">
        <f>IFERROR(__xludf.DUMMYFUNCTION("""COMPUTED_VALUE"""),5.54633757727852)</f>
        <v>5.546337577</v>
      </c>
      <c r="E3" s="15">
        <f>IFERROR(__xludf.DUMMYFUNCTION("""COMPUTED_VALUE"""),3.80768224211138)</f>
        <v>3.807682242</v>
      </c>
      <c r="F3" s="15">
        <f>IFERROR(__xludf.DUMMYFUNCTION("""COMPUTED_VALUE"""),9.3539924193899)</f>
        <v>9.353992419</v>
      </c>
      <c r="G3" s="17">
        <f>IFERROR(__xludf.DUMMYFUNCTION("""COMPUTED_VALUE"""),4.208675781529949)</f>
        <v>4.208675782</v>
      </c>
      <c r="H3" s="4"/>
      <c r="I3" s="5" t="s">
        <v>760</v>
      </c>
      <c r="J3" s="5" t="s">
        <v>3203</v>
      </c>
      <c r="K3" s="24">
        <v>787.0</v>
      </c>
      <c r="L3" s="5">
        <v>9.304387</v>
      </c>
      <c r="M3" s="5">
        <v>4.0299</v>
      </c>
      <c r="N3" s="5">
        <v>13.334288</v>
      </c>
      <c r="O3" s="5">
        <v>3.657688</v>
      </c>
    </row>
    <row r="4">
      <c r="A4" s="18" t="str">
        <f>IFERROR(__xludf.DUMMYFUNCTION("""COMPUTED_VALUE"""),"Laurence Bowers")</f>
        <v>Laurence Bowers</v>
      </c>
      <c r="B4" s="19" t="str">
        <f>IFERROR(__xludf.DUMMYFUNCTION("""COMPUTED_VALUE"""),"TRIE")</f>
        <v>TRIE</v>
      </c>
      <c r="C4" s="20">
        <f>IFERROR(__xludf.DUMMYFUNCTION("""COMPUTED_VALUE"""),925.0)</f>
        <v>925</v>
      </c>
      <c r="D4" s="21">
        <f>IFERROR(__xludf.DUMMYFUNCTION("""COMPUTED_VALUE"""),4.855923127696893)</f>
        <v>4.855923128</v>
      </c>
      <c r="E4" s="21">
        <f>IFERROR(__xludf.DUMMYFUNCTION("""COMPUTED_VALUE"""),3.8419437665559113)</f>
        <v>3.841943767</v>
      </c>
      <c r="F4" s="21">
        <f>IFERROR(__xludf.DUMMYFUNCTION("""COMPUTED_VALUE"""),8.697826894252804)</f>
        <v>8.697826894</v>
      </c>
      <c r="G4" s="23">
        <f>IFERROR(__xludf.DUMMYFUNCTION("""COMPUTED_VALUE"""),3.051634859798775)</f>
        <v>3.05163486</v>
      </c>
      <c r="H4" s="4"/>
      <c r="I4" s="5" t="s">
        <v>3204</v>
      </c>
      <c r="J4" s="5" t="s">
        <v>3205</v>
      </c>
      <c r="K4" s="24">
        <v>319.0</v>
      </c>
      <c r="L4" s="5">
        <v>7.686434</v>
      </c>
      <c r="M4" s="5">
        <v>2.529961</v>
      </c>
      <c r="N4" s="5">
        <v>10.216395</v>
      </c>
      <c r="O4" s="5">
        <v>1.181641</v>
      </c>
    </row>
    <row r="5">
      <c r="A5" s="12" t="str">
        <f>IFERROR(__xludf.DUMMYFUNCTION("""COMPUTED_VALUE"""),"Jerai Grant")</f>
        <v>Jerai Grant</v>
      </c>
      <c r="B5" s="13" t="str">
        <f>IFERROR(__xludf.DUMMYFUNCTION("""COMPUTED_VALUE"""),"RAV")</f>
        <v>RAV</v>
      </c>
      <c r="C5" s="14">
        <f>IFERROR(__xludf.DUMMYFUNCTION("""COMPUTED_VALUE"""),847.0)</f>
        <v>847</v>
      </c>
      <c r="D5" s="15">
        <f>IFERROR(__xludf.DUMMYFUNCTION("""COMPUTED_VALUE"""),3.4451132556086943)</f>
        <v>3.445113256</v>
      </c>
      <c r="E5" s="15">
        <f>IFERROR(__xludf.DUMMYFUNCTION("""COMPUTED_VALUE"""),2.628098608539598)</f>
        <v>2.628098609</v>
      </c>
      <c r="F5" s="15">
        <f>IFERROR(__xludf.DUMMYFUNCTION("""COMPUTED_VALUE"""),6.073184264148292)</f>
        <v>6.073184264</v>
      </c>
      <c r="G5" s="17">
        <f>IFERROR(__xludf.DUMMYFUNCTION("""COMPUTED_VALUE"""),2.0675503993550506)</f>
        <v>2.067550399</v>
      </c>
      <c r="H5" s="4"/>
      <c r="I5" s="5" t="s">
        <v>3206</v>
      </c>
      <c r="J5" s="5" t="s">
        <v>3207</v>
      </c>
      <c r="K5" s="24">
        <v>675.0</v>
      </c>
      <c r="L5" s="5">
        <v>5.835798</v>
      </c>
      <c r="M5" s="5">
        <v>3.764705</v>
      </c>
      <c r="N5" s="5">
        <v>9.600503</v>
      </c>
      <c r="O5" s="5">
        <v>2.335577</v>
      </c>
    </row>
    <row r="6">
      <c r="A6" s="18" t="str">
        <f>IFERROR(__xludf.DUMMYFUNCTION("""COMPUTED_VALUE"""),"Mike Hall")</f>
        <v>Mike Hall</v>
      </c>
      <c r="B6" s="19" t="str">
        <f>IFERROR(__xludf.DUMMYFUNCTION("""COMPUTED_VALUE"""),"FER")</f>
        <v>FER</v>
      </c>
      <c r="C6" s="20">
        <f>IFERROR(__xludf.DUMMYFUNCTION("""COMPUTED_VALUE"""),1351.0)</f>
        <v>1351</v>
      </c>
      <c r="D6" s="21">
        <f>IFERROR(__xludf.DUMMYFUNCTION("""COMPUTED_VALUE"""),2.278148903818552)</f>
        <v>2.278148904</v>
      </c>
      <c r="E6" s="21">
        <f>IFERROR(__xludf.DUMMYFUNCTION("""COMPUTED_VALUE"""),3.256458359496359)</f>
        <v>3.256458359</v>
      </c>
      <c r="F6" s="21">
        <f>IFERROR(__xludf.DUMMYFUNCTION("""COMPUTED_VALUE"""),5.534580863314911)</f>
        <v>5.534580863</v>
      </c>
      <c r="G6" s="23">
        <f>IFERROR(__xludf.DUMMYFUNCTION("""COMPUTED_VALUE"""),3.148603980583374)</f>
        <v>3.148603981</v>
      </c>
      <c r="H6" s="4"/>
      <c r="I6" s="5" t="s">
        <v>3209</v>
      </c>
      <c r="J6" s="5" t="s">
        <v>3210</v>
      </c>
      <c r="K6" s="24">
        <v>980.0</v>
      </c>
      <c r="L6" s="5">
        <v>4.540372</v>
      </c>
      <c r="M6" s="5">
        <v>4.283512</v>
      </c>
      <c r="N6" s="5">
        <v>8.823884</v>
      </c>
      <c r="O6" s="5">
        <v>3.192114</v>
      </c>
    </row>
    <row r="7">
      <c r="A7" s="12" t="str">
        <f>IFERROR(__xludf.DUMMYFUNCTION("""COMPUTED_VALUE"""),"William Mosley")</f>
        <v>William Mosley</v>
      </c>
      <c r="B7" s="13" t="str">
        <f>IFERROR(__xludf.DUMMYFUNCTION("""COMPUTED_VALUE"""),"LEGN")</f>
        <v>LEGN</v>
      </c>
      <c r="C7" s="14">
        <f>IFERROR(__xludf.DUMMYFUNCTION("""COMPUTED_VALUE"""),1073.0)</f>
        <v>1073</v>
      </c>
      <c r="D7" s="15">
        <f>IFERROR(__xludf.DUMMYFUNCTION("""COMPUTED_VALUE"""),1.8779854734506118)</f>
        <v>1.877985473</v>
      </c>
      <c r="E7" s="15">
        <f>IFERROR(__xludf.DUMMYFUNCTION("""COMPUTED_VALUE"""),3.5596121802485188)</f>
        <v>3.55961218</v>
      </c>
      <c r="F7" s="15">
        <f>IFERROR(__xludf.DUMMYFUNCTION("""COMPUTED_VALUE"""),5.4375795536991305)</f>
        <v>5.437579554</v>
      </c>
      <c r="G7" s="17">
        <f>IFERROR(__xludf.DUMMYFUNCTION("""COMPUTED_VALUE"""),2.4239228806436497)</f>
        <v>2.423922881</v>
      </c>
      <c r="H7" s="4"/>
      <c r="I7" s="5" t="s">
        <v>3211</v>
      </c>
      <c r="J7" s="5" t="s">
        <v>3212</v>
      </c>
      <c r="K7" s="24">
        <v>609.0</v>
      </c>
      <c r="L7" s="5">
        <v>1.44291</v>
      </c>
      <c r="M7" s="5">
        <v>6.472633</v>
      </c>
      <c r="N7" s="5">
        <v>7.915543</v>
      </c>
      <c r="O7" s="5">
        <v>1.83412</v>
      </c>
    </row>
    <row r="8">
      <c r="A8" s="18" t="str">
        <f>IFERROR(__xludf.DUMMYFUNCTION("""COMPUTED_VALUE"""),"Andrew Lawrence")</f>
        <v>Andrew Lawrence</v>
      </c>
      <c r="B8" s="19" t="str">
        <f>IFERROR(__xludf.DUMMYFUNCTION("""COMPUTED_VALUE"""),"SCAF")</f>
        <v>SCAF</v>
      </c>
      <c r="C8" s="20">
        <f>IFERROR(__xludf.DUMMYFUNCTION("""COMPUTED_VALUE"""),777.0)</f>
        <v>777</v>
      </c>
      <c r="D8" s="21">
        <f>IFERROR(__xludf.DUMMYFUNCTION("""COMPUTED_VALUE"""),4.668555622566818)</f>
        <v>4.668555623</v>
      </c>
      <c r="E8" s="21">
        <f>IFERROR(__xludf.DUMMYFUNCTION("""COMPUTED_VALUE"""),0.5994347864046673)</f>
        <v>0.5994347864</v>
      </c>
      <c r="F8" s="21">
        <f>IFERROR(__xludf.DUMMYFUNCTION("""COMPUTED_VALUE"""),5.2679667089714854)</f>
        <v>5.267966709</v>
      </c>
      <c r="G8" s="23">
        <f>IFERROR(__xludf.DUMMYFUNCTION("""COMPUTED_VALUE"""),1.8116693737379084)</f>
        <v>1.811669374</v>
      </c>
      <c r="H8" s="4"/>
      <c r="I8" s="5" t="s">
        <v>3214</v>
      </c>
      <c r="J8" s="5" t="s">
        <v>3215</v>
      </c>
      <c r="K8" s="24">
        <v>928.0</v>
      </c>
      <c r="L8" s="5">
        <v>6.881294</v>
      </c>
      <c r="M8" s="5">
        <v>0.935864</v>
      </c>
      <c r="N8" s="5">
        <v>7.817158</v>
      </c>
      <c r="O8" s="5">
        <v>2.767511</v>
      </c>
    </row>
    <row r="9">
      <c r="A9" s="12" t="str">
        <f>IFERROR(__xludf.DUMMYFUNCTION("""COMPUTED_VALUE"""),"Anthony Miles")</f>
        <v>Anthony Miles</v>
      </c>
      <c r="B9" s="13" t="str">
        <f>IFERROR(__xludf.DUMMYFUNCTION("""COMPUTED_VALUE"""),"SCAF")</f>
        <v>SCAF</v>
      </c>
      <c r="C9" s="14">
        <f>IFERROR(__xludf.DUMMYFUNCTION("""COMPUTED_VALUE"""),297.0)</f>
        <v>297</v>
      </c>
      <c r="D9" s="15">
        <f>IFERROR(__xludf.DUMMYFUNCTION("""COMPUTED_VALUE"""),3.3639680331228434)</f>
        <v>3.363968033</v>
      </c>
      <c r="E9" s="15">
        <f>IFERROR(__xludf.DUMMYFUNCTION("""COMPUTED_VALUE"""),1.8510756418056267)</f>
        <v>1.851075642</v>
      </c>
      <c r="F9" s="15">
        <f>IFERROR(__xludf.DUMMYFUNCTION("""COMPUTED_VALUE"""),5.21502437492847)</f>
        <v>5.215024375</v>
      </c>
      <c r="G9" s="17">
        <f>IFERROR(__xludf.DUMMYFUNCTION("""COMPUTED_VALUE"""),0.6874573471066393)</f>
        <v>0.6874573471</v>
      </c>
      <c r="H9" s="4"/>
      <c r="I9" s="5" t="s">
        <v>1140</v>
      </c>
      <c r="J9" s="5" t="s">
        <v>3217</v>
      </c>
      <c r="K9" s="24">
        <v>457.0</v>
      </c>
      <c r="L9" s="5">
        <v>5.895741</v>
      </c>
      <c r="M9" s="5">
        <v>1.733466</v>
      </c>
      <c r="N9" s="5">
        <v>7.629206</v>
      </c>
      <c r="O9" s="5">
        <v>1.325572</v>
      </c>
    </row>
    <row r="10">
      <c r="A10" s="18" t="str">
        <f>IFERROR(__xludf.DUMMYFUNCTION("""COMPUTED_VALUE"""),"Paulius Sorokas")</f>
        <v>Paulius Sorokas</v>
      </c>
      <c r="B10" s="19" t="str">
        <f>IFERROR(__xludf.DUMMYFUNCTION("""COMPUTED_VALUE"""),"TORT")</f>
        <v>TORT</v>
      </c>
      <c r="C10" s="20">
        <f>IFERROR(__xludf.DUMMYFUNCTION("""COMPUTED_VALUE"""),1211.0)</f>
        <v>1211</v>
      </c>
      <c r="D10" s="21">
        <f>IFERROR(__xludf.DUMMYFUNCTION("""COMPUTED_VALUE"""),3.0421297132138334)</f>
        <v>3.042129713</v>
      </c>
      <c r="E10" s="21">
        <f>IFERROR(__xludf.DUMMYFUNCTION("""COMPUTED_VALUE"""),2.1636799122586328)</f>
        <v>2.163679912</v>
      </c>
      <c r="F10" s="21">
        <f>IFERROR(__xludf.DUMMYFUNCTION("""COMPUTED_VALUE"""),5.205802725472466)</f>
        <v>5.205802725</v>
      </c>
      <c r="G10" s="23">
        <f>IFERROR(__xludf.DUMMYFUNCTION("""COMPUTED_VALUE"""),3.011495522479239)</f>
        <v>3.011495522</v>
      </c>
      <c r="H10" s="4"/>
      <c r="I10" s="5" t="s">
        <v>3218</v>
      </c>
      <c r="J10" s="5" t="s">
        <v>3212</v>
      </c>
      <c r="K10" s="24">
        <v>834.0</v>
      </c>
      <c r="L10" s="5">
        <v>4.064481</v>
      </c>
      <c r="M10" s="5">
        <v>3.393426</v>
      </c>
      <c r="N10" s="5">
        <v>7.457906</v>
      </c>
      <c r="O10" s="5">
        <v>2.395249</v>
      </c>
    </row>
    <row r="11">
      <c r="A11" s="12" t="str">
        <f>IFERROR(__xludf.DUMMYFUNCTION("""COMPUTED_VALUE"""),"A.J. Pacher")</f>
        <v>A.J. Pacher</v>
      </c>
      <c r="B11" s="13" t="str">
        <f>IFERROR(__xludf.DUMMYFUNCTION("""COMPUTED_VALUE"""),"VRC")</f>
        <v>VRC</v>
      </c>
      <c r="C11" s="14">
        <f>IFERROR(__xludf.DUMMYFUNCTION("""COMPUTED_VALUE"""),844.0)</f>
        <v>844</v>
      </c>
      <c r="D11" s="15">
        <f>IFERROR(__xludf.DUMMYFUNCTION("""COMPUTED_VALUE"""),4.200214118011485)</f>
        <v>4.200214118</v>
      </c>
      <c r="E11" s="15">
        <f>IFERROR(__xludf.DUMMYFUNCTION("""COMPUTED_VALUE"""),0.585553688672756)</f>
        <v>0.5855536887</v>
      </c>
      <c r="F11" s="15">
        <f>IFERROR(__xludf.DUMMYFUNCTION("""COMPUTED_VALUE"""),4.785751306684241)</f>
        <v>4.785751307</v>
      </c>
      <c r="G11" s="17">
        <f>IFERROR(__xludf.DUMMYFUNCTION("""COMPUTED_VALUE"""),1.7698514510943057)</f>
        <v>1.769851451</v>
      </c>
      <c r="H11" s="4"/>
      <c r="I11" s="5" t="s">
        <v>3219</v>
      </c>
      <c r="J11" s="5" t="s">
        <v>3220</v>
      </c>
      <c r="K11" s="24">
        <v>910.0</v>
      </c>
      <c r="L11" s="5">
        <v>5.471494</v>
      </c>
      <c r="M11" s="5">
        <v>1.969011</v>
      </c>
      <c r="N11" s="5">
        <v>7.440505</v>
      </c>
      <c r="O11" s="5">
        <v>2.637379</v>
      </c>
    </row>
    <row r="12">
      <c r="A12" s="18" t="str">
        <f>IFERROR(__xludf.DUMMYFUNCTION("""COMPUTED_VALUE"""),"Michael DeLoach")</f>
        <v>Michael DeLoach</v>
      </c>
      <c r="B12" s="19" t="str">
        <f>IFERROR(__xludf.DUMMYFUNCTION("""COMPUTED_VALUE"""),"LEON")</f>
        <v>LEON</v>
      </c>
      <c r="C12" s="20">
        <f>IFERROR(__xludf.DUMMYFUNCTION("""COMPUTED_VALUE"""),974.0)</f>
        <v>974</v>
      </c>
      <c r="D12" s="21">
        <f>IFERROR(__xludf.DUMMYFUNCTION("""COMPUTED_VALUE"""),4.091714173553886)</f>
        <v>4.091714174</v>
      </c>
      <c r="E12" s="21">
        <f>IFERROR(__xludf.DUMMYFUNCTION("""COMPUTED_VALUE"""),0.6190331451613923)</f>
        <v>0.6190331452</v>
      </c>
      <c r="F12" s="21">
        <f>IFERROR(__xludf.DUMMYFUNCTION("""COMPUTED_VALUE"""),4.710714418715278)</f>
        <v>4.710714419</v>
      </c>
      <c r="G12" s="23">
        <f>IFERROR(__xludf.DUMMYFUNCTION("""COMPUTED_VALUE"""),2.298702318939429)</f>
        <v>2.298702319</v>
      </c>
      <c r="H12" s="4"/>
      <c r="I12" s="5" t="s">
        <v>3222</v>
      </c>
      <c r="J12" s="5" t="s">
        <v>3220</v>
      </c>
      <c r="K12" s="24">
        <v>925.0</v>
      </c>
      <c r="L12" s="5">
        <v>3.51806</v>
      </c>
      <c r="M12" s="5">
        <v>3.3403</v>
      </c>
      <c r="N12" s="5">
        <v>6.85836</v>
      </c>
      <c r="O12" s="5">
        <v>2.514995</v>
      </c>
    </row>
    <row r="13">
      <c r="A13" s="12" t="str">
        <f>IFERROR(__xludf.DUMMYFUNCTION("""COMPUTED_VALUE"""),"Brett Blizzard")</f>
        <v>Brett Blizzard</v>
      </c>
      <c r="B13" s="13" t="str">
        <f>IFERROR(__xludf.DUMMYFUNCTION("""COMPUTED_VALUE"""),"NCM")</f>
        <v>NCM</v>
      </c>
      <c r="C13" s="14">
        <f>IFERROR(__xludf.DUMMYFUNCTION("""COMPUTED_VALUE"""),998.0)</f>
        <v>998</v>
      </c>
      <c r="D13" s="15">
        <f>IFERROR(__xludf.DUMMYFUNCTION("""COMPUTED_VALUE"""),3.1855122839725682)</f>
        <v>3.185512284</v>
      </c>
      <c r="E13" s="15">
        <f>IFERROR(__xludf.DUMMYFUNCTION("""COMPUTED_VALUE"""),1.3918379238764502)</f>
        <v>1.391837924</v>
      </c>
      <c r="F13" s="15">
        <f>IFERROR(__xludf.DUMMYFUNCTION("""COMPUTED_VALUE"""),4.5773092078490185)</f>
        <v>4.577309208</v>
      </c>
      <c r="G13" s="17">
        <f>IFERROR(__xludf.DUMMYFUNCTION("""COMPUTED_VALUE"""),2.023793785177442)</f>
        <v>2.023793785</v>
      </c>
      <c r="H13" s="4"/>
      <c r="I13" s="5" t="s">
        <v>775</v>
      </c>
      <c r="J13" s="5" t="s">
        <v>3223</v>
      </c>
      <c r="K13" s="24">
        <v>867.0</v>
      </c>
      <c r="L13" s="5">
        <v>5.796982</v>
      </c>
      <c r="M13" s="5">
        <v>0.726599</v>
      </c>
      <c r="N13" s="5">
        <v>6.523581</v>
      </c>
      <c r="O13" s="5">
        <v>2.245933</v>
      </c>
    </row>
    <row r="14">
      <c r="A14" s="18" t="str">
        <f>IFERROR(__xludf.DUMMYFUNCTION("""COMPUTED_VALUE"""),"Marshawn Powell")</f>
        <v>Marshawn Powell</v>
      </c>
      <c r="B14" s="19" t="str">
        <f>IFERROR(__xludf.DUMMYFUNCTION("""COMPUTED_VALUE"""),"POD")</f>
        <v>POD</v>
      </c>
      <c r="C14" s="20">
        <f>IFERROR(__xludf.DUMMYFUNCTION("""COMPUTED_VALUE"""),1074.0)</f>
        <v>1074</v>
      </c>
      <c r="D14" s="21">
        <f>IFERROR(__xludf.DUMMYFUNCTION("""COMPUTED_VALUE"""),1.6067602527829385)</f>
        <v>1.606760253</v>
      </c>
      <c r="E14" s="21">
        <f>IFERROR(__xludf.DUMMYFUNCTION("""COMPUTED_VALUE"""),2.7336307943945806)</f>
        <v>2.733630794</v>
      </c>
      <c r="F14" s="21">
        <f>IFERROR(__xludf.DUMMYFUNCTION("""COMPUTED_VALUE"""),4.340377447177519)</f>
        <v>4.340377447</v>
      </c>
      <c r="G14" s="23">
        <f>IFERROR(__xludf.DUMMYFUNCTION("""COMPUTED_VALUE"""),2.0884664447822385)</f>
        <v>2.088466445</v>
      </c>
      <c r="H14" s="4"/>
      <c r="I14" s="5" t="s">
        <v>3225</v>
      </c>
      <c r="J14" s="5" t="s">
        <v>3226</v>
      </c>
      <c r="K14" s="24">
        <v>610.0</v>
      </c>
      <c r="L14" s="5">
        <v>2.714476</v>
      </c>
      <c r="M14" s="5">
        <v>3.702478</v>
      </c>
      <c r="N14" s="5">
        <v>6.416954</v>
      </c>
      <c r="O14" s="5">
        <v>1.5672</v>
      </c>
    </row>
    <row r="15">
      <c r="A15" s="12" t="str">
        <f>IFERROR(__xludf.DUMMYFUNCTION("""COMPUTED_VALUE"""),"Guido Rosselli")</f>
        <v>Guido Rosselli</v>
      </c>
      <c r="B15" s="13" t="str">
        <f>IFERROR(__xludf.DUMMYFUNCTION("""COMPUTED_VALUE"""),"BOL")</f>
        <v>BOL</v>
      </c>
      <c r="C15" s="14">
        <f>IFERROR(__xludf.DUMMYFUNCTION("""COMPUTED_VALUE"""),906.1)</f>
        <v>906.1</v>
      </c>
      <c r="D15" s="15">
        <f>IFERROR(__xludf.DUMMYFUNCTION("""COMPUTED_VALUE"""),0.8829626266859726)</f>
        <v>0.8829626267</v>
      </c>
      <c r="E15" s="15">
        <f>IFERROR(__xludf.DUMMYFUNCTION("""COMPUTED_VALUE"""),3.366087068555715)</f>
        <v>3.366087069</v>
      </c>
      <c r="F15" s="15">
        <f>IFERROR(__xludf.DUMMYFUNCTION("""COMPUTED_VALUE"""),4.2490388952416875)</f>
        <v>4.249038895</v>
      </c>
      <c r="G15" s="17">
        <f>IFERROR(__xludf.DUMMYFUNCTION("""COMPUTED_VALUE"""),1.7307189900754645)</f>
        <v>1.73071899</v>
      </c>
      <c r="H15" s="4"/>
      <c r="I15" s="5" t="s">
        <v>3228</v>
      </c>
      <c r="J15" s="5" t="s">
        <v>3229</v>
      </c>
      <c r="K15" s="24">
        <v>405.0</v>
      </c>
      <c r="L15" s="5">
        <v>5.820243</v>
      </c>
      <c r="M15" s="5">
        <v>0.396638</v>
      </c>
      <c r="N15" s="5">
        <v>6.216881</v>
      </c>
      <c r="O15" s="5">
        <v>1.050765</v>
      </c>
    </row>
    <row r="16">
      <c r="A16" s="18" t="str">
        <f>IFERROR(__xludf.DUMMYFUNCTION("""COMPUTED_VALUE"""),"Jamarr Sanders")</f>
        <v>Jamarr Sanders</v>
      </c>
      <c r="B16" s="19" t="str">
        <f>IFERROR(__xludf.DUMMYFUNCTION("""COMPUTED_VALUE"""),"NCM")</f>
        <v>NCM</v>
      </c>
      <c r="C16" s="20">
        <f>IFERROR(__xludf.DUMMYFUNCTION("""COMPUTED_VALUE"""),1341.0)</f>
        <v>1341</v>
      </c>
      <c r="D16" s="21">
        <f>IFERROR(__xludf.DUMMYFUNCTION("""COMPUTED_VALUE"""),1.9080761623212146)</f>
        <v>1.908076162</v>
      </c>
      <c r="E16" s="21">
        <f>IFERROR(__xludf.DUMMYFUNCTION("""COMPUTED_VALUE"""),2.3375535911268956)</f>
        <v>2.337553591</v>
      </c>
      <c r="F16" s="21">
        <f>IFERROR(__xludf.DUMMYFUNCTION("""COMPUTED_VALUE"""),4.24562025344811)</f>
        <v>4.245620253</v>
      </c>
      <c r="G16" s="23">
        <f>IFERROR(__xludf.DUMMYFUNCTION("""COMPUTED_VALUE"""),2.5821686819287906)</f>
        <v>2.582168682</v>
      </c>
      <c r="H16" s="4"/>
      <c r="I16" s="5" t="s">
        <v>3230</v>
      </c>
      <c r="J16" s="5" t="s">
        <v>3229</v>
      </c>
      <c r="K16" s="24">
        <v>915.0</v>
      </c>
      <c r="L16" s="5">
        <v>5.388908</v>
      </c>
      <c r="M16" s="5">
        <v>0.784124</v>
      </c>
      <c r="N16" s="5">
        <v>6.173032</v>
      </c>
      <c r="O16" s="5">
        <v>2.363291</v>
      </c>
    </row>
    <row r="17">
      <c r="A17" s="12" t="str">
        <f>IFERROR(__xludf.DUMMYFUNCTION("""COMPUTED_VALUE"""),"Nik Raivio")</f>
        <v>Nik Raivio</v>
      </c>
      <c r="B17" s="13" t="str">
        <f>IFERROR(__xludf.DUMMYFUNCTION("""COMPUTED_VALUE"""),"LEGN")</f>
        <v>LEGN</v>
      </c>
      <c r="C17" s="14">
        <f>IFERROR(__xludf.DUMMYFUNCTION("""COMPUTED_VALUE"""),1137.0)</f>
        <v>1137</v>
      </c>
      <c r="D17" s="15">
        <f>IFERROR(__xludf.DUMMYFUNCTION("""COMPUTED_VALUE"""),3.2794041803230174)</f>
        <v>3.27940418</v>
      </c>
      <c r="E17" s="15">
        <f>IFERROR(__xludf.DUMMYFUNCTION("""COMPUTED_VALUE"""),0.9514825302220425)</f>
        <v>0.9514825302</v>
      </c>
      <c r="F17" s="15">
        <f>IFERROR(__xludf.DUMMYFUNCTION("""COMPUTED_VALUE"""),4.23087401054506)</f>
        <v>4.230874011</v>
      </c>
      <c r="G17" s="17">
        <f>IFERROR(__xludf.DUMMYFUNCTION("""COMPUTED_VALUE"""),2.151771777309353)</f>
        <v>2.151771777</v>
      </c>
      <c r="H17" s="4"/>
      <c r="I17" s="5" t="s">
        <v>3231</v>
      </c>
      <c r="J17" s="5" t="s">
        <v>3233</v>
      </c>
      <c r="K17" s="24">
        <v>960.0</v>
      </c>
      <c r="L17" s="5">
        <v>5.432202</v>
      </c>
      <c r="M17" s="5">
        <v>0.563188</v>
      </c>
      <c r="N17" s="5">
        <v>5.995391</v>
      </c>
      <c r="O17" s="5">
        <v>2.269116</v>
      </c>
    </row>
    <row r="18">
      <c r="A18" s="18" t="str">
        <f>IFERROR(__xludf.DUMMYFUNCTION("""COMPUTED_VALUE"""),"Tomas Kyzlink")</f>
        <v>Tomas Kyzlink</v>
      </c>
      <c r="B18" s="19" t="str">
        <f>IFERROR(__xludf.DUMMYFUNCTION("""COMPUTED_VALUE"""),"SANA")</f>
        <v>SANA</v>
      </c>
      <c r="C18" s="20">
        <f>IFERROR(__xludf.DUMMYFUNCTION("""COMPUTED_VALUE"""),446.0)</f>
        <v>446</v>
      </c>
      <c r="D18" s="21">
        <f>IFERROR(__xludf.DUMMYFUNCTION("""COMPUTED_VALUE"""),4.980002360878735)</f>
        <v>4.980002361</v>
      </c>
      <c r="E18" s="21">
        <f>IFERROR(__xludf.DUMMYFUNCTION("""COMPUTED_VALUE"""),-0.8550561967499767)</f>
        <v>-0.8550561967</v>
      </c>
      <c r="F18" s="21">
        <f>IFERROR(__xludf.DUMMYFUNCTION("""COMPUTED_VALUE"""),4.124922064128758)</f>
        <v>4.124922064</v>
      </c>
      <c r="G18" s="23">
        <f>IFERROR(__xludf.DUMMYFUNCTION("""COMPUTED_VALUE"""),0.8309253428119224)</f>
        <v>0.8309253428</v>
      </c>
      <c r="H18" s="4"/>
      <c r="I18" s="5" t="s">
        <v>3234</v>
      </c>
      <c r="J18" s="5" t="s">
        <v>3212</v>
      </c>
      <c r="K18" s="24">
        <v>772.0</v>
      </c>
      <c r="L18" s="5">
        <v>3.281958</v>
      </c>
      <c r="M18" s="5">
        <v>2.330674</v>
      </c>
      <c r="N18" s="5">
        <v>5.612631</v>
      </c>
      <c r="O18" s="5">
        <v>1.7848</v>
      </c>
    </row>
    <row r="19">
      <c r="A19" s="12" t="str">
        <f>IFERROR(__xludf.DUMMYFUNCTION("""COMPUTED_VALUE"""),"Stefano Mancinelli")</f>
        <v>Stefano Mancinelli</v>
      </c>
      <c r="B19" s="13" t="str">
        <f>IFERROR(__xludf.DUMMYFUNCTION("""COMPUTED_VALUE"""),"BOL")</f>
        <v>BOL</v>
      </c>
      <c r="C19" s="14">
        <f>IFERROR(__xludf.DUMMYFUNCTION("""COMPUTED_VALUE"""),1109.0)</f>
        <v>1109</v>
      </c>
      <c r="D19" s="15">
        <f>IFERROR(__xludf.DUMMYFUNCTION("""COMPUTED_VALUE"""),0.4225051221670886)</f>
        <v>0.4225051222</v>
      </c>
      <c r="E19" s="15">
        <f>IFERROR(__xludf.DUMMYFUNCTION("""COMPUTED_VALUE"""),3.6526555326969676)</f>
        <v>3.652655533</v>
      </c>
      <c r="F19" s="15">
        <f>IFERROR(__xludf.DUMMYFUNCTION("""COMPUTED_VALUE"""),4.075138654864056)</f>
        <v>4.075138655</v>
      </c>
      <c r="G19" s="17">
        <f>IFERROR(__xludf.DUMMYFUNCTION("""COMPUTED_VALUE"""),2.0593343840777827)</f>
        <v>2.059334384</v>
      </c>
      <c r="H19" s="4"/>
      <c r="I19" s="5" t="s">
        <v>3235</v>
      </c>
      <c r="J19" s="5" t="s">
        <v>3212</v>
      </c>
      <c r="K19" s="24">
        <v>621.0</v>
      </c>
      <c r="L19" s="5">
        <v>3.630073</v>
      </c>
      <c r="M19" s="5">
        <v>1.849615</v>
      </c>
      <c r="N19" s="5">
        <v>5.479688</v>
      </c>
      <c r="O19" s="5">
        <v>1.410357</v>
      </c>
    </row>
    <row r="20">
      <c r="A20" s="18" t="str">
        <f>IFERROR(__xludf.DUMMYFUNCTION("""COMPUTED_VALUE"""),"B.J. Raymond")</f>
        <v>B.J. Raymond</v>
      </c>
      <c r="B20" s="19" t="str">
        <f>IFERROR(__xludf.DUMMYFUNCTION("""COMPUTED_VALUE"""),"LAT")</f>
        <v>LAT</v>
      </c>
      <c r="C20" s="20">
        <f>IFERROR(__xludf.DUMMYFUNCTION("""COMPUTED_VALUE"""),1019.0)</f>
        <v>1019</v>
      </c>
      <c r="D20" s="21">
        <f>IFERROR(__xludf.DUMMYFUNCTION("""COMPUTED_VALUE"""),4.413034459213028)</f>
        <v>4.413034459</v>
      </c>
      <c r="E20" s="21">
        <f>IFERROR(__xludf.DUMMYFUNCTION("""COMPUTED_VALUE"""),-0.3905863979827745)</f>
        <v>-0.390586398</v>
      </c>
      <c r="F20" s="21">
        <f>IFERROR(__xludf.DUMMYFUNCTION("""COMPUTED_VALUE"""),4.022436061230254)</f>
        <v>4.022436061</v>
      </c>
      <c r="G20" s="23">
        <f>IFERROR(__xludf.DUMMYFUNCTION("""COMPUTED_VALUE"""),1.9937901203832007)</f>
        <v>1.99379012</v>
      </c>
      <c r="H20" s="4"/>
      <c r="I20" s="5" t="s">
        <v>3236</v>
      </c>
      <c r="J20" s="5" t="s">
        <v>3237</v>
      </c>
      <c r="K20" s="5">
        <v>694.0</v>
      </c>
      <c r="L20" s="5">
        <v>4.652773</v>
      </c>
      <c r="M20" s="5">
        <v>0.735438</v>
      </c>
      <c r="N20" s="5">
        <v>5.388211</v>
      </c>
      <c r="O20" s="5">
        <v>1.729146</v>
      </c>
    </row>
    <row r="21">
      <c r="A21" s="12" t="str">
        <f>IFERROR(__xludf.DUMMYFUNCTION("""COMPUTED_VALUE"""),"Isaiah Swann")</f>
        <v>Isaiah Swann</v>
      </c>
      <c r="B21" s="13" t="str">
        <f>IFERROR(__xludf.DUMMYFUNCTION("""COMPUTED_VALUE"""),"TREV")</f>
        <v>TREV</v>
      </c>
      <c r="C21" s="14">
        <f>IFERROR(__xludf.DUMMYFUNCTION("""COMPUTED_VALUE"""),543.0)</f>
        <v>543</v>
      </c>
      <c r="D21" s="15">
        <f>IFERROR(__xludf.DUMMYFUNCTION("""COMPUTED_VALUE"""),5.734523280202385)</f>
        <v>5.73452328</v>
      </c>
      <c r="E21" s="15">
        <f>IFERROR(__xludf.DUMMYFUNCTION("""COMPUTED_VALUE"""),-1.7169534927133097)</f>
        <v>-1.716953493</v>
      </c>
      <c r="F21" s="15">
        <f>IFERROR(__xludf.DUMMYFUNCTION("""COMPUTED_VALUE"""),4.017563987489075)</f>
        <v>4.017563987</v>
      </c>
      <c r="G21" s="17">
        <f>IFERROR(__xludf.DUMMYFUNCTION("""COMPUTED_VALUE"""),1.9945775216904642)</f>
        <v>1.994577522</v>
      </c>
      <c r="H21" s="4"/>
      <c r="I21" s="5" t="s">
        <v>3238</v>
      </c>
      <c r="J21" s="5" t="s">
        <v>2838</v>
      </c>
      <c r="K21" s="24">
        <v>353.0</v>
      </c>
      <c r="L21" s="5">
        <v>3.646424</v>
      </c>
      <c r="M21" s="5">
        <v>1.637954</v>
      </c>
      <c r="N21" s="5">
        <v>5.284378</v>
      </c>
      <c r="O21" s="5">
        <v>0.770777</v>
      </c>
    </row>
    <row r="22">
      <c r="A22" s="18" t="str">
        <f>IFERROR(__xludf.DUMMYFUNCTION("""COMPUTED_VALUE"""),"Angelo Gigli")</f>
        <v>Angelo Gigli</v>
      </c>
      <c r="B22" s="19" t="str">
        <f>IFERROR(__xludf.DUMMYFUNCTION("""COMPUTED_VALUE"""),"RIET")</f>
        <v>RIET</v>
      </c>
      <c r="C22" s="20">
        <f>IFERROR(__xludf.DUMMYFUNCTION("""COMPUTED_VALUE"""),903.0)</f>
        <v>903</v>
      </c>
      <c r="D22" s="21">
        <f>IFERROR(__xludf.DUMMYFUNCTION("""COMPUTED_VALUE"""),2.117174960999713)</f>
        <v>2.117174961</v>
      </c>
      <c r="E22" s="21">
        <f>IFERROR(__xludf.DUMMYFUNCTION("""COMPUTED_VALUE"""),1.8307500500817975)</f>
        <v>1.83075005</v>
      </c>
      <c r="F22" s="21">
        <f>IFERROR(__xludf.DUMMYFUNCTION("""COMPUTED_VALUE"""),3.9478973110815105)</f>
        <v>3.947897311</v>
      </c>
      <c r="G22" s="23">
        <f>IFERROR(__xludf.DUMMYFUNCTION("""COMPUTED_VALUE"""),1.8316665633936964)</f>
        <v>1.831666563</v>
      </c>
      <c r="H22" s="4"/>
      <c r="I22" s="5" t="s">
        <v>963</v>
      </c>
      <c r="J22" s="5" t="s">
        <v>3217</v>
      </c>
      <c r="K22" s="5">
        <v>808.0</v>
      </c>
      <c r="L22" s="5">
        <v>2.128232</v>
      </c>
      <c r="M22" s="5">
        <v>3.143818</v>
      </c>
      <c r="N22" s="5">
        <v>5.272049</v>
      </c>
      <c r="O22" s="5">
        <v>1.769293</v>
      </c>
    </row>
    <row r="23">
      <c r="A23" s="12" t="str">
        <f>IFERROR(__xludf.DUMMYFUNCTION("""COMPUTED_VALUE"""),"Luca Gandini")</f>
        <v>Luca Gandini</v>
      </c>
      <c r="B23" s="13" t="str">
        <f>IFERROR(__xludf.DUMMYFUNCTION("""COMPUTED_VALUE"""),"BOL")</f>
        <v>BOL</v>
      </c>
      <c r="C23" s="14">
        <f>IFERROR(__xludf.DUMMYFUNCTION("""COMPUTED_VALUE"""),605.0)</f>
        <v>605</v>
      </c>
      <c r="D23" s="15">
        <f>IFERROR(__xludf.DUMMYFUNCTION("""COMPUTED_VALUE"""),-0.5651473032675076)</f>
        <v>-0.5651473033</v>
      </c>
      <c r="E23" s="15">
        <f>IFERROR(__xludf.DUMMYFUNCTION("""COMPUTED_VALUE"""),4.51106233747588)</f>
        <v>4.511062337</v>
      </c>
      <c r="F23" s="15">
        <f>IFERROR(__xludf.DUMMYFUNCTION("""COMPUTED_VALUE"""),3.945886434208372)</f>
        <v>3.945886434</v>
      </c>
      <c r="G23" s="17">
        <f>IFERROR(__xludf.DUMMYFUNCTION("""COMPUTED_VALUE"""),1.0995570605568048)</f>
        <v>1.099557061</v>
      </c>
      <c r="H23" s="4"/>
      <c r="I23" s="5" t="s">
        <v>1065</v>
      </c>
      <c r="J23" s="5" t="s">
        <v>3240</v>
      </c>
      <c r="K23" s="24">
        <v>810.0</v>
      </c>
      <c r="L23" s="5">
        <v>4.064939</v>
      </c>
      <c r="M23" s="5">
        <v>0.887572</v>
      </c>
      <c r="N23" s="5">
        <v>4.952511</v>
      </c>
      <c r="O23" s="5">
        <v>1.716451</v>
      </c>
    </row>
    <row r="24">
      <c r="A24" s="18" t="str">
        <f>IFERROR(__xludf.DUMMYFUNCTION("""COMPUTED_VALUE"""),"Michele Antonutti")</f>
        <v>Michele Antonutti</v>
      </c>
      <c r="B24" s="19" t="str">
        <f>IFERROR(__xludf.DUMMYFUNCTION("""COMPUTED_VALUE"""),"TREV")</f>
        <v>TREV</v>
      </c>
      <c r="C24" s="20">
        <f>IFERROR(__xludf.DUMMYFUNCTION("""COMPUTED_VALUE"""),871.0)</f>
        <v>871</v>
      </c>
      <c r="D24" s="21">
        <f>IFERROR(__xludf.DUMMYFUNCTION("""COMPUTED_VALUE"""),5.445462518570802)</f>
        <v>5.445462519</v>
      </c>
      <c r="E24" s="21">
        <f>IFERROR(__xludf.DUMMYFUNCTION("""COMPUTED_VALUE"""),-1.5487452356341052)</f>
        <v>-1.548745236</v>
      </c>
      <c r="F24" s="21">
        <f>IFERROR(__xludf.DUMMYFUNCTION("""COMPUTED_VALUE"""),3.896673982936697)</f>
        <v>3.896673983</v>
      </c>
      <c r="G24" s="23">
        <f>IFERROR(__xludf.DUMMYFUNCTION("""COMPUTED_VALUE"""),3.135164847400464)</f>
        <v>3.135164847</v>
      </c>
      <c r="H24" s="4"/>
      <c r="I24" s="5" t="s">
        <v>3241</v>
      </c>
      <c r="J24" s="5" t="s">
        <v>2201</v>
      </c>
      <c r="K24" s="24">
        <v>985.0</v>
      </c>
      <c r="L24" s="5">
        <v>2.989934</v>
      </c>
      <c r="M24" s="5">
        <v>1.943075</v>
      </c>
      <c r="N24" s="5">
        <v>4.933009</v>
      </c>
      <c r="O24" s="5">
        <v>2.086479</v>
      </c>
    </row>
    <row r="25">
      <c r="A25" s="12" t="str">
        <f>IFERROR(__xludf.DUMMYFUNCTION("""COMPUTED_VALUE"""),"Davide Alviti")</f>
        <v>Davide Alviti</v>
      </c>
      <c r="B25" s="13" t="str">
        <f>IFERROR(__xludf.DUMMYFUNCTION("""COMPUTED_VALUE"""),"IMOL")</f>
        <v>IMOL</v>
      </c>
      <c r="C25" s="14">
        <f>IFERROR(__xludf.DUMMYFUNCTION("""COMPUTED_VALUE"""),870.0)</f>
        <v>870</v>
      </c>
      <c r="D25" s="15">
        <f>IFERROR(__xludf.DUMMYFUNCTION("""COMPUTED_VALUE"""),2.5302816576730045)</f>
        <v>2.530281658</v>
      </c>
      <c r="E25" s="15">
        <f>IFERROR(__xludf.DUMMYFUNCTION("""COMPUTED_VALUE"""),1.336151032872379)</f>
        <v>1.336151033</v>
      </c>
      <c r="F25" s="15">
        <f>IFERROR(__xludf.DUMMYFUNCTION("""COMPUTED_VALUE"""),3.8663880905453833)</f>
        <v>3.866388091</v>
      </c>
      <c r="G25" s="17">
        <f>IFERROR(__xludf.DUMMYFUNCTION("""COMPUTED_VALUE"""),1.5560682703580744)</f>
        <v>1.55606827</v>
      </c>
      <c r="H25" s="4"/>
      <c r="I25" s="5" t="s">
        <v>3243</v>
      </c>
      <c r="J25" s="5" t="s">
        <v>3203</v>
      </c>
      <c r="K25" s="24">
        <v>227.0</v>
      </c>
      <c r="L25" s="5">
        <v>-0.375312</v>
      </c>
      <c r="M25" s="5">
        <v>5.284305</v>
      </c>
      <c r="N25" s="5">
        <v>4.908992</v>
      </c>
      <c r="O25" s="5">
        <v>0.475587</v>
      </c>
    </row>
    <row r="26">
      <c r="A26" s="18" t="str">
        <f>IFERROR(__xludf.DUMMYFUNCTION("""COMPUTED_VALUE"""),"Matteo Fantinelli")</f>
        <v>Matteo Fantinelli</v>
      </c>
      <c r="B26" s="19" t="str">
        <f>IFERROR(__xludf.DUMMYFUNCTION("""COMPUTED_VALUE"""),"TREV")</f>
        <v>TREV</v>
      </c>
      <c r="C26" s="20">
        <f>IFERROR(__xludf.DUMMYFUNCTION("""COMPUTED_VALUE"""),743.0)</f>
        <v>743</v>
      </c>
      <c r="D26" s="21">
        <f>IFERROR(__xludf.DUMMYFUNCTION("""COMPUTED_VALUE"""),1.8126255488272571)</f>
        <v>1.812625549</v>
      </c>
      <c r="E26" s="21">
        <f>IFERROR(__xludf.DUMMYFUNCTION("""COMPUTED_VALUE"""),2.0160158739582394)</f>
        <v>2.016015874</v>
      </c>
      <c r="F26" s="21">
        <f>IFERROR(__xludf.DUMMYFUNCTION("""COMPUTED_VALUE"""),3.8286109227854968)</f>
        <v>3.828610923</v>
      </c>
      <c r="G26" s="23">
        <f>IFERROR(__xludf.DUMMYFUNCTION("""COMPUTED_VALUE"""),2.6435528737698357)</f>
        <v>2.643552874</v>
      </c>
      <c r="H26" s="4"/>
      <c r="I26" s="5" t="s">
        <v>1191</v>
      </c>
      <c r="J26" s="5" t="s">
        <v>3215</v>
      </c>
      <c r="K26" s="24">
        <v>552.0</v>
      </c>
      <c r="L26" s="5">
        <v>1.862639</v>
      </c>
      <c r="M26" s="5">
        <v>2.942286</v>
      </c>
      <c r="N26" s="5">
        <v>4.804925</v>
      </c>
      <c r="O26" s="5">
        <v>1.140593</v>
      </c>
    </row>
    <row r="27">
      <c r="A27" s="12" t="str">
        <f>IFERROR(__xludf.DUMMYFUNCTION("""COMPUTED_VALUE"""),"Jalen Cannon")</f>
        <v>Jalen Cannon</v>
      </c>
      <c r="B27" s="13" t="str">
        <f>IFERROR(__xludf.DUMMYFUNCTION("""COMPUTED_VALUE"""),"MON")</f>
        <v>MON</v>
      </c>
      <c r="C27" s="14">
        <f>IFERROR(__xludf.DUMMYFUNCTION("""COMPUTED_VALUE"""),1213.0)</f>
        <v>1213</v>
      </c>
      <c r="D27" s="15">
        <f>IFERROR(__xludf.DUMMYFUNCTION("""COMPUTED_VALUE"""),3.3036873598690124)</f>
        <v>3.30368736</v>
      </c>
      <c r="E27" s="15">
        <f>IFERROR(__xludf.DUMMYFUNCTION("""COMPUTED_VALUE"""),0.4750045171658272)</f>
        <v>0.4750045172</v>
      </c>
      <c r="F27" s="15">
        <f>IFERROR(__xludf.DUMMYFUNCTION("""COMPUTED_VALUE"""),3.7786533770348396)</f>
        <v>3.778653377</v>
      </c>
      <c r="G27" s="17">
        <f>IFERROR(__xludf.DUMMYFUNCTION("""COMPUTED_VALUE"""),2.1290188592206865)</f>
        <v>2.129018859</v>
      </c>
      <c r="H27" s="4"/>
      <c r="I27" s="5" t="s">
        <v>3245</v>
      </c>
      <c r="J27" s="5" t="s">
        <v>3212</v>
      </c>
      <c r="K27" s="24">
        <v>821.0</v>
      </c>
      <c r="L27" s="5">
        <v>1.315072</v>
      </c>
      <c r="M27" s="5">
        <v>3.471349</v>
      </c>
      <c r="N27" s="5">
        <v>4.786421</v>
      </c>
      <c r="O27" s="5">
        <v>1.69292</v>
      </c>
    </row>
    <row r="28">
      <c r="A28" s="18" t="str">
        <f>IFERROR(__xludf.DUMMYFUNCTION("""COMPUTED_VALUE"""),"Tony Easley")</f>
        <v>Tony Easley</v>
      </c>
      <c r="B28" s="19" t="str">
        <f>IFERROR(__xludf.DUMMYFUNCTION("""COMPUTED_VALUE"""),"TREV")</f>
        <v>TREV</v>
      </c>
      <c r="C28" s="20">
        <f>IFERROR(__xludf.DUMMYFUNCTION("""COMPUTED_VALUE"""),397.0)</f>
        <v>397</v>
      </c>
      <c r="D28" s="21">
        <f>IFERROR(__xludf.DUMMYFUNCTION("""COMPUTED_VALUE"""),2.39810076629528)</f>
        <v>2.398100766</v>
      </c>
      <c r="E28" s="21">
        <f>IFERROR(__xludf.DUMMYFUNCTION("""COMPUTED_VALUE"""),1.3250732996463042)</f>
        <v>1.3250733</v>
      </c>
      <c r="F28" s="21">
        <f>IFERROR(__xludf.DUMMYFUNCTION("""COMPUTED_VALUE"""),3.723142765941584)</f>
        <v>3.723142766</v>
      </c>
      <c r="G28" s="23">
        <f>IFERROR(__xludf.DUMMYFUNCTION("""COMPUTED_VALUE"""),1.3869601983761357)</f>
        <v>1.386960198</v>
      </c>
      <c r="H28" s="4"/>
      <c r="I28" s="5" t="s">
        <v>3246</v>
      </c>
      <c r="J28" s="5" t="s">
        <v>3226</v>
      </c>
      <c r="K28" s="24">
        <v>604.0</v>
      </c>
      <c r="L28" s="5">
        <v>2.566124</v>
      </c>
      <c r="M28" s="5">
        <v>2.108607</v>
      </c>
      <c r="N28" s="5">
        <v>4.67473</v>
      </c>
      <c r="O28" s="5">
        <v>1.230178</v>
      </c>
    </row>
    <row r="29">
      <c r="A29" s="12" t="str">
        <f>IFERROR(__xludf.DUMMYFUNCTION("""COMPUTED_VALUE"""),"Marko Simonovic")</f>
        <v>Marko Simonovic</v>
      </c>
      <c r="B29" s="13" t="str">
        <f>IFERROR(__xludf.DUMMYFUNCTION("""COMPUTED_VALUE"""),"SANA")</f>
        <v>SANA</v>
      </c>
      <c r="C29" s="14">
        <f>IFERROR(__xludf.DUMMYFUNCTION("""COMPUTED_VALUE"""),293.0)</f>
        <v>293</v>
      </c>
      <c r="D29" s="15">
        <f>IFERROR(__xludf.DUMMYFUNCTION("""COMPUTED_VALUE"""),2.8498501258415305)</f>
        <v>2.849850126</v>
      </c>
      <c r="E29" s="15">
        <f>IFERROR(__xludf.DUMMYFUNCTION("""COMPUTED_VALUE"""),0.8254728760698301)</f>
        <v>0.8254728761</v>
      </c>
      <c r="F29" s="15">
        <f>IFERROR(__xludf.DUMMYFUNCTION("""COMPUTED_VALUE"""),3.6753156019113606)</f>
        <v>3.675315602</v>
      </c>
      <c r="G29" s="17">
        <f>IFERROR(__xludf.DUMMYFUNCTION("""COMPUTED_VALUE"""),0.5057990096263278)</f>
        <v>0.5057990096</v>
      </c>
      <c r="H29" s="4"/>
      <c r="I29" s="5" t="s">
        <v>3248</v>
      </c>
      <c r="J29" s="5" t="s">
        <v>3220</v>
      </c>
      <c r="K29" s="24">
        <v>665.0</v>
      </c>
      <c r="L29" s="5">
        <v>3.025228</v>
      </c>
      <c r="M29" s="5">
        <v>1.648312</v>
      </c>
      <c r="N29" s="5">
        <v>4.67354</v>
      </c>
      <c r="O29" s="5">
        <v>1.363248</v>
      </c>
    </row>
    <row r="30">
      <c r="A30" s="18" t="str">
        <f>IFERROR(__xludf.DUMMYFUNCTION("""COMPUTED_VALUE"""),"Brandon Sherrod")</f>
        <v>Brandon Sherrod</v>
      </c>
      <c r="B30" s="19" t="str">
        <f>IFERROR(__xludf.DUMMYFUNCTION("""COMPUTED_VALUE"""),"SCAF")</f>
        <v>SCAF</v>
      </c>
      <c r="C30" s="20">
        <f>IFERROR(__xludf.DUMMYFUNCTION("""COMPUTED_VALUE"""),863.0)</f>
        <v>863</v>
      </c>
      <c r="D30" s="21">
        <f>IFERROR(__xludf.DUMMYFUNCTION("""COMPUTED_VALUE"""),0.8375399670733051)</f>
        <v>0.8375399671</v>
      </c>
      <c r="E30" s="21">
        <f>IFERROR(__xludf.DUMMYFUNCTION("""COMPUTED_VALUE"""),2.82921143587166)</f>
        <v>2.829211436</v>
      </c>
      <c r="F30" s="21">
        <f>IFERROR(__xludf.DUMMYFUNCTION("""COMPUTED_VALUE"""),3.666743702944965)</f>
        <v>3.666743703</v>
      </c>
      <c r="G30" s="23">
        <f>IFERROR(__xludf.DUMMYFUNCTION("""COMPUTED_VALUE"""),1.568865854805663)</f>
        <v>1.568865855</v>
      </c>
      <c r="H30" s="4"/>
      <c r="I30" s="5" t="s">
        <v>3250</v>
      </c>
      <c r="J30" s="5" t="s">
        <v>3251</v>
      </c>
      <c r="K30" s="5">
        <v>902.0</v>
      </c>
      <c r="L30" s="5">
        <v>3.685912</v>
      </c>
      <c r="M30" s="5">
        <v>0.967933</v>
      </c>
      <c r="N30" s="5">
        <v>4.653846</v>
      </c>
      <c r="O30" s="5">
        <v>1.822317</v>
      </c>
    </row>
    <row r="31">
      <c r="A31" s="12" t="str">
        <f>IFERROR(__xludf.DUMMYFUNCTION("""COMPUTED_VALUE"""),"Sandi Marcius")</f>
        <v>Sandi Marcius</v>
      </c>
      <c r="B31" s="13" t="str">
        <f>IFERROR(__xludf.DUMMYFUNCTION("""COMPUTED_VALUE"""),"NCM")</f>
        <v>NCM</v>
      </c>
      <c r="C31" s="14">
        <f>IFERROR(__xludf.DUMMYFUNCTION("""COMPUTED_VALUE"""),535.0)</f>
        <v>535</v>
      </c>
      <c r="D31" s="15">
        <f>IFERROR(__xludf.DUMMYFUNCTION("""COMPUTED_VALUE"""),0.5216928065301987)</f>
        <v>0.5216928065</v>
      </c>
      <c r="E31" s="15">
        <f>IFERROR(__xludf.DUMMYFUNCTION("""COMPUTED_VALUE"""),2.9265130743324574)</f>
        <v>2.926513074</v>
      </c>
      <c r="F31" s="15">
        <f>IFERROR(__xludf.DUMMYFUNCTION("""COMPUTED_VALUE"""),3.4481840808626565)</f>
        <v>3.448184081</v>
      </c>
      <c r="G31" s="17">
        <f>IFERROR(__xludf.DUMMYFUNCTION("""COMPUTED_VALUE"""),0.8986586302738317)</f>
        <v>0.8986586303</v>
      </c>
      <c r="H31" s="4"/>
      <c r="I31" s="5" t="s">
        <v>3252</v>
      </c>
      <c r="J31" s="5" t="s">
        <v>2201</v>
      </c>
      <c r="K31" s="24">
        <v>816.0</v>
      </c>
      <c r="L31" s="5">
        <v>3.311386</v>
      </c>
      <c r="M31" s="5">
        <v>1.05207</v>
      </c>
      <c r="N31" s="5">
        <v>4.363456</v>
      </c>
      <c r="O31" s="5">
        <v>1.584881</v>
      </c>
    </row>
    <row r="32">
      <c r="A32" s="18" t="str">
        <f>IFERROR(__xludf.DUMMYFUNCTION("""COMPUTED_VALUE"""),"Niccolo Martinoni")</f>
        <v>Niccolo Martinoni</v>
      </c>
      <c r="B32" s="19" t="str">
        <f>IFERROR(__xludf.DUMMYFUNCTION("""COMPUTED_VALUE"""),"NCM")</f>
        <v>NCM</v>
      </c>
      <c r="C32" s="20">
        <f>IFERROR(__xludf.DUMMYFUNCTION("""COMPUTED_VALUE"""),1299.0)</f>
        <v>1299</v>
      </c>
      <c r="D32" s="21">
        <f>IFERROR(__xludf.DUMMYFUNCTION("""COMPUTED_VALUE"""),2.5522266015451525)</f>
        <v>2.552226602</v>
      </c>
      <c r="E32" s="21">
        <f>IFERROR(__xludf.DUMMYFUNCTION("""COMPUTED_VALUE"""),0.8569905106547704)</f>
        <v>0.8569905107</v>
      </c>
      <c r="F32" s="21">
        <f>IFERROR(__xludf.DUMMYFUNCTION("""COMPUTED_VALUE"""),3.409196112199923)</f>
        <v>3.409196112</v>
      </c>
      <c r="G32" s="23">
        <f>IFERROR(__xludf.DUMMYFUNCTION("""COMPUTED_VALUE"""),2.166330665241481)</f>
        <v>2.166330665</v>
      </c>
      <c r="H32" s="4"/>
      <c r="I32" s="5" t="s">
        <v>3254</v>
      </c>
      <c r="J32" s="5" t="s">
        <v>3212</v>
      </c>
      <c r="K32" s="24">
        <v>580.0</v>
      </c>
      <c r="L32" s="5">
        <v>3.750552</v>
      </c>
      <c r="M32" s="5">
        <v>0.237034</v>
      </c>
      <c r="N32" s="5">
        <v>3.987586</v>
      </c>
      <c r="O32" s="5">
        <v>1.054445</v>
      </c>
    </row>
    <row r="33">
      <c r="A33" s="12" t="str">
        <f>IFERROR(__xludf.DUMMYFUNCTION("""COMPUTED_VALUE"""),"Kenny Hasbrouck")</f>
        <v>Kenny Hasbrouck</v>
      </c>
      <c r="B33" s="13" t="str">
        <f>IFERROR(__xludf.DUMMYFUNCTION("""COMPUTED_VALUE"""),"JES")</f>
        <v>JES</v>
      </c>
      <c r="C33" s="14">
        <f>IFERROR(__xludf.DUMMYFUNCTION("""COMPUTED_VALUE"""),1121.0)</f>
        <v>1121</v>
      </c>
      <c r="D33" s="15">
        <f>IFERROR(__xludf.DUMMYFUNCTION("""COMPUTED_VALUE"""),1.562944977660927)</f>
        <v>1.562944978</v>
      </c>
      <c r="E33" s="15">
        <f>IFERROR(__xludf.DUMMYFUNCTION("""COMPUTED_VALUE"""),1.8341403710961044)</f>
        <v>1.834140371</v>
      </c>
      <c r="F33" s="15">
        <f>IFERROR(__xludf.DUMMYFUNCTION("""COMPUTED_VALUE"""),3.3970590487570314)</f>
        <v>3.397059049</v>
      </c>
      <c r="G33" s="17">
        <f>IFERROR(__xludf.DUMMYFUNCTION("""COMPUTED_VALUE"""),1.93394022114017)</f>
        <v>1.933940221</v>
      </c>
      <c r="H33" s="4"/>
      <c r="I33" s="5" t="s">
        <v>900</v>
      </c>
      <c r="J33" s="5" t="s">
        <v>3256</v>
      </c>
      <c r="K33" s="24">
        <v>516.0</v>
      </c>
      <c r="L33" s="5">
        <v>3.742439</v>
      </c>
      <c r="M33" s="5">
        <v>0.238245</v>
      </c>
      <c r="N33" s="5">
        <v>3.980684</v>
      </c>
      <c r="O33" s="5">
        <v>0.936448</v>
      </c>
    </row>
    <row r="34">
      <c r="A34" s="18" t="str">
        <f>IFERROR(__xludf.DUMMYFUNCTION("""COMPUTED_VALUE"""),"Kyndall Dykes")</f>
        <v>Kyndall Dykes</v>
      </c>
      <c r="B34" s="19" t="str">
        <f>IFERROR(__xludf.DUMMYFUNCTION("""COMPUTED_VALUE"""),"AMIC")</f>
        <v>AMIC</v>
      </c>
      <c r="C34" s="20">
        <f>IFERROR(__xludf.DUMMYFUNCTION("""COMPUTED_VALUE"""),1289.0)</f>
        <v>1289</v>
      </c>
      <c r="D34" s="21">
        <f>IFERROR(__xludf.DUMMYFUNCTION("""COMPUTED_VALUE"""),0.7349536272892582)</f>
        <v>0.7349536273</v>
      </c>
      <c r="E34" s="21">
        <f>IFERROR(__xludf.DUMMYFUNCTION("""COMPUTED_VALUE"""),2.6117056461723087)</f>
        <v>2.611705646</v>
      </c>
      <c r="F34" s="21">
        <f>IFERROR(__xludf.DUMMYFUNCTION("""COMPUTED_VALUE"""),3.346627873461567)</f>
        <v>3.346627873</v>
      </c>
      <c r="G34" s="23">
        <f>IFERROR(__xludf.DUMMYFUNCTION("""COMPUTED_VALUE"""),2.085018932807496)</f>
        <v>2.085018933</v>
      </c>
      <c r="H34" s="4"/>
      <c r="I34" s="5" t="s">
        <v>3258</v>
      </c>
      <c r="J34" s="5" t="s">
        <v>3233</v>
      </c>
      <c r="K34" s="24">
        <v>759.0</v>
      </c>
      <c r="L34" s="5">
        <v>4.817133</v>
      </c>
      <c r="M34" s="5">
        <v>-0.983738</v>
      </c>
      <c r="N34" s="5">
        <v>3.833395</v>
      </c>
      <c r="O34" s="5">
        <v>1.307637</v>
      </c>
    </row>
    <row r="35">
      <c r="A35" s="12" t="str">
        <f>IFERROR(__xludf.DUMMYFUNCTION("""COMPUTED_VALUE"""),"Alessandro Zanelli")</f>
        <v>Alessandro Zanelli</v>
      </c>
      <c r="B35" s="13" t="str">
        <f>IFERROR(__xludf.DUMMYFUNCTION("""COMPUTED_VALUE"""),"LEGN")</f>
        <v>LEGN</v>
      </c>
      <c r="C35" s="14">
        <f>IFERROR(__xludf.DUMMYFUNCTION("""COMPUTED_VALUE"""),1010.0)</f>
        <v>1010</v>
      </c>
      <c r="D35" s="15">
        <f>IFERROR(__xludf.DUMMYFUNCTION("""COMPUTED_VALUE"""),4.223967576305037)</f>
        <v>4.223967576</v>
      </c>
      <c r="E35" s="15">
        <f>IFERROR(__xludf.DUMMYFUNCTION("""COMPUTED_VALUE"""),-0.9420208180763366)</f>
        <v>-0.9420208181</v>
      </c>
      <c r="F35" s="15">
        <f>IFERROR(__xludf.DUMMYFUNCTION("""COMPUTED_VALUE"""),3.2819461582287)</f>
        <v>3.281946158</v>
      </c>
      <c r="G35" s="17">
        <f>IFERROR(__xludf.DUMMYFUNCTION("""COMPUTED_VALUE"""),1.620315974631961)</f>
        <v>1.620315975</v>
      </c>
      <c r="H35" s="4"/>
      <c r="I35" s="5" t="s">
        <v>3261</v>
      </c>
      <c r="J35" s="5" t="s">
        <v>2838</v>
      </c>
      <c r="K35" s="24">
        <v>625.0</v>
      </c>
      <c r="L35" s="5">
        <v>0.961712</v>
      </c>
      <c r="M35" s="5">
        <v>2.847781</v>
      </c>
      <c r="N35" s="5">
        <v>3.809493</v>
      </c>
      <c r="O35" s="5">
        <v>1.08724</v>
      </c>
    </row>
    <row r="36">
      <c r="A36" s="18" t="str">
        <f>IFERROR(__xludf.DUMMYFUNCTION("""COMPUTED_VALUE"""),"Brandon Jefferson")</f>
        <v>Brandon Jefferson</v>
      </c>
      <c r="B36" s="19" t="str">
        <f>IFERROR(__xludf.DUMMYFUNCTION("""COMPUTED_VALUE"""),"TRA")</f>
        <v>TRA</v>
      </c>
      <c r="C36" s="20">
        <f>IFERROR(__xludf.DUMMYFUNCTION("""COMPUTED_VALUE"""),1171.0)</f>
        <v>1171</v>
      </c>
      <c r="D36" s="21">
        <f>IFERROR(__xludf.DUMMYFUNCTION("""COMPUTED_VALUE"""),5.984283437604921)</f>
        <v>5.984283438</v>
      </c>
      <c r="E36" s="21">
        <f>IFERROR(__xludf.DUMMYFUNCTION("""COMPUTED_VALUE"""),-2.784070905695578)</f>
        <v>-2.784070906</v>
      </c>
      <c r="F36" s="21">
        <f>IFERROR(__xludf.DUMMYFUNCTION("""COMPUTED_VALUE"""),3.200187731909343)</f>
        <v>3.200187732</v>
      </c>
      <c r="G36" s="23">
        <f>IFERROR(__xludf.DUMMYFUNCTION("""COMPUTED_VALUE"""),1.8856477048906513)</f>
        <v>1.885647705</v>
      </c>
      <c r="H36" s="4"/>
      <c r="I36" s="5" t="s">
        <v>1059</v>
      </c>
      <c r="J36" s="5" t="s">
        <v>3263</v>
      </c>
      <c r="K36" s="24">
        <v>185.0</v>
      </c>
      <c r="L36" s="5">
        <v>1.223865</v>
      </c>
      <c r="M36" s="5">
        <v>2.421583</v>
      </c>
      <c r="N36" s="5">
        <v>3.645448</v>
      </c>
      <c r="O36" s="5">
        <v>0.314242</v>
      </c>
    </row>
    <row r="37">
      <c r="A37" s="12" t="str">
        <f>IFERROR(__xludf.DUMMYFUNCTION("""COMPUTED_VALUE"""),"Phil Greene IV")</f>
        <v>Phil Greene IV</v>
      </c>
      <c r="B37" s="13" t="str">
        <f>IFERROR(__xludf.DUMMYFUNCTION("""COMPUTED_VALUE"""),"STV")</f>
        <v>STV</v>
      </c>
      <c r="C37" s="14">
        <f>IFERROR(__xludf.DUMMYFUNCTION("""COMPUTED_VALUE"""),1270.0)</f>
        <v>1270</v>
      </c>
      <c r="D37" s="15">
        <f>IFERROR(__xludf.DUMMYFUNCTION("""COMPUTED_VALUE"""),4.493807566738422)</f>
        <v>4.493807567</v>
      </c>
      <c r="E37" s="15">
        <f>IFERROR(__xludf.DUMMYFUNCTION("""COMPUTED_VALUE"""),-1.3175949300756833)</f>
        <v>-1.31759493</v>
      </c>
      <c r="F37" s="15">
        <f>IFERROR(__xludf.DUMMYFUNCTION("""COMPUTED_VALUE"""),3.1761854366627387)</f>
        <v>3.176185437</v>
      </c>
      <c r="G37" s="17">
        <f>IFERROR(__xludf.DUMMYFUNCTION("""COMPUTED_VALUE"""),2.1786586741522718)</f>
        <v>2.178658674</v>
      </c>
      <c r="H37" s="4"/>
      <c r="I37" s="5" t="s">
        <v>3264</v>
      </c>
      <c r="J37" s="5" t="s">
        <v>3251</v>
      </c>
      <c r="K37" s="24">
        <v>667.0</v>
      </c>
      <c r="L37" s="5">
        <v>3.584636</v>
      </c>
      <c r="M37" s="5">
        <v>-0.098471</v>
      </c>
      <c r="N37" s="5">
        <v>3.486165</v>
      </c>
      <c r="O37" s="5">
        <v>1.111848</v>
      </c>
    </row>
    <row r="38">
      <c r="A38" s="18" t="str">
        <f>IFERROR(__xludf.DUMMYFUNCTION("""COMPUTED_VALUE"""),"Rayvonte Rice")</f>
        <v>Rayvonte Rice</v>
      </c>
      <c r="B38" s="19" t="str">
        <f>IFERROR(__xludf.DUMMYFUNCTION("""COMPUTED_VALUE"""),"RAV")</f>
        <v>RAV</v>
      </c>
      <c r="C38" s="20">
        <f>IFERROR(__xludf.DUMMYFUNCTION("""COMPUTED_VALUE"""),1036.0)</f>
        <v>1036</v>
      </c>
      <c r="D38" s="21">
        <f>IFERROR(__xludf.DUMMYFUNCTION("""COMPUTED_VALUE"""),2.4627898301244504)</f>
        <v>2.46278983</v>
      </c>
      <c r="E38" s="21">
        <f>IFERROR(__xludf.DUMMYFUNCTION("""COMPUTED_VALUE"""),0.6466028999457473)</f>
        <v>0.6466028999</v>
      </c>
      <c r="F38" s="21">
        <f>IFERROR(__xludf.DUMMYFUNCTION("""COMPUTED_VALUE"""),3.1093811300701977)</f>
        <v>3.10938113</v>
      </c>
      <c r="G38" s="23">
        <f>IFERROR(__xludf.DUMMYFUNCTION("""COMPUTED_VALUE"""),1.6004909945029402)</f>
        <v>1.600490995</v>
      </c>
      <c r="H38" s="4"/>
      <c r="I38" s="5" t="s">
        <v>3266</v>
      </c>
      <c r="J38" s="5" t="s">
        <v>2838</v>
      </c>
      <c r="K38" s="5">
        <v>384.0</v>
      </c>
      <c r="L38" s="5">
        <v>3.735435</v>
      </c>
      <c r="M38" s="5">
        <v>-0.358083</v>
      </c>
      <c r="N38" s="5">
        <v>3.377352</v>
      </c>
      <c r="O38" s="5">
        <v>0.618769</v>
      </c>
    </row>
    <row r="39">
      <c r="A39" s="12" t="str">
        <f>IFERROR(__xludf.DUMMYFUNCTION("""COMPUTED_VALUE"""),"Luca Campogrande")</f>
        <v>Luca Campogrande</v>
      </c>
      <c r="B39" s="13" t="str">
        <f>IFERROR(__xludf.DUMMYFUNCTION("""COMPUTED_VALUE"""),"POD")</f>
        <v>POD</v>
      </c>
      <c r="C39" s="14">
        <f>IFERROR(__xludf.DUMMYFUNCTION("""COMPUTED_VALUE"""),961.0)</f>
        <v>961</v>
      </c>
      <c r="D39" s="15">
        <f>IFERROR(__xludf.DUMMYFUNCTION("""COMPUTED_VALUE"""),2.3668531406626143)</f>
        <v>2.366853141</v>
      </c>
      <c r="E39" s="15">
        <f>IFERROR(__xludf.DUMMYFUNCTION("""COMPUTED_VALUE"""),0.5966342438834258)</f>
        <v>0.5966342439</v>
      </c>
      <c r="F39" s="15">
        <f>IFERROR(__xludf.DUMMYFUNCTION("""COMPUTED_VALUE"""),2.96344858454604)</f>
        <v>2.963448585</v>
      </c>
      <c r="G39" s="17">
        <f>IFERROR(__xludf.DUMMYFUNCTION("""COMPUTED_VALUE"""),1.4629305645433675)</f>
        <v>1.462930565</v>
      </c>
      <c r="H39" s="4"/>
      <c r="I39" s="5" t="s">
        <v>3268</v>
      </c>
      <c r="J39" s="5" t="s">
        <v>3223</v>
      </c>
      <c r="K39" s="24">
        <v>551.0</v>
      </c>
      <c r="L39" s="5">
        <v>2.461333</v>
      </c>
      <c r="M39" s="5">
        <v>0.890418</v>
      </c>
      <c r="N39" s="5">
        <v>3.351751</v>
      </c>
      <c r="O39" s="5">
        <v>0.896847</v>
      </c>
    </row>
    <row r="40">
      <c r="A40" s="18" t="str">
        <f>IFERROR(__xludf.DUMMYFUNCTION("""COMPUTED_VALUE"""),"Bryce Douvier")</f>
        <v>Bryce Douvier</v>
      </c>
      <c r="B40" s="19" t="str">
        <f>IFERROR(__xludf.DUMMYFUNCTION("""COMPUTED_VALUE"""),"TREV")</f>
        <v>TREV</v>
      </c>
      <c r="C40" s="20">
        <f>IFERROR(__xludf.DUMMYFUNCTION("""COMPUTED_VALUE"""),445.0)</f>
        <v>445</v>
      </c>
      <c r="D40" s="21">
        <f>IFERROR(__xludf.DUMMYFUNCTION("""COMPUTED_VALUE"""),2.693497184045868)</f>
        <v>2.693497184</v>
      </c>
      <c r="E40" s="21">
        <f>IFERROR(__xludf.DUMMYFUNCTION("""COMPUTED_VALUE"""),0.26211327381520716)</f>
        <v>0.2621132738</v>
      </c>
      <c r="F40" s="21">
        <f>IFERROR(__xludf.DUMMYFUNCTION("""COMPUTED_VALUE"""),2.9555787578610753)</f>
        <v>2.955578758</v>
      </c>
      <c r="G40" s="23">
        <f>IFERROR(__xludf.DUMMYFUNCTION("""COMPUTED_VALUE"""),1.3461508559316357)</f>
        <v>1.346150856</v>
      </c>
      <c r="H40" s="4"/>
      <c r="I40" s="5" t="s">
        <v>1046</v>
      </c>
      <c r="J40" s="5" t="s">
        <v>3217</v>
      </c>
      <c r="K40" s="24">
        <v>633.0</v>
      </c>
      <c r="L40" s="5">
        <v>-0.064647</v>
      </c>
      <c r="M40" s="5">
        <v>3.374524</v>
      </c>
      <c r="N40" s="5">
        <v>3.309876</v>
      </c>
      <c r="O40" s="5">
        <v>1.011111</v>
      </c>
    </row>
    <row r="41">
      <c r="A41" s="12" t="str">
        <f>IFERROR(__xludf.DUMMYFUNCTION("""COMPUTED_VALUE"""),"Amedeo Tessitori")</f>
        <v>Amedeo Tessitori</v>
      </c>
      <c r="B41" s="13" t="str">
        <f>IFERROR(__xludf.DUMMYFUNCTION("""COMPUTED_VALUE"""),"BEI")</f>
        <v>BEI</v>
      </c>
      <c r="C41" s="14">
        <f>IFERROR(__xludf.DUMMYFUNCTION("""COMPUTED_VALUE"""),858.0)</f>
        <v>858</v>
      </c>
      <c r="D41" s="15">
        <f>IFERROR(__xludf.DUMMYFUNCTION("""COMPUTED_VALUE"""),2.6608565939508777)</f>
        <v>2.660856594</v>
      </c>
      <c r="E41" s="15">
        <f>IFERROR(__xludf.DUMMYFUNCTION("""COMPUTED_VALUE"""),0.28252178025298796)</f>
        <v>0.2825217803</v>
      </c>
      <c r="F41" s="15">
        <f>IFERROR(__xludf.DUMMYFUNCTION("""COMPUTED_VALUE"""),2.9433729742038657)</f>
        <v>2.943372974</v>
      </c>
      <c r="G41" s="17">
        <f>IFERROR(__xludf.DUMMYFUNCTION("""COMPUTED_VALUE"""),1.2883827465869309)</f>
        <v>1.288382747</v>
      </c>
      <c r="H41" s="4"/>
      <c r="I41" s="5" t="s">
        <v>1153</v>
      </c>
      <c r="J41" s="5" t="s">
        <v>3215</v>
      </c>
      <c r="K41" s="24">
        <v>209.0</v>
      </c>
      <c r="L41" s="5">
        <v>3.973163</v>
      </c>
      <c r="M41" s="5">
        <v>-0.769295</v>
      </c>
      <c r="N41" s="5">
        <v>3.203868</v>
      </c>
      <c r="O41" s="5">
        <v>0.329617</v>
      </c>
    </row>
    <row r="42">
      <c r="A42" s="18" t="str">
        <f>IFERROR(__xludf.DUMMYFUNCTION("""COMPUTED_VALUE"""),"Andrea Pecchia")</f>
        <v>Andrea Pecchia</v>
      </c>
      <c r="B42" s="19" t="str">
        <f>IFERROR(__xludf.DUMMYFUNCTION("""COMPUTED_VALUE"""),"TREV")</f>
        <v>TREV</v>
      </c>
      <c r="C42" s="20">
        <f>IFERROR(__xludf.DUMMYFUNCTION("""COMPUTED_VALUE"""),936.0)</f>
        <v>936</v>
      </c>
      <c r="D42" s="21">
        <f>IFERROR(__xludf.DUMMYFUNCTION("""COMPUTED_VALUE"""),1.2889221409843101)</f>
        <v>1.288922141</v>
      </c>
      <c r="E42" s="21">
        <f>IFERROR(__xludf.DUMMYFUNCTION("""COMPUTED_VALUE"""),1.639966705524639)</f>
        <v>1.639966706</v>
      </c>
      <c r="F42" s="21">
        <f>IFERROR(__xludf.DUMMYFUNCTION("""COMPUTED_VALUE"""),2.928873246508949)</f>
        <v>2.928873247</v>
      </c>
      <c r="G42" s="23">
        <f>IFERROR(__xludf.DUMMYFUNCTION("""COMPUTED_VALUE"""),2.8161450180062393)</f>
        <v>2.816145018</v>
      </c>
      <c r="H42" s="4"/>
      <c r="I42" s="5" t="s">
        <v>3271</v>
      </c>
      <c r="J42" s="5" t="s">
        <v>3203</v>
      </c>
      <c r="K42" s="24">
        <v>169.0</v>
      </c>
      <c r="L42" s="5">
        <v>-0.022316</v>
      </c>
      <c r="M42" s="5">
        <v>3.219429</v>
      </c>
      <c r="N42" s="5">
        <v>3.197113</v>
      </c>
      <c r="O42" s="5">
        <v>0.266026</v>
      </c>
    </row>
    <row r="43">
      <c r="A43" s="12" t="str">
        <f>IFERROR(__xludf.DUMMYFUNCTION("""COMPUTED_VALUE"""),"Chris Roberts")</f>
        <v>Chris Roberts</v>
      </c>
      <c r="B43" s="13" t="str">
        <f>IFERROR(__xludf.DUMMYFUNCTION("""COMPUTED_VALUE"""),"VRC")</f>
        <v>VRC</v>
      </c>
      <c r="C43" s="14">
        <f>IFERROR(__xludf.DUMMYFUNCTION("""COMPUTED_VALUE"""),807.0)</f>
        <v>807</v>
      </c>
      <c r="D43" s="15">
        <f>IFERROR(__xludf.DUMMYFUNCTION("""COMPUTED_VALUE"""),2.7807470164131223)</f>
        <v>2.780747016</v>
      </c>
      <c r="E43" s="15">
        <f>IFERROR(__xludf.DUMMYFUNCTION("""COMPUTED_VALUE"""),0.11947538002620191)</f>
        <v>0.11947538</v>
      </c>
      <c r="F43" s="15">
        <f>IFERROR(__xludf.DUMMYFUNCTION("""COMPUTED_VALUE"""),2.900211096439324)</f>
        <v>2.900211096</v>
      </c>
      <c r="G43" s="17">
        <f>IFERROR(__xludf.DUMMYFUNCTION("""COMPUTED_VALUE"""),1.2220380310480248)</f>
        <v>1.222038031</v>
      </c>
      <c r="H43" s="4"/>
      <c r="I43" s="5" t="s">
        <v>3272</v>
      </c>
      <c r="J43" s="5" t="s">
        <v>3205</v>
      </c>
      <c r="K43" s="24">
        <v>651.0</v>
      </c>
      <c r="L43" s="5">
        <v>5.35383</v>
      </c>
      <c r="M43" s="5">
        <v>-2.184378</v>
      </c>
      <c r="N43" s="5">
        <v>3.169452</v>
      </c>
      <c r="O43" s="5">
        <v>1.020423</v>
      </c>
    </row>
    <row r="44">
      <c r="A44" s="18" t="str">
        <f>IFERROR(__xludf.DUMMYFUNCTION("""COMPUTED_VALUE"""),"Albano Chiarastella")</f>
        <v>Albano Chiarastella</v>
      </c>
      <c r="B44" s="19" t="str">
        <f>IFERROR(__xludf.DUMMYFUNCTION("""COMPUTED_VALUE"""),"BEI")</f>
        <v>BEI</v>
      </c>
      <c r="C44" s="20">
        <f>IFERROR(__xludf.DUMMYFUNCTION("""COMPUTED_VALUE"""),956.0)</f>
        <v>956</v>
      </c>
      <c r="D44" s="21">
        <f>IFERROR(__xludf.DUMMYFUNCTION("""COMPUTED_VALUE"""),1.0913557614435623)</f>
        <v>1.091355761</v>
      </c>
      <c r="E44" s="21">
        <f>IFERROR(__xludf.DUMMYFUNCTION("""COMPUTED_VALUE"""),1.7393727933958252)</f>
        <v>1.739372793</v>
      </c>
      <c r="F44" s="21">
        <f>IFERROR(__xludf.DUMMYFUNCTION("""COMPUTED_VALUE"""),2.8306924548393875)</f>
        <v>2.830692455</v>
      </c>
      <c r="G44" s="23">
        <f>IFERROR(__xludf.DUMMYFUNCTION("""COMPUTED_VALUE"""),1.4028488182354992)</f>
        <v>1.402848818</v>
      </c>
      <c r="H44" s="4"/>
      <c r="I44" s="5" t="s">
        <v>3273</v>
      </c>
      <c r="J44" s="5" t="s">
        <v>3263</v>
      </c>
      <c r="K44" s="24">
        <v>655.0</v>
      </c>
      <c r="L44" s="5">
        <v>2.297783</v>
      </c>
      <c r="M44" s="5">
        <v>0.857242</v>
      </c>
      <c r="N44" s="5">
        <v>3.155025</v>
      </c>
      <c r="O44" s="5">
        <v>1.014685</v>
      </c>
    </row>
    <row r="45">
      <c r="A45" s="12" t="str">
        <f>IFERROR(__xludf.DUMMYFUNCTION("""COMPUTED_VALUE"""),"Agustin Fabi")</f>
        <v>Agustin Fabi</v>
      </c>
      <c r="B45" s="13" t="str">
        <f>IFERROR(__xludf.DUMMYFUNCTION("""COMPUTED_VALUE"""),"VRC")</f>
        <v>VRC</v>
      </c>
      <c r="C45" s="14">
        <f>IFERROR(__xludf.DUMMYFUNCTION("""COMPUTED_VALUE"""),865.0)</f>
        <v>865</v>
      </c>
      <c r="D45" s="15">
        <f>IFERROR(__xludf.DUMMYFUNCTION("""COMPUTED_VALUE"""),2.8155503859318944)</f>
        <v>2.815550386</v>
      </c>
      <c r="E45" s="15">
        <f>IFERROR(__xludf.DUMMYFUNCTION("""COMPUTED_VALUE"""),-0.014655609592614248)</f>
        <v>-0.01465560959</v>
      </c>
      <c r="F45" s="15">
        <f>IFERROR(__xludf.DUMMYFUNCTION("""COMPUTED_VALUE"""),2.80086397633928)</f>
        <v>2.800863976</v>
      </c>
      <c r="G45" s="17">
        <f>IFERROR(__xludf.DUMMYFUNCTION("""COMPUTED_VALUE"""),1.2833299022437656)</f>
        <v>1.283329902</v>
      </c>
      <c r="H45" s="4"/>
      <c r="I45" s="5" t="s">
        <v>3274</v>
      </c>
      <c r="J45" s="5" t="s">
        <v>3207</v>
      </c>
      <c r="K45" s="24">
        <v>715.0</v>
      </c>
      <c r="L45" s="5">
        <v>6.187436</v>
      </c>
      <c r="M45" s="5">
        <v>-3.077226</v>
      </c>
      <c r="N45" s="5">
        <v>3.11021</v>
      </c>
      <c r="O45" s="5">
        <v>1.089659</v>
      </c>
    </row>
    <row r="46">
      <c r="A46" s="18" t="str">
        <f>IFERROR(__xludf.DUMMYFUNCTION("""COMPUTED_VALUE"""),"Jazzmar Ferguson")</f>
        <v>Jazzmar Ferguson</v>
      </c>
      <c r="B46" s="19" t="str">
        <f>IFERROR(__xludf.DUMMYFUNCTION("""COMPUTED_VALUE"""),"BEI")</f>
        <v>BEI</v>
      </c>
      <c r="C46" s="20">
        <f>IFERROR(__xludf.DUMMYFUNCTION("""COMPUTED_VALUE"""),1179.0)</f>
        <v>1179</v>
      </c>
      <c r="D46" s="21">
        <f>IFERROR(__xludf.DUMMYFUNCTION("""COMPUTED_VALUE"""),5.314282939371419)</f>
        <v>5.314282939</v>
      </c>
      <c r="E46" s="21">
        <f>IFERROR(__xludf.DUMMYFUNCTION("""COMPUTED_VALUE"""),-2.5633660477939757)</f>
        <v>-2.563366048</v>
      </c>
      <c r="F46" s="21">
        <f>IFERROR(__xludf.DUMMYFUNCTION("""COMPUTED_VALUE"""),2.7508866915774437)</f>
        <v>2.750886692</v>
      </c>
      <c r="G46" s="23">
        <f>IFERROR(__xludf.DUMMYFUNCTION("""COMPUTED_VALUE"""),1.7014868596852801)</f>
        <v>1.70148686</v>
      </c>
      <c r="H46" s="4"/>
      <c r="I46" s="5" t="s">
        <v>3275</v>
      </c>
      <c r="J46" s="5" t="s">
        <v>3215</v>
      </c>
      <c r="K46" s="24">
        <v>272.0</v>
      </c>
      <c r="L46" s="5">
        <v>2.065216</v>
      </c>
      <c r="M46" s="5">
        <v>0.964367</v>
      </c>
      <c r="N46" s="5">
        <v>3.029583</v>
      </c>
      <c r="O46" s="5">
        <v>0.415097</v>
      </c>
    </row>
    <row r="47">
      <c r="A47" s="12" t="str">
        <f>IFERROR(__xludf.DUMMYFUNCTION("""COMPUTED_VALUE"""),"Bernardo Musso")</f>
        <v>Bernardo Musso</v>
      </c>
      <c r="B47" s="13" t="str">
        <f>IFERROR(__xludf.DUMMYFUNCTION("""COMPUTED_VALUE"""),"TREV")</f>
        <v>TREV</v>
      </c>
      <c r="C47" s="14">
        <f>IFERROR(__xludf.DUMMYFUNCTION("""COMPUTED_VALUE"""),1068.0)</f>
        <v>1068</v>
      </c>
      <c r="D47" s="15">
        <f>IFERROR(__xludf.DUMMYFUNCTION("""COMPUTED_VALUE"""),3.0670606257289244)</f>
        <v>3.067060626</v>
      </c>
      <c r="E47" s="15">
        <f>IFERROR(__xludf.DUMMYFUNCTION("""COMPUTED_VALUE"""),-0.3847020568014134)</f>
        <v>-0.3847020568</v>
      </c>
      <c r="F47" s="15">
        <f>IFERROR(__xludf.DUMMYFUNCTION("""COMPUTED_VALUE"""),2.682340768927511)</f>
        <v>2.682340769</v>
      </c>
      <c r="G47" s="17">
        <f>IFERROR(__xludf.DUMMYFUNCTION("""COMPUTED_VALUE"""),3.0525719794226984)</f>
        <v>3.052571979</v>
      </c>
      <c r="H47" s="4"/>
      <c r="I47" s="5" t="s">
        <v>909</v>
      </c>
      <c r="J47" s="5" t="s">
        <v>3263</v>
      </c>
      <c r="K47" s="24">
        <v>526.0</v>
      </c>
      <c r="L47" s="5">
        <v>3.516881</v>
      </c>
      <c r="M47" s="5">
        <v>-0.684136</v>
      </c>
      <c r="N47" s="5">
        <v>2.832746</v>
      </c>
      <c r="O47" s="5">
        <v>0.763585</v>
      </c>
    </row>
    <row r="48">
      <c r="A48" s="18" t="str">
        <f>IFERROR(__xludf.DUMMYFUNCTION("""COMPUTED_VALUE"""),"Timmy Bowers")</f>
        <v>Timmy Bowers</v>
      </c>
      <c r="B48" s="19" t="str">
        <f>IFERROR(__xludf.DUMMYFUNCTION("""COMPUTED_VALUE"""),"BEI")</f>
        <v>BEI</v>
      </c>
      <c r="C48" s="20">
        <f>IFERROR(__xludf.DUMMYFUNCTION("""COMPUTED_VALUE"""),1103.0)</f>
        <v>1103</v>
      </c>
      <c r="D48" s="21">
        <f>IFERROR(__xludf.DUMMYFUNCTION("""COMPUTED_VALUE"""),1.5229665249928095)</f>
        <v>1.522966525</v>
      </c>
      <c r="E48" s="21">
        <f>IFERROR(__xludf.DUMMYFUNCTION("""COMPUTED_VALUE"""),1.1144110805648988)</f>
        <v>1.114411081</v>
      </c>
      <c r="F48" s="21">
        <f>IFERROR(__xludf.DUMMYFUNCTION("""COMPUTED_VALUE"""),2.6373377055577083)</f>
        <v>2.637337706</v>
      </c>
      <c r="G48" s="23">
        <f>IFERROR(__xludf.DUMMYFUNCTION("""COMPUTED_VALUE"""),1.5537738286502742)</f>
        <v>1.553773829</v>
      </c>
      <c r="H48" s="4"/>
      <c r="I48" s="5" t="s">
        <v>3276</v>
      </c>
      <c r="J48" s="5" t="s">
        <v>3229</v>
      </c>
      <c r="K48" s="24">
        <v>608.0</v>
      </c>
      <c r="L48" s="5">
        <v>2.688464</v>
      </c>
      <c r="M48" s="5">
        <v>0.142456</v>
      </c>
      <c r="N48" s="5">
        <v>2.83092</v>
      </c>
      <c r="O48" s="5">
        <v>0.927956</v>
      </c>
    </row>
    <row r="49">
      <c r="A49" s="12" t="str">
        <f>IFERROR(__xludf.DUMMYFUNCTION("""COMPUTED_VALUE"""),"Luca Garri")</f>
        <v>Luca Garri</v>
      </c>
      <c r="B49" s="13" t="str">
        <f>IFERROR(__xludf.DUMMYFUNCTION("""COMPUTED_VALUE"""),"TORT")</f>
        <v>TORT</v>
      </c>
      <c r="C49" s="14">
        <f>IFERROR(__xludf.DUMMYFUNCTION("""COMPUTED_VALUE"""),900.0)</f>
        <v>900</v>
      </c>
      <c r="D49" s="15">
        <f>IFERROR(__xludf.DUMMYFUNCTION("""COMPUTED_VALUE"""),1.7120734872905652)</f>
        <v>1.712073487</v>
      </c>
      <c r="E49" s="15">
        <f>IFERROR(__xludf.DUMMYFUNCTION("""COMPUTED_VALUE"""),0.8824805582621164)</f>
        <v>0.8824805583</v>
      </c>
      <c r="F49" s="15">
        <f>IFERROR(__xludf.DUMMYFUNCTION("""COMPUTED_VALUE"""),2.5945256455526815)</f>
        <v>2.594525646</v>
      </c>
      <c r="G49" s="17">
        <f>IFERROR(__xludf.DUMMYFUNCTION("""COMPUTED_VALUE"""),1.427074177408551)</f>
        <v>1.427074177</v>
      </c>
      <c r="H49" s="4"/>
      <c r="I49" s="5" t="s">
        <v>3277</v>
      </c>
      <c r="J49" s="5" t="s">
        <v>3278</v>
      </c>
      <c r="K49" s="24">
        <v>815.0</v>
      </c>
      <c r="L49" s="5">
        <v>3.277836</v>
      </c>
      <c r="M49" s="5">
        <v>-0.477433</v>
      </c>
      <c r="N49" s="5">
        <v>2.800403</v>
      </c>
      <c r="O49" s="5">
        <v>1.181775</v>
      </c>
    </row>
    <row r="50">
      <c r="A50" s="18" t="str">
        <f>IFERROR(__xludf.DUMMYFUNCTION("""COMPUTED_VALUE"""),"Juan Fernandez")</f>
        <v>Juan Fernandez</v>
      </c>
      <c r="B50" s="19" t="str">
        <f>IFERROR(__xludf.DUMMYFUNCTION("""COMPUTED_VALUE"""),"TRIE")</f>
        <v>TRIE</v>
      </c>
      <c r="C50" s="20">
        <f>IFERROR(__xludf.DUMMYFUNCTION("""COMPUTED_VALUE"""),696.0)</f>
        <v>696</v>
      </c>
      <c r="D50" s="21">
        <f>IFERROR(__xludf.DUMMYFUNCTION("""COMPUTED_VALUE"""),1.8205174850159835)</f>
        <v>1.820517485</v>
      </c>
      <c r="E50" s="21">
        <f>IFERROR(__xludf.DUMMYFUNCTION("""COMPUTED_VALUE"""),0.7718765583959786)</f>
        <v>0.7718765584</v>
      </c>
      <c r="F50" s="21">
        <f>IFERROR(__xludf.DUMMYFUNCTION("""COMPUTED_VALUE"""),2.592363943411962)</f>
        <v>2.592363943</v>
      </c>
      <c r="G50" s="23">
        <f>IFERROR(__xludf.DUMMYFUNCTION("""COMPUTED_VALUE"""),0.9857082146835433)</f>
        <v>0.9857082147</v>
      </c>
      <c r="H50" s="4"/>
      <c r="I50" s="5" t="s">
        <v>3279</v>
      </c>
      <c r="J50" s="5" t="s">
        <v>3217</v>
      </c>
      <c r="K50" s="24">
        <v>837.0</v>
      </c>
      <c r="L50" s="5">
        <v>1.514834</v>
      </c>
      <c r="M50" s="5">
        <v>0.978611</v>
      </c>
      <c r="N50" s="5">
        <v>2.493444</v>
      </c>
      <c r="O50" s="5">
        <v>1.132476</v>
      </c>
    </row>
    <row r="51">
      <c r="A51" s="12" t="str">
        <f>IFERROR(__xludf.DUMMYFUNCTION("""COMPUTED_VALUE"""),"Pendarvis Williams")</f>
        <v>Pendarvis Williams</v>
      </c>
      <c r="B51" s="13" t="str">
        <f>IFERROR(__xludf.DUMMYFUNCTION("""COMPUTED_VALUE"""),"MON")</f>
        <v>MON</v>
      </c>
      <c r="C51" s="14">
        <f>IFERROR(__xludf.DUMMYFUNCTION("""COMPUTED_VALUE"""),1148.0)</f>
        <v>1148</v>
      </c>
      <c r="D51" s="15">
        <f>IFERROR(__xludf.DUMMYFUNCTION("""COMPUTED_VALUE"""),0.9182256776910731)</f>
        <v>0.9182256777</v>
      </c>
      <c r="E51" s="15">
        <f>IFERROR(__xludf.DUMMYFUNCTION("""COMPUTED_VALUE"""),1.6302035964904085)</f>
        <v>1.630203596</v>
      </c>
      <c r="F51" s="15">
        <f>IFERROR(__xludf.DUMMYFUNCTION("""COMPUTED_VALUE"""),2.5484278741814816)</f>
        <v>2.548427874</v>
      </c>
      <c r="G51" s="17">
        <f>IFERROR(__xludf.DUMMYFUNCTION("""COMPUTED_VALUE"""),1.5859437983938447)</f>
        <v>1.585943798</v>
      </c>
      <c r="H51" s="4"/>
      <c r="I51" s="5" t="s">
        <v>3280</v>
      </c>
      <c r="J51" s="5" t="s">
        <v>3281</v>
      </c>
      <c r="K51" s="5">
        <v>315.0</v>
      </c>
      <c r="L51" s="5">
        <v>-2.097568</v>
      </c>
      <c r="M51" s="5">
        <v>4.589667</v>
      </c>
      <c r="N51" s="5">
        <v>2.492099</v>
      </c>
      <c r="O51" s="5">
        <v>0.431164</v>
      </c>
    </row>
    <row r="52">
      <c r="A52" s="18" t="str">
        <f>IFERROR(__xludf.DUMMYFUNCTION("""COMPUTED_VALUE"""),"Mattia Udom")</f>
        <v>Mattia Udom</v>
      </c>
      <c r="B52" s="19" t="str">
        <f>IFERROR(__xludf.DUMMYFUNCTION("""COMPUTED_VALUE"""),"STV")</f>
        <v>STV</v>
      </c>
      <c r="C52" s="20">
        <f>IFERROR(__xludf.DUMMYFUNCTION("""COMPUTED_VALUE"""),1016.0)</f>
        <v>1016</v>
      </c>
      <c r="D52" s="21">
        <f>IFERROR(__xludf.DUMMYFUNCTION("""COMPUTED_VALUE"""),1.5825110471424855)</f>
        <v>1.582511047</v>
      </c>
      <c r="E52" s="21">
        <f>IFERROR(__xludf.DUMMYFUNCTION("""COMPUTED_VALUE"""),0.9635023629187937)</f>
        <v>0.9635023629</v>
      </c>
      <c r="F52" s="21">
        <f>IFERROR(__xludf.DUMMYFUNCTION("""COMPUTED_VALUE"""),2.546010110061279)</f>
        <v>2.54601011</v>
      </c>
      <c r="G52" s="23">
        <f>IFERROR(__xludf.DUMMYFUNCTION("""COMPUTED_VALUE"""),1.53071827592705)</f>
        <v>1.530718276</v>
      </c>
      <c r="H52" s="4"/>
      <c r="I52" s="5" t="s">
        <v>3282</v>
      </c>
      <c r="J52" s="5" t="s">
        <v>3283</v>
      </c>
      <c r="K52" s="24">
        <v>847.0</v>
      </c>
      <c r="L52" s="5">
        <v>5.325886</v>
      </c>
      <c r="M52" s="5">
        <v>-2.852219</v>
      </c>
      <c r="N52" s="5">
        <v>2.473667</v>
      </c>
      <c r="O52" s="5">
        <v>1.151349</v>
      </c>
    </row>
    <row r="53">
      <c r="A53" s="12" t="str">
        <f>IFERROR(__xludf.DUMMYFUNCTION("""COMPUTED_VALUE"""),"Joshua Jackson")</f>
        <v>Joshua Jackson</v>
      </c>
      <c r="B53" s="13" t="str">
        <f>IFERROR(__xludf.DUMMYFUNCTION("""COMPUTED_VALUE"""),"FOR")</f>
        <v>FOR</v>
      </c>
      <c r="C53" s="14">
        <f>IFERROR(__xludf.DUMMYFUNCTION("""COMPUTED_VALUE"""),1021.0)</f>
        <v>1021</v>
      </c>
      <c r="D53" s="15">
        <f>IFERROR(__xludf.DUMMYFUNCTION("""COMPUTED_VALUE"""),3.5678949114016776)</f>
        <v>3.567894911</v>
      </c>
      <c r="E53" s="15">
        <f>IFERROR(__xludf.DUMMYFUNCTION("""COMPUTED_VALUE"""),-1.0257591854589365)</f>
        <v>-1.025759185</v>
      </c>
      <c r="F53" s="15">
        <f>IFERROR(__xludf.DUMMYFUNCTION("""COMPUTED_VALUE"""),2.542110725942741)</f>
        <v>2.542110726</v>
      </c>
      <c r="G53" s="17">
        <f>IFERROR(__xludf.DUMMYFUNCTION("""COMPUTED_VALUE"""),1.402210562745678)</f>
        <v>1.402210563</v>
      </c>
      <c r="H53" s="4"/>
      <c r="I53" s="5" t="s">
        <v>3284</v>
      </c>
      <c r="J53" s="5" t="s">
        <v>3210</v>
      </c>
      <c r="K53" s="24">
        <v>395.0</v>
      </c>
      <c r="L53" s="5">
        <v>0.379536</v>
      </c>
      <c r="M53" s="5">
        <v>2.078441</v>
      </c>
      <c r="N53" s="5">
        <v>2.457977</v>
      </c>
      <c r="O53" s="5">
        <v>0.530127</v>
      </c>
    </row>
    <row r="54">
      <c r="A54" s="18" t="str">
        <f>IFERROR(__xludf.DUMMYFUNCTION("""COMPUTED_VALUE"""),"John Brown")</f>
        <v>John Brown</v>
      </c>
      <c r="B54" s="19" t="str">
        <f>IFERROR(__xludf.DUMMYFUNCTION("""COMPUTED_VALUE"""),"TREV")</f>
        <v>TREV</v>
      </c>
      <c r="C54" s="20">
        <f>IFERROR(__xludf.DUMMYFUNCTION("""COMPUTED_VALUE"""),1103.0)</f>
        <v>1103</v>
      </c>
      <c r="D54" s="21">
        <f>IFERROR(__xludf.DUMMYFUNCTION("""COMPUTED_VALUE"""),2.5814238119447497)</f>
        <v>2.581423812</v>
      </c>
      <c r="E54" s="21">
        <f>IFERROR(__xludf.DUMMYFUNCTION("""COMPUTED_VALUE"""),-0.19833170090374622)</f>
        <v>-0.1983317009</v>
      </c>
      <c r="F54" s="21">
        <f>IFERROR(__xludf.DUMMYFUNCTION("""COMPUTED_VALUE"""),2.3830525110410035)</f>
        <v>2.383052511</v>
      </c>
      <c r="G54" s="23">
        <f>IFERROR(__xludf.DUMMYFUNCTION("""COMPUTED_VALUE"""),2.9511217351624603)</f>
        <v>2.951121735</v>
      </c>
      <c r="H54" s="4"/>
      <c r="I54" s="5" t="s">
        <v>1199</v>
      </c>
      <c r="J54" s="5" t="s">
        <v>3263</v>
      </c>
      <c r="K54" s="24">
        <v>685.0</v>
      </c>
      <c r="L54" s="5">
        <v>3.338251</v>
      </c>
      <c r="M54" s="5">
        <v>-0.923543</v>
      </c>
      <c r="N54" s="5">
        <v>2.414708</v>
      </c>
      <c r="O54" s="5">
        <v>0.908904</v>
      </c>
    </row>
    <row r="55">
      <c r="A55" s="12" t="str">
        <f>IFERROR(__xludf.DUMMYFUNCTION("""COMPUTED_VALUE"""),"Andrea Renzi")</f>
        <v>Andrea Renzi</v>
      </c>
      <c r="B55" s="13" t="str">
        <f>IFERROR(__xludf.DUMMYFUNCTION("""COMPUTED_VALUE"""),"TRA")</f>
        <v>TRA</v>
      </c>
      <c r="C55" s="14">
        <f>IFERROR(__xludf.DUMMYFUNCTION("""COMPUTED_VALUE"""),973.0)</f>
        <v>973</v>
      </c>
      <c r="D55" s="15">
        <f>IFERROR(__xludf.DUMMYFUNCTION("""COMPUTED_VALUE"""),4.357129308910612)</f>
        <v>4.357129309</v>
      </c>
      <c r="E55" s="15">
        <f>IFERROR(__xludf.DUMMYFUNCTION("""COMPUTED_VALUE"""),-1.988433933823069)</f>
        <v>-1.988433934</v>
      </c>
      <c r="F55" s="15">
        <f>IFERROR(__xludf.DUMMYFUNCTION("""COMPUTED_VALUE"""),2.3686835750875432)</f>
        <v>2.368683575</v>
      </c>
      <c r="G55" s="17">
        <f>IFERROR(__xludf.DUMMYFUNCTION("""COMPUTED_VALUE"""),1.3162738425024973)</f>
        <v>1.316273843</v>
      </c>
      <c r="H55" s="4"/>
      <c r="I55" s="5" t="s">
        <v>3285</v>
      </c>
      <c r="J55" s="5" t="s">
        <v>3223</v>
      </c>
      <c r="K55" s="24">
        <v>299.0</v>
      </c>
      <c r="L55" s="5">
        <v>2.114402</v>
      </c>
      <c r="M55" s="5">
        <v>0.266771</v>
      </c>
      <c r="N55" s="5">
        <v>2.381174</v>
      </c>
      <c r="O55" s="5">
        <v>0.39799</v>
      </c>
    </row>
    <row r="56">
      <c r="A56" s="18" t="str">
        <f>IFERROR(__xludf.DUMMYFUNCTION("""COMPUTED_VALUE"""),"Teddy Okereafor")</f>
        <v>Teddy Okereafor</v>
      </c>
      <c r="B56" s="19" t="str">
        <f>IFERROR(__xludf.DUMMYFUNCTION("""COMPUTED_VALUE"""),"BOL")</f>
        <v>BOL</v>
      </c>
      <c r="C56" s="20">
        <f>IFERROR(__xludf.DUMMYFUNCTION("""COMPUTED_VALUE"""),441.0)</f>
        <v>441</v>
      </c>
      <c r="D56" s="21">
        <f>IFERROR(__xludf.DUMMYFUNCTION("""COMPUTED_VALUE"""),0.6247342743140905)</f>
        <v>0.6247342743</v>
      </c>
      <c r="E56" s="21">
        <f>IFERROR(__xludf.DUMMYFUNCTION("""COMPUTED_VALUE"""),1.7387799274894722)</f>
        <v>1.738779927</v>
      </c>
      <c r="F56" s="21">
        <f>IFERROR(__xludf.DUMMYFUNCTION("""COMPUTED_VALUE"""),2.3634974018035626)</f>
        <v>2.363497402</v>
      </c>
      <c r="G56" s="23">
        <f>IFERROR(__xludf.DUMMYFUNCTION("""COMPUTED_VALUE"""),0.5881934802568042)</f>
        <v>0.5881934803</v>
      </c>
      <c r="H56" s="4"/>
      <c r="I56" s="5" t="s">
        <v>3286</v>
      </c>
      <c r="J56" s="5" t="s">
        <v>3281</v>
      </c>
      <c r="K56" s="24">
        <v>447.0</v>
      </c>
      <c r="L56" s="5">
        <v>-0.709714</v>
      </c>
      <c r="M56" s="5">
        <v>3.043585</v>
      </c>
      <c r="N56" s="5">
        <v>2.333871</v>
      </c>
      <c r="O56" s="5">
        <v>0.590269</v>
      </c>
    </row>
    <row r="57">
      <c r="A57" s="12" t="str">
        <f>IFERROR(__xludf.DUMMYFUNCTION("""COMPUTED_VALUE"""),"Patrick Baldassarre")</f>
        <v>Patrick Baldassarre</v>
      </c>
      <c r="B57" s="13" t="str">
        <f>IFERROR(__xludf.DUMMYFUNCTION("""COMPUTED_VALUE"""),"VRC")</f>
        <v>VRC</v>
      </c>
      <c r="C57" s="14">
        <f>IFERROR(__xludf.DUMMYFUNCTION("""COMPUTED_VALUE"""),830.0)</f>
        <v>830</v>
      </c>
      <c r="D57" s="15">
        <f>IFERROR(__xludf.DUMMYFUNCTION("""COMPUTED_VALUE"""),-0.01768269073950525)</f>
        <v>-0.01768269074</v>
      </c>
      <c r="E57" s="15">
        <f>IFERROR(__xludf.DUMMYFUNCTION("""COMPUTED_VALUE"""),2.3591339061909724)</f>
        <v>2.359133906</v>
      </c>
      <c r="F57" s="15">
        <f>IFERROR(__xludf.DUMMYFUNCTION("""COMPUTED_VALUE"""),2.341408315451467)</f>
        <v>2.341408315</v>
      </c>
      <c r="G57" s="17">
        <f>IFERROR(__xludf.DUMMYFUNCTION("""COMPUTED_VALUE"""),1.1135708126526993)</f>
        <v>1.113570813</v>
      </c>
      <c r="H57" s="4"/>
      <c r="I57" s="5" t="s">
        <v>3287</v>
      </c>
      <c r="J57" s="5" t="s">
        <v>3281</v>
      </c>
      <c r="K57" s="24">
        <v>613.0</v>
      </c>
      <c r="L57" s="5">
        <v>1.212388</v>
      </c>
      <c r="M57" s="5">
        <v>1.082671</v>
      </c>
      <c r="N57" s="5">
        <v>2.29506</v>
      </c>
      <c r="O57" s="5">
        <v>0.802109</v>
      </c>
    </row>
    <row r="58">
      <c r="A58" s="18" t="str">
        <f>IFERROR(__xludf.DUMMYFUNCTION("""COMPUTED_VALUE"""),"Lee Roberts")</f>
        <v>Lee Roberts</v>
      </c>
      <c r="B58" s="19" t="str">
        <f>IFERROR(__xludf.DUMMYFUNCTION("""COMPUTED_VALUE"""),"ROM")</f>
        <v>ROM</v>
      </c>
      <c r="C58" s="20">
        <f>IFERROR(__xludf.DUMMYFUNCTION("""COMPUTED_VALUE"""),947.1)</f>
        <v>947.1</v>
      </c>
      <c r="D58" s="21">
        <f>IFERROR(__xludf.DUMMYFUNCTION("""COMPUTED_VALUE"""),1.8680834284298304)</f>
        <v>1.868083428</v>
      </c>
      <c r="E58" s="21">
        <f>IFERROR(__xludf.DUMMYFUNCTION("""COMPUTED_VALUE"""),0.40691636932280184)</f>
        <v>0.4069163693</v>
      </c>
      <c r="F58" s="21">
        <f>IFERROR(__xludf.DUMMYFUNCTION("""COMPUTED_VALUE"""),2.2749885977526323)</f>
        <v>2.274988598</v>
      </c>
      <c r="G58" s="23">
        <f>IFERROR(__xludf.DUMMYFUNCTION("""COMPUTED_VALUE"""),1.2157525282130028)</f>
        <v>1.215752528</v>
      </c>
      <c r="H58" s="4"/>
      <c r="I58" s="5" t="s">
        <v>3288</v>
      </c>
      <c r="J58" s="5" t="s">
        <v>644</v>
      </c>
      <c r="K58" s="5">
        <v>590.0</v>
      </c>
      <c r="L58" s="5">
        <v>1.508431</v>
      </c>
      <c r="M58" s="5">
        <v>0.77959</v>
      </c>
      <c r="N58" s="5">
        <v>2.288021</v>
      </c>
      <c r="O58" s="5">
        <v>0.768179</v>
      </c>
    </row>
    <row r="59">
      <c r="A59" s="12" t="str">
        <f>IFERROR(__xludf.DUMMYFUNCTION("""COMPUTED_VALUE"""),"Federico Loschi")</f>
        <v>Federico Loschi</v>
      </c>
      <c r="B59" s="13" t="str">
        <f>IFERROR(__xludf.DUMMYFUNCTION("""COMPUTED_VALUE"""),"TRIE")</f>
        <v>TRIE</v>
      </c>
      <c r="C59" s="14">
        <f>IFERROR(__xludf.DUMMYFUNCTION("""COMPUTED_VALUE"""),597.0)</f>
        <v>597</v>
      </c>
      <c r="D59" s="15">
        <f>IFERROR(__xludf.DUMMYFUNCTION("""COMPUTED_VALUE"""),2.278874790752808)</f>
        <v>2.278874791</v>
      </c>
      <c r="E59" s="15">
        <f>IFERROR(__xludf.DUMMYFUNCTION("""COMPUTED_VALUE"""),-0.029383145043589683)</f>
        <v>-0.02938314504</v>
      </c>
      <c r="F59" s="15">
        <f>IFERROR(__xludf.DUMMYFUNCTION("""COMPUTED_VALUE"""),2.2494685457092185)</f>
        <v>2.249468546</v>
      </c>
      <c r="G59" s="17">
        <f>IFERROR(__xludf.DUMMYFUNCTION("""COMPUTED_VALUE"""),0.7823684865902003)</f>
        <v>0.7823684866</v>
      </c>
      <c r="H59" s="4"/>
      <c r="I59" s="5" t="s">
        <v>1120</v>
      </c>
      <c r="J59" s="5" t="s">
        <v>3223</v>
      </c>
      <c r="K59" s="24">
        <v>221.0</v>
      </c>
      <c r="L59" s="5">
        <v>0.314999</v>
      </c>
      <c r="M59" s="5">
        <v>1.971491</v>
      </c>
      <c r="N59" s="5">
        <v>2.28649</v>
      </c>
      <c r="O59" s="5">
        <v>0.288296</v>
      </c>
    </row>
    <row r="60">
      <c r="A60" s="18" t="str">
        <f>IFERROR(__xludf.DUMMYFUNCTION("""COMPUTED_VALUE"""),"Matteo Da Ros")</f>
        <v>Matteo Da Ros</v>
      </c>
      <c r="B60" s="19" t="str">
        <f>IFERROR(__xludf.DUMMYFUNCTION("""COMPUTED_VALUE"""),"TRIE")</f>
        <v>TRIE</v>
      </c>
      <c r="C60" s="20">
        <f>IFERROR(__xludf.DUMMYFUNCTION("""COMPUTED_VALUE"""),1052.0)</f>
        <v>1052</v>
      </c>
      <c r="D60" s="21">
        <f>IFERROR(__xludf.DUMMYFUNCTION("""COMPUTED_VALUE"""),-1.1402704453989079)</f>
        <v>-1.140270445</v>
      </c>
      <c r="E60" s="21">
        <f>IFERROR(__xludf.DUMMYFUNCTION("""COMPUTED_VALUE"""),3.3702182559263356)</f>
        <v>3.370218256</v>
      </c>
      <c r="F60" s="21">
        <f>IFERROR(__xludf.DUMMYFUNCTION("""COMPUTED_VALUE"""),2.229914310527428)</f>
        <v>2.229914311</v>
      </c>
      <c r="G60" s="23">
        <f>IFERROR(__xludf.DUMMYFUNCTION("""COMPUTED_VALUE"""),1.372295019524065)</f>
        <v>1.37229502</v>
      </c>
      <c r="H60" s="4"/>
      <c r="I60" s="5" t="s">
        <v>3289</v>
      </c>
      <c r="J60" s="5" t="s">
        <v>3212</v>
      </c>
      <c r="K60" s="24">
        <v>446.0</v>
      </c>
      <c r="L60" s="5">
        <v>0.830691</v>
      </c>
      <c r="M60" s="5">
        <v>1.379282</v>
      </c>
      <c r="N60" s="5">
        <v>2.209973</v>
      </c>
      <c r="O60" s="5">
        <v>0.569922</v>
      </c>
    </row>
    <row r="61">
      <c r="A61" s="12" t="str">
        <f>IFERROR(__xludf.DUMMYFUNCTION("""COMPUTED_VALUE"""),"Damian Hollis")</f>
        <v>Damian Hollis</v>
      </c>
      <c r="B61" s="13" t="str">
        <f>IFERROR(__xludf.DUMMYFUNCTION("""COMPUTED_VALUE"""),"BERG")</f>
        <v>BERG</v>
      </c>
      <c r="C61" s="14">
        <f>IFERROR(__xludf.DUMMYFUNCTION("""COMPUTED_VALUE"""),396.0)</f>
        <v>396</v>
      </c>
      <c r="D61" s="15">
        <f>IFERROR(__xludf.DUMMYFUNCTION("""COMPUTED_VALUE"""),1.2407103609188872)</f>
        <v>1.240710361</v>
      </c>
      <c r="E61" s="15">
        <f>IFERROR(__xludf.DUMMYFUNCTION("""COMPUTED_VALUE"""),0.8499902417142037)</f>
        <v>0.8499902417</v>
      </c>
      <c r="F61" s="15">
        <f>IFERROR(__xludf.DUMMYFUNCTION("""COMPUTED_VALUE"""),2.090674602633091)</f>
        <v>2.090674603</v>
      </c>
      <c r="G61" s="17">
        <f>IFERROR(__xludf.DUMMYFUNCTION("""COMPUTED_VALUE"""),0.5177837948761911)</f>
        <v>0.5177837949</v>
      </c>
      <c r="H61" s="4"/>
      <c r="I61" s="5" t="s">
        <v>3290</v>
      </c>
      <c r="J61" s="5" t="s">
        <v>2201</v>
      </c>
      <c r="K61" s="24">
        <v>504.0</v>
      </c>
      <c r="L61" s="5">
        <v>-1.466241</v>
      </c>
      <c r="M61" s="5">
        <v>3.6389</v>
      </c>
      <c r="N61" s="5">
        <v>2.172659</v>
      </c>
      <c r="O61" s="5">
        <v>0.642405</v>
      </c>
    </row>
    <row r="62">
      <c r="A62" s="18" t="str">
        <f>IFERROR(__xludf.DUMMYFUNCTION("""COMPUTED_VALUE"""),"Devin Ebanks")</f>
        <v>Devin Ebanks</v>
      </c>
      <c r="B62" s="19" t="str">
        <f>IFERROR(__xludf.DUMMYFUNCTION("""COMPUTED_VALUE"""),"SANA")</f>
        <v>SANA</v>
      </c>
      <c r="C62" s="20">
        <f>IFERROR(__xludf.DUMMYFUNCTION("""COMPUTED_VALUE"""),978.0)</f>
        <v>978</v>
      </c>
      <c r="D62" s="21">
        <f>IFERROR(__xludf.DUMMYFUNCTION("""COMPUTED_VALUE"""),3.3408411703422285)</f>
        <v>3.34084117</v>
      </c>
      <c r="E62" s="21">
        <f>IFERROR(__xludf.DUMMYFUNCTION("""COMPUTED_VALUE"""),-1.2689970448302583)</f>
        <v>-1.268997045</v>
      </c>
      <c r="F62" s="21">
        <f>IFERROR(__xludf.DUMMYFUNCTION("""COMPUTED_VALUE"""),2.07181292551197)</f>
        <v>2.071812926</v>
      </c>
      <c r="G62" s="23">
        <f>IFERROR(__xludf.DUMMYFUNCTION("""COMPUTED_VALUE"""),1.211300344704239)</f>
        <v>1.211300345</v>
      </c>
      <c r="H62" s="4"/>
      <c r="I62" s="5" t="s">
        <v>3291</v>
      </c>
      <c r="J62" s="5" t="s">
        <v>3215</v>
      </c>
      <c r="K62" s="24">
        <v>754.0</v>
      </c>
      <c r="L62" s="5">
        <v>2.036048</v>
      </c>
      <c r="M62" s="5">
        <v>0.107098</v>
      </c>
      <c r="N62" s="5">
        <v>2.143147</v>
      </c>
      <c r="O62" s="5">
        <v>0.948823</v>
      </c>
    </row>
    <row r="63">
      <c r="A63" s="12" t="str">
        <f>IFERROR(__xludf.DUMMYFUNCTION("""COMPUTED_VALUE"""),"Alessandro Piazza")</f>
        <v>Alessandro Piazza</v>
      </c>
      <c r="B63" s="13" t="str">
        <f>IFERROR(__xludf.DUMMYFUNCTION("""COMPUTED_VALUE"""),"LEON")</f>
        <v>LEON</v>
      </c>
      <c r="C63" s="14">
        <f>IFERROR(__xludf.DUMMYFUNCTION("""COMPUTED_VALUE"""),944.0)</f>
        <v>944</v>
      </c>
      <c r="D63" s="15">
        <f>IFERROR(__xludf.DUMMYFUNCTION("""COMPUTED_VALUE"""),-0.9644570138686966)</f>
        <v>-0.9644570139</v>
      </c>
      <c r="E63" s="15">
        <f>IFERROR(__xludf.DUMMYFUNCTION("""COMPUTED_VALUE"""),3.0101352584265872)</f>
        <v>3.010135258</v>
      </c>
      <c r="F63" s="15">
        <f>IFERROR(__xludf.DUMMYFUNCTION("""COMPUTED_VALUE"""),2.0456632445578906)</f>
        <v>2.045663245</v>
      </c>
      <c r="G63" s="17">
        <f>IFERROR(__xludf.DUMMYFUNCTION("""COMPUTED_VALUE"""),1.3431217385097576)</f>
        <v>1.343121739</v>
      </c>
      <c r="H63" s="4"/>
      <c r="I63" s="5" t="s">
        <v>3292</v>
      </c>
      <c r="J63" s="5" t="s">
        <v>3281</v>
      </c>
      <c r="K63" s="24">
        <v>727.0</v>
      </c>
      <c r="L63" s="5">
        <v>2.182755</v>
      </c>
      <c r="M63" s="5">
        <v>-0.049466</v>
      </c>
      <c r="N63" s="5">
        <v>2.133289</v>
      </c>
      <c r="O63" s="5">
        <v>0.916448</v>
      </c>
    </row>
    <row r="64">
      <c r="A64" s="18" t="str">
        <f>IFERROR(__xludf.DUMMYFUNCTION("""COMPUTED_VALUE"""),"Andrea Coronica")</f>
        <v>Andrea Coronica</v>
      </c>
      <c r="B64" s="19" t="str">
        <f>IFERROR(__xludf.DUMMYFUNCTION("""COMPUTED_VALUE"""),"TRIE")</f>
        <v>TRIE</v>
      </c>
      <c r="C64" s="20">
        <f>IFERROR(__xludf.DUMMYFUNCTION("""COMPUTED_VALUE"""),227.0)</f>
        <v>227</v>
      </c>
      <c r="D64" s="21">
        <f>IFERROR(__xludf.DUMMYFUNCTION("""COMPUTED_VALUE"""),0.7509166099554966)</f>
        <v>0.75091661</v>
      </c>
      <c r="E64" s="21">
        <f>IFERROR(__xludf.DUMMYFUNCTION("""COMPUTED_VALUE"""),1.2270727596375062)</f>
        <v>1.22707276</v>
      </c>
      <c r="F64" s="21">
        <f>IFERROR(__xludf.DUMMYFUNCTION("""COMPUTED_VALUE"""),1.9779547695930029)</f>
        <v>1.97795477</v>
      </c>
      <c r="G64" s="23">
        <f>IFERROR(__xludf.DUMMYFUNCTION("""COMPUTED_VALUE"""),0.27850258597347155)</f>
        <v>0.278502586</v>
      </c>
      <c r="H64" s="4"/>
      <c r="I64" s="5" t="s">
        <v>3293</v>
      </c>
      <c r="J64" s="5" t="s">
        <v>3203</v>
      </c>
      <c r="K64" s="24">
        <v>651.0</v>
      </c>
      <c r="L64" s="5">
        <v>1.965802</v>
      </c>
      <c r="M64" s="5">
        <v>0.163826</v>
      </c>
      <c r="N64" s="5">
        <v>2.129628</v>
      </c>
      <c r="O64" s="5">
        <v>0.814856</v>
      </c>
    </row>
    <row r="65">
      <c r="A65" s="12" t="str">
        <f>IFERROR(__xludf.DUMMYFUNCTION("""COMPUTED_VALUE"""),"Carlton Guyton")</f>
        <v>Carlton Guyton</v>
      </c>
      <c r="B65" s="13" t="str">
        <f>IFERROR(__xludf.DUMMYFUNCTION("""COMPUTED_VALUE"""),"CAS")</f>
        <v>CAS</v>
      </c>
      <c r="C65" s="14">
        <f>IFERROR(__xludf.DUMMYFUNCTION("""COMPUTED_VALUE"""),993.0)</f>
        <v>993</v>
      </c>
      <c r="D65" s="15">
        <f>IFERROR(__xludf.DUMMYFUNCTION("""COMPUTED_VALUE"""),2.1504637231308226)</f>
        <v>2.150463723</v>
      </c>
      <c r="E65" s="15">
        <f>IFERROR(__xludf.DUMMYFUNCTION("""COMPUTED_VALUE"""),-0.2217140931325583)</f>
        <v>-0.2217140931</v>
      </c>
      <c r="F65" s="15">
        <f>IFERROR(__xludf.DUMMYFUNCTION("""COMPUTED_VALUE"""),1.9287230299982643)</f>
        <v>1.92872303</v>
      </c>
      <c r="G65" s="17">
        <f>IFERROR(__xludf.DUMMYFUNCTION("""COMPUTED_VALUE"""),1.2383575888435272)</f>
        <v>1.238357589</v>
      </c>
      <c r="H65" s="4"/>
      <c r="I65" s="5" t="s">
        <v>3294</v>
      </c>
      <c r="J65" s="5" t="s">
        <v>3283</v>
      </c>
      <c r="K65" s="24">
        <v>275.0</v>
      </c>
      <c r="L65" s="5">
        <v>3.148509</v>
      </c>
      <c r="M65" s="5">
        <v>-1.083142</v>
      </c>
      <c r="N65" s="5">
        <v>2.065367</v>
      </c>
      <c r="O65" s="5">
        <v>0.339163</v>
      </c>
    </row>
    <row r="66">
      <c r="A66" s="18" t="str">
        <f>IFERROR(__xludf.DUMMYFUNCTION("""COMPUTED_VALUE"""),"Ousmane Diop")</f>
        <v>Ousmane Diop</v>
      </c>
      <c r="B66" s="19" t="str">
        <f>IFERROR(__xludf.DUMMYFUNCTION("""COMPUTED_VALUE"""),"AMIC")</f>
        <v>AMIC</v>
      </c>
      <c r="C66" s="20">
        <f>IFERROR(__xludf.DUMMYFUNCTION("""COMPUTED_VALUE"""),659.0)</f>
        <v>659</v>
      </c>
      <c r="D66" s="21">
        <f>IFERROR(__xludf.DUMMYFUNCTION("""COMPUTED_VALUE"""),-1.3163441086978374)</f>
        <v>-1.316344109</v>
      </c>
      <c r="E66" s="21">
        <f>IFERROR(__xludf.DUMMYFUNCTION("""COMPUTED_VALUE"""),3.2242780551065757)</f>
        <v>3.224278055</v>
      </c>
      <c r="F66" s="21">
        <f>IFERROR(__xludf.DUMMYFUNCTION("""COMPUTED_VALUE"""),1.9079018464087383)</f>
        <v>1.907901846</v>
      </c>
      <c r="G66" s="23">
        <f>IFERROR(__xludf.DUMMYFUNCTION("""COMPUTED_VALUE"""),0.7791436608495625)</f>
        <v>0.7791436608</v>
      </c>
      <c r="H66" s="4"/>
      <c r="I66" s="5" t="s">
        <v>3295</v>
      </c>
      <c r="J66" s="5" t="s">
        <v>3226</v>
      </c>
      <c r="K66" s="24">
        <v>216.0</v>
      </c>
      <c r="L66" s="5">
        <v>1.177333</v>
      </c>
      <c r="M66" s="5">
        <v>0.868176</v>
      </c>
      <c r="N66" s="5">
        <v>2.045509</v>
      </c>
      <c r="O66" s="5">
        <v>0.266886</v>
      </c>
    </row>
    <row r="67">
      <c r="A67" s="12" t="str">
        <f>IFERROR(__xludf.DUMMYFUNCTION("""COMPUTED_VALUE"""),"Francesco Pellegrino")</f>
        <v>Francesco Pellegrino</v>
      </c>
      <c r="B67" s="13" t="str">
        <f>IFERROR(__xludf.DUMMYFUNCTION("""COMPUTED_VALUE"""),"AMIC")</f>
        <v>AMIC</v>
      </c>
      <c r="C67" s="14">
        <f>IFERROR(__xludf.DUMMYFUNCTION("""COMPUTED_VALUE"""),675.0)</f>
        <v>675</v>
      </c>
      <c r="D67" s="15">
        <f>IFERROR(__xludf.DUMMYFUNCTION("""COMPUTED_VALUE"""),-3.7097465641898695)</f>
        <v>-3.709746564</v>
      </c>
      <c r="E67" s="15">
        <f>IFERROR(__xludf.DUMMYFUNCTION("""COMPUTED_VALUE"""),5.561032152775018)</f>
        <v>5.561032153</v>
      </c>
      <c r="F67" s="15">
        <f>IFERROR(__xludf.DUMMYFUNCTION("""COMPUTED_VALUE"""),1.8512701885851492)</f>
        <v>1.851270189</v>
      </c>
      <c r="G67" s="17">
        <f>IFERROR(__xludf.DUMMYFUNCTION("""COMPUTED_VALUE"""),0.7864784943735662)</f>
        <v>0.7864784944</v>
      </c>
      <c r="H67" s="4"/>
      <c r="I67" s="5" t="s">
        <v>3296</v>
      </c>
      <c r="J67" s="5" t="s">
        <v>3283</v>
      </c>
      <c r="K67" s="24">
        <v>868.0</v>
      </c>
      <c r="L67" s="5">
        <v>0.716895</v>
      </c>
      <c r="M67" s="5">
        <v>1.256238</v>
      </c>
      <c r="N67" s="5">
        <v>1.973133</v>
      </c>
      <c r="O67" s="5">
        <v>1.047639</v>
      </c>
    </row>
    <row r="68">
      <c r="A68" s="18" t="str">
        <f>IFERROR(__xludf.DUMMYFUNCTION("""COMPUTED_VALUE"""),"Gabriele Spizzichini")</f>
        <v>Gabriele Spizzichini</v>
      </c>
      <c r="B68" s="19" t="str">
        <f>IFERROR(__xludf.DUMMYFUNCTION("""COMPUTED_VALUE"""),"SCAF")</f>
        <v>SCAF</v>
      </c>
      <c r="C68" s="20">
        <f>IFERROR(__xludf.DUMMYFUNCTION("""COMPUTED_VALUE"""),984.0)</f>
        <v>984</v>
      </c>
      <c r="D68" s="21">
        <f>IFERROR(__xludf.DUMMYFUNCTION("""COMPUTED_VALUE"""),-0.321064176722902)</f>
        <v>-0.3210641767</v>
      </c>
      <c r="E68" s="21">
        <f>IFERROR(__xludf.DUMMYFUNCTION("""COMPUTED_VALUE"""),2.1326551925664234)</f>
        <v>2.132655193</v>
      </c>
      <c r="F68" s="21">
        <f>IFERROR(__xludf.DUMMYFUNCTION("""COMPUTED_VALUE"""),1.8115845158435215)</f>
        <v>1.811584516</v>
      </c>
      <c r="G68" s="23">
        <f>IFERROR(__xludf.DUMMYFUNCTION("""COMPUTED_VALUE"""),1.2032124351028028)</f>
        <v>1.203212435</v>
      </c>
      <c r="H68" s="4"/>
      <c r="I68" s="5" t="s">
        <v>1151</v>
      </c>
      <c r="J68" s="5" t="s">
        <v>3256</v>
      </c>
      <c r="K68" s="5">
        <v>466.0</v>
      </c>
      <c r="L68" s="5">
        <v>0.755282</v>
      </c>
      <c r="M68" s="5">
        <v>1.15204</v>
      </c>
      <c r="N68" s="5">
        <v>1.907322</v>
      </c>
      <c r="O68" s="5">
        <v>0.552272</v>
      </c>
    </row>
    <row r="69">
      <c r="A69" s="12" t="str">
        <f>IFERROR(__xludf.DUMMYFUNCTION("""COMPUTED_VALUE"""),"Luca Vencato")</f>
        <v>Luca Vencato</v>
      </c>
      <c r="B69" s="13" t="str">
        <f>IFERROR(__xludf.DUMMYFUNCTION("""COMPUTED_VALUE"""),"MAN")</f>
        <v>MAN</v>
      </c>
      <c r="C69" s="14">
        <f>IFERROR(__xludf.DUMMYFUNCTION("""COMPUTED_VALUE"""),847.0)</f>
        <v>847</v>
      </c>
      <c r="D69" s="15">
        <f>IFERROR(__xludf.DUMMYFUNCTION("""COMPUTED_VALUE"""),0.3710373749236792)</f>
        <v>0.3710373749</v>
      </c>
      <c r="E69" s="15">
        <f>IFERROR(__xludf.DUMMYFUNCTION("""COMPUTED_VALUE"""),1.385380686505786)</f>
        <v>1.385380687</v>
      </c>
      <c r="F69" s="15">
        <f>IFERROR(__xludf.DUMMYFUNCTION("""COMPUTED_VALUE"""),1.7564156614294653)</f>
        <v>1.756415661</v>
      </c>
      <c r="G69" s="17">
        <f>IFERROR(__xludf.DUMMYFUNCTION("""COMPUTED_VALUE"""),1.003736775762894)</f>
        <v>1.003736776</v>
      </c>
      <c r="H69" s="4"/>
      <c r="I69" s="5" t="s">
        <v>3297</v>
      </c>
      <c r="J69" s="5" t="s">
        <v>3256</v>
      </c>
      <c r="K69" s="24">
        <v>352.0</v>
      </c>
      <c r="L69" s="5">
        <v>2.142986</v>
      </c>
      <c r="M69" s="5">
        <v>-0.236418</v>
      </c>
      <c r="N69" s="5">
        <v>1.906568</v>
      </c>
      <c r="O69" s="5">
        <v>0.417236</v>
      </c>
    </row>
    <row r="70">
      <c r="A70" s="18" t="str">
        <f>IFERROR(__xludf.DUMMYFUNCTION("""COMPUTED_VALUE"""),"Lorenzo Baldasso")</f>
        <v>Lorenzo Baldasso</v>
      </c>
      <c r="B70" s="19" t="str">
        <f>IFERROR(__xludf.DUMMYFUNCTION("""COMPUTED_VALUE"""),"TRIE")</f>
        <v>TRIE</v>
      </c>
      <c r="C70" s="20">
        <f>IFERROR(__xludf.DUMMYFUNCTION("""COMPUTED_VALUE"""),540.0)</f>
        <v>540</v>
      </c>
      <c r="D70" s="21">
        <f>IFERROR(__xludf.DUMMYFUNCTION("""COMPUTED_VALUE"""),1.8459781844650947)</f>
        <v>1.845978184</v>
      </c>
      <c r="E70" s="21">
        <f>IFERROR(__xludf.DUMMYFUNCTION("""COMPUTED_VALUE"""),-0.1493662520772917)</f>
        <v>-0.1493662521</v>
      </c>
      <c r="F70" s="21">
        <f>IFERROR(__xludf.DUMMYFUNCTION("""COMPUTED_VALUE"""),1.696569132387803)</f>
        <v>1.696569132</v>
      </c>
      <c r="G70" s="23">
        <f>IFERROR(__xludf.DUMMYFUNCTION("""COMPUTED_VALUE"""),0.6156194931983053)</f>
        <v>0.6156194932</v>
      </c>
      <c r="H70" s="4"/>
      <c r="I70" s="5" t="s">
        <v>3298</v>
      </c>
      <c r="J70" s="5" t="s">
        <v>3256</v>
      </c>
      <c r="K70" s="24">
        <v>557.0</v>
      </c>
      <c r="L70" s="5">
        <v>-0.896476</v>
      </c>
      <c r="M70" s="5">
        <v>2.717459</v>
      </c>
      <c r="N70" s="5">
        <v>1.820983</v>
      </c>
      <c r="O70" s="5">
        <v>0.64618</v>
      </c>
    </row>
    <row r="71">
      <c r="A71" s="12" t="str">
        <f>IFERROR(__xludf.DUMMYFUNCTION("""COMPUTED_VALUE"""),"Simone Pepe")</f>
        <v>Simone Pepe</v>
      </c>
      <c r="B71" s="13" t="str">
        <f>IFERROR(__xludf.DUMMYFUNCTION("""COMPUTED_VALUE"""),"MON")</f>
        <v>MON</v>
      </c>
      <c r="C71" s="14">
        <f>IFERROR(__xludf.DUMMYFUNCTION("""COMPUTED_VALUE"""),629.0)</f>
        <v>629</v>
      </c>
      <c r="D71" s="15">
        <f>IFERROR(__xludf.DUMMYFUNCTION("""COMPUTED_VALUE"""),4.435005025499487)</f>
        <v>4.435005025</v>
      </c>
      <c r="E71" s="15">
        <f>IFERROR(__xludf.DUMMYFUNCTION("""COMPUTED_VALUE"""),-2.7621296613314854)</f>
        <v>-2.762129661</v>
      </c>
      <c r="F71" s="15">
        <f>IFERROR(__xludf.DUMMYFUNCTION("""COMPUTED_VALUE"""),1.672860164168002)</f>
        <v>1.672860164</v>
      </c>
      <c r="G71" s="17">
        <f>IFERROR(__xludf.DUMMYFUNCTION("""COMPUTED_VALUE"""),0.7016954432364032)</f>
        <v>0.7016954432</v>
      </c>
      <c r="H71" s="4"/>
      <c r="I71" s="5" t="s">
        <v>3299</v>
      </c>
      <c r="J71" s="5" t="s">
        <v>2201</v>
      </c>
      <c r="K71" s="24">
        <v>649.0</v>
      </c>
      <c r="L71" s="5">
        <v>3.939797</v>
      </c>
      <c r="M71" s="5">
        <v>-2.16439</v>
      </c>
      <c r="N71" s="5">
        <v>1.775406</v>
      </c>
      <c r="O71" s="5">
        <v>0.748206</v>
      </c>
    </row>
    <row r="72">
      <c r="A72" s="18" t="str">
        <f>IFERROR(__xludf.DUMMYFUNCTION("""COMPUTED_VALUE"""),"Giovanni Allodi")</f>
        <v>Giovanni Allodi</v>
      </c>
      <c r="B72" s="19" t="str">
        <f>IFERROR(__xludf.DUMMYFUNCTION("""COMPUTED_VALUE"""),"LAT")</f>
        <v>LAT</v>
      </c>
      <c r="C72" s="20">
        <f>IFERROR(__xludf.DUMMYFUNCTION("""COMPUTED_VALUE"""),595.0)</f>
        <v>595</v>
      </c>
      <c r="D72" s="21">
        <f>IFERROR(__xludf.DUMMYFUNCTION("""COMPUTED_VALUE"""),0.21799563187270748)</f>
        <v>0.2179956319</v>
      </c>
      <c r="E72" s="21">
        <f>IFERROR(__xludf.DUMMYFUNCTION("""COMPUTED_VALUE"""),1.4420268586961695)</f>
        <v>1.442026859</v>
      </c>
      <c r="F72" s="21">
        <f>IFERROR(__xludf.DUMMYFUNCTION("""COMPUTED_VALUE"""),1.659977690568877)</f>
        <v>1.659977691</v>
      </c>
      <c r="G72" s="23">
        <f>IFERROR(__xludf.DUMMYFUNCTION("""COMPUTED_VALUE"""),0.7075438283392764)</f>
        <v>0.7075438283</v>
      </c>
      <c r="H72" s="4"/>
      <c r="I72" s="5" t="s">
        <v>3300</v>
      </c>
      <c r="J72" s="5" t="s">
        <v>3237</v>
      </c>
      <c r="K72" s="24">
        <v>628.0</v>
      </c>
      <c r="L72" s="5">
        <v>-0.081297</v>
      </c>
      <c r="M72" s="5">
        <v>1.837528</v>
      </c>
      <c r="N72" s="5">
        <v>1.756231</v>
      </c>
      <c r="O72" s="5">
        <v>0.795599</v>
      </c>
    </row>
    <row r="73">
      <c r="A73" s="12" t="str">
        <f>IFERROR(__xludf.DUMMYFUNCTION("""COMPUTED_VALUE"""),"Matteo Palermo")</f>
        <v>Matteo Palermo</v>
      </c>
      <c r="B73" s="13" t="str">
        <f>IFERROR(__xludf.DUMMYFUNCTION("""COMPUTED_VALUE"""),"STV")</f>
        <v>STV</v>
      </c>
      <c r="C73" s="14">
        <f>IFERROR(__xludf.DUMMYFUNCTION("""COMPUTED_VALUE"""),667.0)</f>
        <v>667</v>
      </c>
      <c r="D73" s="15">
        <f>IFERROR(__xludf.DUMMYFUNCTION("""COMPUTED_VALUE"""),0.34428762005410296)</f>
        <v>0.3442876201</v>
      </c>
      <c r="E73" s="15">
        <f>IFERROR(__xludf.DUMMYFUNCTION("""COMPUTED_VALUE"""),1.3069075436449296)</f>
        <v>1.306907544</v>
      </c>
      <c r="F73" s="15">
        <f>IFERROR(__xludf.DUMMYFUNCTION("""COMPUTED_VALUE"""),1.6511787636990325)</f>
        <v>1.651178764</v>
      </c>
      <c r="G73" s="17">
        <f>IFERROR(__xludf.DUMMYFUNCTION("""COMPUTED_VALUE"""),0.8071197625872507)</f>
        <v>0.8071197626</v>
      </c>
      <c r="H73" s="4"/>
      <c r="I73" s="5" t="s">
        <v>1028</v>
      </c>
      <c r="J73" s="5" t="s">
        <v>3263</v>
      </c>
      <c r="K73" s="5">
        <v>599.0</v>
      </c>
      <c r="L73" s="5">
        <v>0.301502</v>
      </c>
      <c r="M73" s="5">
        <v>1.454015</v>
      </c>
      <c r="N73" s="5">
        <v>1.755517</v>
      </c>
      <c r="O73" s="5">
        <v>0.675553</v>
      </c>
    </row>
    <row r="74">
      <c r="A74" s="18" t="str">
        <f>IFERROR(__xludf.DUMMYFUNCTION("""COMPUTED_VALUE"""),"Stefano Masciadri")</f>
        <v>Stefano Masciadri</v>
      </c>
      <c r="B74" s="19" t="str">
        <f>IFERROR(__xludf.DUMMYFUNCTION("""COMPUTED_VALUE"""),"RAV")</f>
        <v>RAV</v>
      </c>
      <c r="C74" s="20">
        <f>IFERROR(__xludf.DUMMYFUNCTION("""COMPUTED_VALUE"""),769.0)</f>
        <v>769</v>
      </c>
      <c r="D74" s="21">
        <f>IFERROR(__xludf.DUMMYFUNCTION("""COMPUTED_VALUE"""),0.23861668490410173)</f>
        <v>0.2386166849</v>
      </c>
      <c r="E74" s="21">
        <f>IFERROR(__xludf.DUMMYFUNCTION("""COMPUTED_VALUE"""),1.3887793543713054)</f>
        <v>1.388779354</v>
      </c>
      <c r="F74" s="21">
        <f>IFERROR(__xludf.DUMMYFUNCTION("""COMPUTED_VALUE"""),1.6273753392754071)</f>
        <v>1.627375339</v>
      </c>
      <c r="G74" s="23">
        <f>IFERROR(__xludf.DUMMYFUNCTION("""COMPUTED_VALUE"""),0.8434348209139653)</f>
        <v>0.8434348209</v>
      </c>
      <c r="H74" s="4"/>
      <c r="I74" s="5" t="s">
        <v>3301</v>
      </c>
      <c r="J74" s="5" t="s">
        <v>2838</v>
      </c>
      <c r="K74" s="24">
        <v>675.0</v>
      </c>
      <c r="L74" s="5">
        <v>-0.220423</v>
      </c>
      <c r="M74" s="5">
        <v>1.930718</v>
      </c>
      <c r="N74" s="5">
        <v>1.710295</v>
      </c>
      <c r="O74" s="5">
        <v>0.750399</v>
      </c>
    </row>
    <row r="75">
      <c r="A75" s="12" t="str">
        <f>IFERROR(__xludf.DUMMYFUNCTION("""COMPUTED_VALUE"""),"Giovanni Severini")</f>
        <v>Giovanni Severini</v>
      </c>
      <c r="B75" s="13" t="str">
        <f>IFERROR(__xludf.DUMMYFUNCTION("""COMPUTED_VALUE"""),"FOR")</f>
        <v>FOR</v>
      </c>
      <c r="C75" s="14">
        <f>IFERROR(__xludf.DUMMYFUNCTION("""COMPUTED_VALUE"""),900.0)</f>
        <v>900</v>
      </c>
      <c r="D75" s="15">
        <f>IFERROR(__xludf.DUMMYFUNCTION("""COMPUTED_VALUE"""),0.006679425859540888)</f>
        <v>0.00667942586</v>
      </c>
      <c r="E75" s="15">
        <f>IFERROR(__xludf.DUMMYFUNCTION("""COMPUTED_VALUE"""),1.608187688479178)</f>
        <v>1.608187688</v>
      </c>
      <c r="F75" s="15">
        <f>IFERROR(__xludf.DUMMYFUNCTION("""COMPUTED_VALUE"""),1.6148590143387187)</f>
        <v>1.614859014</v>
      </c>
      <c r="G75" s="17">
        <f>IFERROR(__xludf.DUMMYFUNCTION("""COMPUTED_VALUE"""),0.9836927743312376)</f>
        <v>0.9836927743</v>
      </c>
      <c r="H75" s="4"/>
      <c r="I75" s="5" t="s">
        <v>3302</v>
      </c>
      <c r="J75" s="5" t="s">
        <v>3212</v>
      </c>
      <c r="K75" s="5">
        <v>524.0</v>
      </c>
      <c r="L75" s="5">
        <v>0.42604</v>
      </c>
      <c r="M75" s="5">
        <v>1.241936</v>
      </c>
      <c r="N75" s="5">
        <v>1.667976</v>
      </c>
      <c r="O75" s="5">
        <v>0.583672</v>
      </c>
    </row>
    <row r="76">
      <c r="A76" s="18" t="str">
        <f>IFERROR(__xludf.DUMMYFUNCTION("""COMPUTED_VALUE"""),"Riccardo Tavernelli")</f>
        <v>Riccardo Tavernelli</v>
      </c>
      <c r="B76" s="19" t="str">
        <f>IFERROR(__xludf.DUMMYFUNCTION("""COMPUTED_VALUE"""),"LAT")</f>
        <v>LAT</v>
      </c>
      <c r="C76" s="20">
        <f>IFERROR(__xludf.DUMMYFUNCTION("""COMPUTED_VALUE"""),814.0)</f>
        <v>814</v>
      </c>
      <c r="D76" s="21">
        <f>IFERROR(__xludf.DUMMYFUNCTION("""COMPUTED_VALUE"""),0.7087159364349739)</f>
        <v>0.7087159364</v>
      </c>
      <c r="E76" s="21">
        <f>IFERROR(__xludf.DUMMYFUNCTION("""COMPUTED_VALUE"""),0.8838668463849957)</f>
        <v>0.8838668464</v>
      </c>
      <c r="F76" s="21">
        <f>IFERROR(__xludf.DUMMYFUNCTION("""COMPUTED_VALUE"""),1.5925772828199696)</f>
        <v>1.592577283</v>
      </c>
      <c r="G76" s="23">
        <f>IFERROR(__xludf.DUMMYFUNCTION("""COMPUTED_VALUE"""),0.9500872330530328)</f>
        <v>0.9500872331</v>
      </c>
      <c r="H76" s="4"/>
      <c r="I76" s="5" t="s">
        <v>3303</v>
      </c>
      <c r="J76" s="5" t="s">
        <v>3223</v>
      </c>
      <c r="K76" s="24">
        <v>170.0</v>
      </c>
      <c r="L76" s="5">
        <v>0.864701</v>
      </c>
      <c r="M76" s="5">
        <v>0.784528</v>
      </c>
      <c r="N76" s="5">
        <v>1.649229</v>
      </c>
      <c r="O76" s="5">
        <v>0.18843</v>
      </c>
    </row>
    <row r="77">
      <c r="A77" s="12" t="str">
        <f>IFERROR(__xludf.DUMMYFUNCTION("""COMPUTED_VALUE"""),"Bobby Jones")</f>
        <v>Bobby Jones</v>
      </c>
      <c r="B77" s="13" t="str">
        <f>IFERROR(__xludf.DUMMYFUNCTION("""COMPUTED_VALUE"""),"MAN")</f>
        <v>MAN</v>
      </c>
      <c r="C77" s="14">
        <f>IFERROR(__xludf.DUMMYFUNCTION("""COMPUTED_VALUE"""),840.0)</f>
        <v>840</v>
      </c>
      <c r="D77" s="15">
        <f>IFERROR(__xludf.DUMMYFUNCTION("""COMPUTED_VALUE"""),1.1676536219737357)</f>
        <v>1.167653622</v>
      </c>
      <c r="E77" s="15">
        <f>IFERROR(__xludf.DUMMYFUNCTION("""COMPUTED_VALUE"""),0.4134675633567582)</f>
        <v>0.4134675634</v>
      </c>
      <c r="F77" s="15">
        <f>IFERROR(__xludf.DUMMYFUNCTION("""COMPUTED_VALUE"""),1.581096585330494)</f>
        <v>1.581096585</v>
      </c>
      <c r="G77" s="17">
        <f>IFERROR(__xludf.DUMMYFUNCTION("""COMPUTED_VALUE"""),0.9490046132322746)</f>
        <v>0.9490046132</v>
      </c>
      <c r="H77" s="4"/>
      <c r="I77" s="5" t="s">
        <v>3304</v>
      </c>
      <c r="J77" s="5" t="s">
        <v>3220</v>
      </c>
      <c r="K77" s="24">
        <v>568.0</v>
      </c>
      <c r="L77" s="5">
        <v>-0.879916</v>
      </c>
      <c r="M77" s="5">
        <v>2.506278</v>
      </c>
      <c r="N77" s="5">
        <v>1.626362</v>
      </c>
      <c r="O77" s="5">
        <v>0.63257</v>
      </c>
    </row>
    <row r="78">
      <c r="A78" s="18" t="str">
        <f>IFERROR(__xludf.DUMMYFUNCTION("""COMPUTED_VALUE"""),"Cristopher Mortellaro")</f>
        <v>Cristopher Mortellaro</v>
      </c>
      <c r="B78" s="19" t="str">
        <f>IFERROR(__xludf.DUMMYFUNCTION("""COMPUTED_VALUE"""),"AMIC")</f>
        <v>AMIC</v>
      </c>
      <c r="C78" s="20">
        <f>IFERROR(__xludf.DUMMYFUNCTION("""COMPUTED_VALUE"""),820.0)</f>
        <v>820</v>
      </c>
      <c r="D78" s="21">
        <f>IFERROR(__xludf.DUMMYFUNCTION("""COMPUTED_VALUE"""),-0.5543436580132809)</f>
        <v>-0.554343658</v>
      </c>
      <c r="E78" s="21">
        <f>IFERROR(__xludf.DUMMYFUNCTION("""COMPUTED_VALUE"""),2.125196516966975)</f>
        <v>2.125196517</v>
      </c>
      <c r="F78" s="21">
        <f>IFERROR(__xludf.DUMMYFUNCTION("""COMPUTED_VALUE"""),1.570834658953694)</f>
        <v>1.570834659</v>
      </c>
      <c r="G78" s="23">
        <f>IFERROR(__xludf.DUMMYFUNCTION("""COMPUTED_VALUE"""),0.8858559437770755)</f>
        <v>0.8858559438</v>
      </c>
      <c r="H78" s="4"/>
      <c r="I78" s="5" t="s">
        <v>3305</v>
      </c>
      <c r="J78" s="5" t="s">
        <v>2838</v>
      </c>
      <c r="K78" s="24">
        <v>376.0</v>
      </c>
      <c r="L78" s="5">
        <v>0.615392</v>
      </c>
      <c r="M78" s="5">
        <v>1.004968</v>
      </c>
      <c r="N78" s="5">
        <v>1.62036</v>
      </c>
      <c r="O78" s="5">
        <v>0.408024</v>
      </c>
    </row>
    <row r="79">
      <c r="A79" s="12" t="str">
        <f>IFERROR(__xludf.DUMMYFUNCTION("""COMPUTED_VALUE"""),"Melvin Johnson")</f>
        <v>Melvin Johnson</v>
      </c>
      <c r="B79" s="13" t="str">
        <f>IFERROR(__xludf.DUMMYFUNCTION("""COMPUTED_VALUE"""),"TORT")</f>
        <v>TORT</v>
      </c>
      <c r="C79" s="14">
        <f>IFERROR(__xludf.DUMMYFUNCTION("""COMPUTED_VALUE"""),1103.0)</f>
        <v>1103</v>
      </c>
      <c r="D79" s="15">
        <f>IFERROR(__xludf.DUMMYFUNCTION("""COMPUTED_VALUE"""),3.0279435170365328)</f>
        <v>3.027943517</v>
      </c>
      <c r="E79" s="15">
        <f>IFERROR(__xludf.DUMMYFUNCTION("""COMPUTED_VALUE"""),-1.5453278148551601)</f>
        <v>-1.545327815</v>
      </c>
      <c r="F79" s="15">
        <f>IFERROR(__xludf.DUMMYFUNCTION("""COMPUTED_VALUE"""),1.4825910021813726)</f>
        <v>1.482591002</v>
      </c>
      <c r="G79" s="17">
        <f>IFERROR(__xludf.DUMMYFUNCTION("""COMPUTED_VALUE"""),1.3256863764665294)</f>
        <v>1.325686376</v>
      </c>
      <c r="H79" s="4"/>
      <c r="I79" s="5" t="s">
        <v>3306</v>
      </c>
      <c r="J79" s="5" t="s">
        <v>3278</v>
      </c>
      <c r="K79" s="5">
        <v>447.0</v>
      </c>
      <c r="L79" s="5">
        <v>-1.933744</v>
      </c>
      <c r="M79" s="5">
        <v>3.466984</v>
      </c>
      <c r="N79" s="5">
        <v>1.53324</v>
      </c>
      <c r="O79" s="5">
        <v>0.476417</v>
      </c>
    </row>
    <row r="80">
      <c r="A80" s="18" t="str">
        <f>IFERROR(__xludf.DUMMYFUNCTION("""COMPUTED_VALUE"""),"Marco Ammannato")</f>
        <v>Marco Ammannato</v>
      </c>
      <c r="B80" s="19" t="str">
        <f>IFERROR(__xludf.DUMMYFUNCTION("""COMPUTED_VALUE"""),"SCAF")</f>
        <v>SCAF</v>
      </c>
      <c r="C80" s="20">
        <f>IFERROR(__xludf.DUMMYFUNCTION("""COMPUTED_VALUE"""),825.0)</f>
        <v>825</v>
      </c>
      <c r="D80" s="21">
        <f>IFERROR(__xludf.DUMMYFUNCTION("""COMPUTED_VALUE"""),-0.3766461465479593)</f>
        <v>-0.3766461465</v>
      </c>
      <c r="E80" s="21">
        <f>IFERROR(__xludf.DUMMYFUNCTION("""COMPUTED_VALUE"""),1.856398655302146)</f>
        <v>1.856398655</v>
      </c>
      <c r="F80" s="21">
        <f>IFERROR(__xludf.DUMMYFUNCTION("""COMPUTED_VALUE"""),1.4797085087541868)</f>
        <v>1.479708509</v>
      </c>
      <c r="G80" s="23">
        <f>IFERROR(__xludf.DUMMYFUNCTION("""COMPUTED_VALUE"""),0.9209941580212568)</f>
        <v>0.920994158</v>
      </c>
      <c r="H80" s="4"/>
      <c r="I80" s="5" t="s">
        <v>3307</v>
      </c>
      <c r="J80" s="5" t="s">
        <v>3233</v>
      </c>
      <c r="K80" s="24">
        <v>616.0</v>
      </c>
      <c r="L80" s="5">
        <v>0.494672</v>
      </c>
      <c r="M80" s="5">
        <v>1.034351</v>
      </c>
      <c r="N80" s="5">
        <v>1.529023</v>
      </c>
      <c r="O80" s="5">
        <v>0.642772</v>
      </c>
    </row>
    <row r="81">
      <c r="A81" s="12" t="str">
        <f>IFERROR(__xludf.DUMMYFUNCTION("""COMPUTED_VALUE"""),"Josh Hairston")</f>
        <v>Josh Hairston</v>
      </c>
      <c r="B81" s="13" t="str">
        <f>IFERROR(__xludf.DUMMYFUNCTION("""COMPUTED_VALUE"""),"LAT")</f>
        <v>LAT</v>
      </c>
      <c r="C81" s="14">
        <f>IFERROR(__xludf.DUMMYFUNCTION("""COMPUTED_VALUE"""),697.0)</f>
        <v>697</v>
      </c>
      <c r="D81" s="15">
        <f>IFERROR(__xludf.DUMMYFUNCTION("""COMPUTED_VALUE"""),2.071233269325605)</f>
        <v>2.071233269</v>
      </c>
      <c r="E81" s="15">
        <f>IFERROR(__xludf.DUMMYFUNCTION("""COMPUTED_VALUE"""),-0.5944798754271693)</f>
        <v>-0.5944798754</v>
      </c>
      <c r="F81" s="15">
        <f>IFERROR(__xludf.DUMMYFUNCTION("""COMPUTED_VALUE"""),1.4767268938984355)</f>
        <v>1.476726894</v>
      </c>
      <c r="G81" s="17">
        <f>IFERROR(__xludf.DUMMYFUNCTION("""COMPUTED_VALUE"""),0.78731480294299)</f>
        <v>0.7873148029</v>
      </c>
      <c r="H81" s="4"/>
      <c r="I81" s="5" t="s">
        <v>3308</v>
      </c>
      <c r="J81" s="5" t="s">
        <v>644</v>
      </c>
      <c r="K81" s="24">
        <v>576.0</v>
      </c>
      <c r="L81" s="5">
        <v>2.337688</v>
      </c>
      <c r="M81" s="5">
        <v>-0.820556</v>
      </c>
      <c r="N81" s="5">
        <v>1.517132</v>
      </c>
      <c r="O81" s="5">
        <v>0.614596</v>
      </c>
    </row>
    <row r="82">
      <c r="A82" s="18" t="str">
        <f>IFERROR(__xludf.DUMMYFUNCTION("""COMPUTED_VALUE"""),"Juan Marcos Casini")</f>
        <v>Juan Marcos Casini</v>
      </c>
      <c r="B82" s="19" t="str">
        <f>IFERROR(__xludf.DUMMYFUNCTION("""COMPUTED_VALUE"""),"RIET")</f>
        <v>RIET</v>
      </c>
      <c r="C82" s="20">
        <f>IFERROR(__xludf.DUMMYFUNCTION("""COMPUTED_VALUE"""),740.0)</f>
        <v>740</v>
      </c>
      <c r="D82" s="21">
        <f>IFERROR(__xludf.DUMMYFUNCTION("""COMPUTED_VALUE"""),2.0399769814812805)</f>
        <v>2.039976981</v>
      </c>
      <c r="E82" s="21">
        <f>IFERROR(__xludf.DUMMYFUNCTION("""COMPUTED_VALUE"""),-0.5665002653313469)</f>
        <v>-0.5665002653</v>
      </c>
      <c r="F82" s="21">
        <f>IFERROR(__xludf.DUMMYFUNCTION("""COMPUTED_VALUE"""),1.4734394161499336)</f>
        <v>1.473439416</v>
      </c>
      <c r="G82" s="23">
        <f>IFERROR(__xludf.DUMMYFUNCTION("""COMPUTED_VALUE"""),0.8765941450752138)</f>
        <v>0.8765941451</v>
      </c>
      <c r="H82" s="4"/>
      <c r="I82" s="5" t="s">
        <v>3309</v>
      </c>
      <c r="J82" s="5" t="s">
        <v>3278</v>
      </c>
      <c r="K82" s="5">
        <v>539.0</v>
      </c>
      <c r="L82" s="5">
        <v>-0.737595</v>
      </c>
      <c r="M82" s="5">
        <v>2.215248</v>
      </c>
      <c r="N82" s="5">
        <v>1.477652</v>
      </c>
      <c r="O82" s="5">
        <v>0.565542</v>
      </c>
    </row>
    <row r="83">
      <c r="A83" s="12" t="str">
        <f>IFERROR(__xludf.DUMMYFUNCTION("""COMPUTED_VALUE"""),"David Bell")</f>
        <v>David Bell</v>
      </c>
      <c r="B83" s="13" t="str">
        <f>IFERROR(__xludf.DUMMYFUNCTION("""COMPUTED_VALUE"""),"IMOL")</f>
        <v>IMOL</v>
      </c>
      <c r="C83" s="14">
        <f>IFERROR(__xludf.DUMMYFUNCTION("""COMPUTED_VALUE"""),868.0)</f>
        <v>868</v>
      </c>
      <c r="D83" s="15">
        <f>IFERROR(__xludf.DUMMYFUNCTION("""COMPUTED_VALUE"""),1.8358182410340915)</f>
        <v>1.835818241</v>
      </c>
      <c r="E83" s="15">
        <f>IFERROR(__xludf.DUMMYFUNCTION("""COMPUTED_VALUE"""),-0.4248157467115001)</f>
        <v>-0.4248157467</v>
      </c>
      <c r="F83" s="15">
        <f>IFERROR(__xludf.DUMMYFUNCTION("""COMPUTED_VALUE"""),1.4109603943225915)</f>
        <v>1.410960394</v>
      </c>
      <c r="G83" s="17">
        <f>IFERROR(__xludf.DUMMYFUNCTION("""COMPUTED_VALUE"""),0.9026986921561007)</f>
        <v>0.9026986922</v>
      </c>
      <c r="H83" s="4"/>
      <c r="I83" s="5" t="s">
        <v>830</v>
      </c>
      <c r="J83" s="5" t="s">
        <v>3226</v>
      </c>
      <c r="K83" s="5">
        <v>488.0</v>
      </c>
      <c r="L83" s="5">
        <v>1.414904</v>
      </c>
      <c r="M83" s="5">
        <v>-0.028614</v>
      </c>
      <c r="N83" s="5">
        <v>1.386289</v>
      </c>
      <c r="O83" s="5">
        <v>0.503831</v>
      </c>
    </row>
    <row r="84">
      <c r="A84" s="18" t="str">
        <f>IFERROR(__xludf.DUMMYFUNCTION("""COMPUTED_VALUE"""),"Troy Caupain")</f>
        <v>Troy Caupain</v>
      </c>
      <c r="B84" s="19" t="str">
        <f>IFERROR(__xludf.DUMMYFUNCTION("""COMPUTED_VALUE"""),"AMIC")</f>
        <v>AMIC</v>
      </c>
      <c r="C84" s="20">
        <f>IFERROR(__xludf.DUMMYFUNCTION("""COMPUTED_VALUE"""),314.0)</f>
        <v>314</v>
      </c>
      <c r="D84" s="21">
        <f>IFERROR(__xludf.DUMMYFUNCTION("""COMPUTED_VALUE"""),-0.17611113023305452)</f>
        <v>-0.1761111302</v>
      </c>
      <c r="E84" s="21">
        <f>IFERROR(__xludf.DUMMYFUNCTION("""COMPUTED_VALUE"""),1.5468028129041553)</f>
        <v>1.546802813</v>
      </c>
      <c r="F84" s="21">
        <f>IFERROR(__xludf.DUMMYFUNCTION("""COMPUTED_VALUE"""),1.3706546826711008)</f>
        <v>1.370654683</v>
      </c>
      <c r="G84" s="23">
        <f>IFERROR(__xludf.DUMMYFUNCTION("""COMPUTED_VALUE"""),0.3202319640452207)</f>
        <v>0.320231964</v>
      </c>
      <c r="H84" s="4"/>
      <c r="I84" s="5" t="s">
        <v>3310</v>
      </c>
      <c r="J84" s="5" t="s">
        <v>3210</v>
      </c>
      <c r="K84" s="5">
        <v>741.0</v>
      </c>
      <c r="L84" s="5">
        <v>1.481786</v>
      </c>
      <c r="M84" s="5">
        <v>-0.131268</v>
      </c>
      <c r="N84" s="5">
        <v>1.350518</v>
      </c>
      <c r="O84" s="5">
        <v>0.747059</v>
      </c>
    </row>
    <row r="85">
      <c r="A85" s="12" t="str">
        <f>IFERROR(__xludf.DUMMYFUNCTION("""COMPUTED_VALUE"""),"Ken Brown")</f>
        <v>Ken Brown</v>
      </c>
      <c r="B85" s="13" t="str">
        <f>IFERROR(__xludf.DUMMYFUNCTION("""COMPUTED_VALUE"""),"JES")</f>
        <v>JES</v>
      </c>
      <c r="C85" s="14">
        <f>IFERROR(__xludf.DUMMYFUNCTION("""COMPUTED_VALUE"""),536.0)</f>
        <v>536</v>
      </c>
      <c r="D85" s="15">
        <f>IFERROR(__xludf.DUMMYFUNCTION("""COMPUTED_VALUE"""),1.4699483090724013)</f>
        <v>1.469948309</v>
      </c>
      <c r="E85" s="15">
        <f>IFERROR(__xludf.DUMMYFUNCTION("""COMPUTED_VALUE"""),-0.11881340208649702)</f>
        <v>-0.1188134021</v>
      </c>
      <c r="F85" s="15">
        <f>IFERROR(__xludf.DUMMYFUNCTION("""COMPUTED_VALUE"""),1.3510954069859042)</f>
        <v>1.351095407</v>
      </c>
      <c r="G85" s="17">
        <f>IFERROR(__xludf.DUMMYFUNCTION("""COMPUTED_VALUE"""),0.5741902541677161)</f>
        <v>0.5741902542</v>
      </c>
      <c r="H85" s="4"/>
      <c r="I85" s="5" t="s">
        <v>3311</v>
      </c>
      <c r="J85" s="5" t="s">
        <v>3205</v>
      </c>
      <c r="K85" s="5">
        <v>47.0</v>
      </c>
      <c r="L85" s="5">
        <v>1.549044</v>
      </c>
      <c r="M85" s="5">
        <v>-0.351315</v>
      </c>
      <c r="N85" s="5">
        <v>1.197729</v>
      </c>
      <c r="O85" s="5">
        <v>0.045489</v>
      </c>
    </row>
    <row r="86">
      <c r="A86" s="18" t="str">
        <f>IFERROR(__xludf.DUMMYFUNCTION("""COMPUTED_VALUE"""),"Kerry Carter")</f>
        <v>Kerry Carter</v>
      </c>
      <c r="B86" s="19" t="str">
        <f>IFERROR(__xludf.DUMMYFUNCTION("""COMPUTED_VALUE"""),"COUR")</f>
        <v>COUR</v>
      </c>
      <c r="C86" s="20">
        <f>IFERROR(__xludf.DUMMYFUNCTION("""COMPUTED_VALUE"""),390.0)</f>
        <v>390</v>
      </c>
      <c r="D86" s="21">
        <f>IFERROR(__xludf.DUMMYFUNCTION("""COMPUTED_VALUE"""),4.393501508282321)</f>
        <v>4.393501508</v>
      </c>
      <c r="E86" s="21">
        <f>IFERROR(__xludf.DUMMYFUNCTION("""COMPUTED_VALUE"""),-3.10092917969309)</f>
        <v>-3.10092918</v>
      </c>
      <c r="F86" s="21">
        <f>IFERROR(__xludf.DUMMYFUNCTION("""COMPUTED_VALUE"""),1.2925344285892308)</f>
        <v>1.292534429</v>
      </c>
      <c r="G86" s="23">
        <f>IFERROR(__xludf.DUMMYFUNCTION("""COMPUTED_VALUE"""),0.45415208514732025)</f>
        <v>0.4541520851</v>
      </c>
      <c r="H86" s="4"/>
      <c r="I86" s="5" t="s">
        <v>1075</v>
      </c>
      <c r="J86" s="5" t="s">
        <v>3217</v>
      </c>
      <c r="K86" s="24">
        <v>272.0</v>
      </c>
      <c r="L86" s="5">
        <v>2.198058</v>
      </c>
      <c r="M86" s="5">
        <v>-1.024333</v>
      </c>
      <c r="N86" s="5">
        <v>1.173725</v>
      </c>
      <c r="O86" s="5">
        <v>0.259618</v>
      </c>
    </row>
    <row r="87">
      <c r="A87" s="12" t="str">
        <f>IFERROR(__xludf.DUMMYFUNCTION("""COMPUTED_VALUE"""),"Daniele Cavaliero")</f>
        <v>Daniele Cavaliero</v>
      </c>
      <c r="B87" s="13" t="str">
        <f>IFERROR(__xludf.DUMMYFUNCTION("""COMPUTED_VALUE"""),"TRIE")</f>
        <v>TRIE</v>
      </c>
      <c r="C87" s="14">
        <f>IFERROR(__xludf.DUMMYFUNCTION("""COMPUTED_VALUE"""),991.0)</f>
        <v>991</v>
      </c>
      <c r="D87" s="15">
        <f>IFERROR(__xludf.DUMMYFUNCTION("""COMPUTED_VALUE"""),1.5544776050003835)</f>
        <v>1.554477605</v>
      </c>
      <c r="E87" s="15">
        <f>IFERROR(__xludf.DUMMYFUNCTION("""COMPUTED_VALUE"""),-0.26468912832879354)</f>
        <v>-0.2646891283</v>
      </c>
      <c r="F87" s="15">
        <f>IFERROR(__xludf.DUMMYFUNCTION("""COMPUTED_VALUE"""),1.28975157667159)</f>
        <v>1.289751577</v>
      </c>
      <c r="G87" s="17">
        <f>IFERROR(__xludf.DUMMYFUNCTION("""COMPUTED_VALUE"""),1.0054078542275584)</f>
        <v>1.005407854</v>
      </c>
      <c r="H87" s="4"/>
      <c r="I87" s="5" t="s">
        <v>1141</v>
      </c>
      <c r="J87" s="5" t="s">
        <v>3256</v>
      </c>
      <c r="K87" s="5">
        <v>584.0</v>
      </c>
      <c r="L87" s="5">
        <v>2.493736</v>
      </c>
      <c r="M87" s="5">
        <v>-1.362994</v>
      </c>
      <c r="N87" s="5">
        <v>1.130742</v>
      </c>
      <c r="O87" s="5">
        <v>0.555201</v>
      </c>
    </row>
    <row r="88">
      <c r="A88" s="18" t="str">
        <f>IFERROR(__xludf.DUMMYFUNCTION("""COMPUTED_VALUE"""),"Pierpaolo Marini")</f>
        <v>Pierpaolo Marini</v>
      </c>
      <c r="B88" s="19" t="str">
        <f>IFERROR(__xludf.DUMMYFUNCTION("""COMPUTED_VALUE"""),"JES")</f>
        <v>JES</v>
      </c>
      <c r="C88" s="20">
        <f>IFERROR(__xludf.DUMMYFUNCTION("""COMPUTED_VALUE"""),1109.0)</f>
        <v>1109</v>
      </c>
      <c r="D88" s="21">
        <f>IFERROR(__xludf.DUMMYFUNCTION("""COMPUTED_VALUE"""),0.5506249921898952)</f>
        <v>0.5506249922</v>
      </c>
      <c r="E88" s="21">
        <f>IFERROR(__xludf.DUMMYFUNCTION("""COMPUTED_VALUE"""),0.6695029772560286)</f>
        <v>0.6695029773</v>
      </c>
      <c r="F88" s="21">
        <f>IFERROR(__xludf.DUMMYFUNCTION("""COMPUTED_VALUE"""),1.2201064694459238)</f>
        <v>1.220106469</v>
      </c>
      <c r="G88" s="23">
        <f>IFERROR(__xludf.DUMMYFUNCTION("""COMPUTED_VALUE"""),1.1415220759731153)</f>
        <v>1.141522076</v>
      </c>
      <c r="H88" s="4"/>
      <c r="I88" s="5" t="s">
        <v>3312</v>
      </c>
      <c r="J88" s="5" t="s">
        <v>3207</v>
      </c>
      <c r="K88" s="5">
        <v>139.0</v>
      </c>
      <c r="L88" s="5">
        <v>-0.912345</v>
      </c>
      <c r="M88" s="5">
        <v>2.003968</v>
      </c>
      <c r="N88" s="5">
        <v>1.091623</v>
      </c>
      <c r="O88" s="5">
        <v>0.128371</v>
      </c>
    </row>
    <row r="89">
      <c r="A89" s="12" t="str">
        <f>IFERROR(__xludf.DUMMYFUNCTION("""COMPUTED_VALUE"""),"J.J. Frazier")</f>
        <v>J.J. Frazier</v>
      </c>
      <c r="B89" s="13" t="str">
        <f>IFERROR(__xludf.DUMMYFUNCTION("""COMPUTED_VALUE"""),"TREV")</f>
        <v>TREV</v>
      </c>
      <c r="C89" s="14">
        <f>IFERROR(__xludf.DUMMYFUNCTION("""COMPUTED_VALUE"""),260.0)</f>
        <v>260</v>
      </c>
      <c r="D89" s="15">
        <f>IFERROR(__xludf.DUMMYFUNCTION("""COMPUTED_VALUE"""),3.592671151166665)</f>
        <v>3.592671151</v>
      </c>
      <c r="E89" s="15">
        <f>IFERROR(__xludf.DUMMYFUNCTION("""COMPUTED_VALUE"""),-2.4300370088669023)</f>
        <v>-2.430037009</v>
      </c>
      <c r="F89" s="15">
        <f>IFERROR(__xludf.DUMMYFUNCTION("""COMPUTED_VALUE"""),1.1626050422997631)</f>
        <v>1.162605042</v>
      </c>
      <c r="G89" s="17">
        <f>IFERROR(__xludf.DUMMYFUNCTION("""COMPUTED_VALUE"""),0.5019640279981901)</f>
        <v>0.501964028</v>
      </c>
      <c r="H89" s="4"/>
      <c r="I89" s="5" t="s">
        <v>926</v>
      </c>
      <c r="J89" s="5" t="s">
        <v>3240</v>
      </c>
      <c r="K89" s="24">
        <v>736.0</v>
      </c>
      <c r="L89" s="5">
        <v>-1.765328</v>
      </c>
      <c r="M89" s="5">
        <v>2.703289</v>
      </c>
      <c r="N89" s="5">
        <v>0.937961</v>
      </c>
      <c r="O89" s="5">
        <v>0.65957</v>
      </c>
    </row>
    <row r="90">
      <c r="A90" s="18" t="str">
        <f>IFERROR(__xludf.DUMMYFUNCTION("""COMPUTED_VALUE"""),"Aaron Thomas")</f>
        <v>Aaron Thomas</v>
      </c>
      <c r="B90" s="19" t="str">
        <f>IFERROR(__xludf.DUMMYFUNCTION("""COMPUTED_VALUE"""),"ROM")</f>
        <v>ROM</v>
      </c>
      <c r="C90" s="20">
        <f>IFERROR(__xludf.DUMMYFUNCTION("""COMPUTED_VALUE"""),1017.0)</f>
        <v>1017</v>
      </c>
      <c r="D90" s="21">
        <f>IFERROR(__xludf.DUMMYFUNCTION("""COMPUTED_VALUE"""),1.7482404013047685)</f>
        <v>1.748240401</v>
      </c>
      <c r="E90" s="21">
        <f>IFERROR(__xludf.DUMMYFUNCTION("""COMPUTED_VALUE"""),-0.6048599239147873)</f>
        <v>-0.6048599239</v>
      </c>
      <c r="F90" s="21">
        <f>IFERROR(__xludf.DUMMYFUNCTION("""COMPUTED_VALUE"""),1.1433753773899813)</f>
        <v>1.143375377</v>
      </c>
      <c r="G90" s="23">
        <f>IFERROR(__xludf.DUMMYFUNCTION("""COMPUTED_VALUE"""),0.9599086172317159)</f>
        <v>0.9599086172</v>
      </c>
      <c r="H90" s="4"/>
      <c r="I90" s="5" t="s">
        <v>3313</v>
      </c>
      <c r="J90" s="5" t="s">
        <v>3212</v>
      </c>
      <c r="K90" s="5">
        <v>629.0</v>
      </c>
      <c r="L90" s="5">
        <v>0.972213</v>
      </c>
      <c r="M90" s="5">
        <v>-0.05651</v>
      </c>
      <c r="N90" s="5">
        <v>0.915703</v>
      </c>
      <c r="O90" s="5">
        <v>0.557219</v>
      </c>
    </row>
    <row r="91">
      <c r="A91" s="12" t="str">
        <f>IFERROR(__xludf.DUMMYFUNCTION("""COMPUTED_VALUE"""),"Yuval Naimy")</f>
        <v>Yuval Naimy</v>
      </c>
      <c r="B91" s="13" t="str">
        <f>IFERROR(__xludf.DUMMYFUNCTION("""COMPUTED_VALUE"""),"FOR")</f>
        <v>FOR</v>
      </c>
      <c r="C91" s="14">
        <f>IFERROR(__xludf.DUMMYFUNCTION("""COMPUTED_VALUE"""),936.0)</f>
        <v>936</v>
      </c>
      <c r="D91" s="15">
        <f>IFERROR(__xludf.DUMMYFUNCTION("""COMPUTED_VALUE"""),2.0381173620696345)</f>
        <v>2.038117362</v>
      </c>
      <c r="E91" s="15">
        <f>IFERROR(__xludf.DUMMYFUNCTION("""COMPUTED_VALUE"""),-0.9737934668014651)</f>
        <v>-0.9737934668</v>
      </c>
      <c r="F91" s="15">
        <f>IFERROR(__xludf.DUMMYFUNCTION("""COMPUTED_VALUE"""),1.0643061952681694)</f>
        <v>1.064306195</v>
      </c>
      <c r="G91" s="17">
        <f>IFERROR(__xludf.DUMMYFUNCTION("""COMPUTED_VALUE"""),0.8672392073889357)</f>
        <v>0.8672392074</v>
      </c>
      <c r="H91" s="4"/>
      <c r="I91" s="5" t="s">
        <v>3314</v>
      </c>
      <c r="J91" s="5" t="s">
        <v>2838</v>
      </c>
      <c r="K91" s="5">
        <v>681.0</v>
      </c>
      <c r="L91" s="5">
        <v>-0.775011</v>
      </c>
      <c r="M91" s="5">
        <v>1.690576</v>
      </c>
      <c r="N91" s="5">
        <v>0.915565</v>
      </c>
      <c r="O91" s="5">
        <v>0.59447</v>
      </c>
    </row>
    <row r="92">
      <c r="A92" s="18" t="str">
        <f>IFERROR(__xludf.DUMMYFUNCTION("""COMPUTED_VALUE"""),"Luca Severini")</f>
        <v>Luca Severini</v>
      </c>
      <c r="B92" s="19" t="str">
        <f>IFERROR(__xludf.DUMMYFUNCTION("""COMPUTED_VALUE"""),"NCM")</f>
        <v>NCM</v>
      </c>
      <c r="C92" s="20">
        <f>IFERROR(__xludf.DUMMYFUNCTION("""COMPUTED_VALUE"""),971.0)</f>
        <v>971</v>
      </c>
      <c r="D92" s="21">
        <f>IFERROR(__xludf.DUMMYFUNCTION("""COMPUTED_VALUE"""),-1.565338861341959)</f>
        <v>-1.565338861</v>
      </c>
      <c r="E92" s="21">
        <f>IFERROR(__xludf.DUMMYFUNCTION("""COMPUTED_VALUE"""),2.6004469555290752)</f>
        <v>2.600446956</v>
      </c>
      <c r="F92" s="21">
        <f>IFERROR(__xludf.DUMMYFUNCTION("""COMPUTED_VALUE"""),1.0351000941871165)</f>
        <v>1.035100094</v>
      </c>
      <c r="G92" s="23">
        <f>IFERROR(__xludf.DUMMYFUNCTION("""COMPUTED_VALUE"""),0.9086041812517544)</f>
        <v>0.9086041813</v>
      </c>
      <c r="H92" s="4"/>
      <c r="I92" s="5" t="s">
        <v>894</v>
      </c>
      <c r="J92" s="5" t="s">
        <v>3256</v>
      </c>
      <c r="K92" s="5">
        <v>577.0</v>
      </c>
      <c r="L92" s="5">
        <v>0.405952</v>
      </c>
      <c r="M92" s="5">
        <v>0.458488</v>
      </c>
      <c r="N92" s="5">
        <v>0.864439</v>
      </c>
      <c r="O92" s="5">
        <v>0.501455</v>
      </c>
    </row>
    <row r="93">
      <c r="A93" s="12" t="str">
        <f>IFERROR(__xludf.DUMMYFUNCTION("""COMPUTED_VALUE"""),"LaMarshall Corbett")</f>
        <v>LaMarshall Corbett</v>
      </c>
      <c r="B93" s="13" t="str">
        <f>IFERROR(__xludf.DUMMYFUNCTION("""COMPUTED_VALUE"""),"POD")</f>
        <v>POD</v>
      </c>
      <c r="C93" s="14">
        <f>IFERROR(__xludf.DUMMYFUNCTION("""COMPUTED_VALUE"""),1287.0)</f>
        <v>1287</v>
      </c>
      <c r="D93" s="15">
        <f>IFERROR(__xludf.DUMMYFUNCTION("""COMPUTED_VALUE"""),1.9931370201279566)</f>
        <v>1.99313702</v>
      </c>
      <c r="E93" s="15">
        <f>IFERROR(__xludf.DUMMYFUNCTION("""COMPUTED_VALUE"""),-0.9896236834180663)</f>
        <v>-0.9896236834</v>
      </c>
      <c r="F93" s="15">
        <f>IFERROR(__xludf.DUMMYFUNCTION("""COMPUTED_VALUE"""),1.0034786367098902)</f>
        <v>1.003478637</v>
      </c>
      <c r="G93" s="17">
        <f>IFERROR(__xludf.DUMMYFUNCTION("""COMPUTED_VALUE"""),1.1855533050825162)</f>
        <v>1.185553305</v>
      </c>
      <c r="H93" s="4"/>
      <c r="I93" s="5" t="s">
        <v>3315</v>
      </c>
      <c r="J93" s="5" t="s">
        <v>3278</v>
      </c>
      <c r="K93" s="5">
        <v>394.0</v>
      </c>
      <c r="L93" s="5">
        <v>3.416336</v>
      </c>
      <c r="M93" s="5">
        <v>-2.677949</v>
      </c>
      <c r="N93" s="5">
        <v>0.738386</v>
      </c>
      <c r="O93" s="5">
        <v>0.326155</v>
      </c>
    </row>
    <row r="94">
      <c r="A94" s="18" t="str">
        <f>IFERROR(__xludf.DUMMYFUNCTION("""COMPUTED_VALUE"""),"Simone Pierich")</f>
        <v>Simone Pierich</v>
      </c>
      <c r="B94" s="19" t="str">
        <f>IFERROR(__xludf.DUMMYFUNCTION("""COMPUTED_VALUE"""),"STV")</f>
        <v>STV</v>
      </c>
      <c r="C94" s="20">
        <f>IFERROR(__xludf.DUMMYFUNCTION("""COMPUTED_VALUE"""),298.5)</f>
        <v>298.5</v>
      </c>
      <c r="D94" s="21">
        <f>IFERROR(__xludf.DUMMYFUNCTION("""COMPUTED_VALUE"""),0.8805107483738536)</f>
        <v>0.8805107484</v>
      </c>
      <c r="E94" s="21">
        <f>IFERROR(__xludf.DUMMYFUNCTION("""COMPUTED_VALUE"""),0.11337952960193745)</f>
        <v>0.1133795296</v>
      </c>
      <c r="F94" s="21">
        <f>IFERROR(__xludf.DUMMYFUNCTION("""COMPUTED_VALUE"""),0.993875677975791)</f>
        <v>0.993875678</v>
      </c>
      <c r="G94" s="23">
        <f>IFERROR(__xludf.DUMMYFUNCTION("""COMPUTED_VALUE"""),0.2961895498437307)</f>
        <v>0.2961895498</v>
      </c>
      <c r="H94" s="4"/>
      <c r="I94" s="5" t="s">
        <v>3316</v>
      </c>
      <c r="J94" s="5" t="s">
        <v>3220</v>
      </c>
      <c r="K94" s="24">
        <v>1006.0</v>
      </c>
      <c r="L94" s="5">
        <v>1.677106</v>
      </c>
      <c r="M94" s="5">
        <v>-0.940572</v>
      </c>
      <c r="N94" s="5">
        <v>0.736534</v>
      </c>
      <c r="O94" s="5">
        <v>0.845152</v>
      </c>
    </row>
    <row r="95">
      <c r="A95" s="12" t="str">
        <f>IFERROR(__xludf.DUMMYFUNCTION("""COMPUTED_VALUE"""),"Matteo Imbro")</f>
        <v>Matteo Imbro</v>
      </c>
      <c r="B95" s="13" t="str">
        <f>IFERROR(__xludf.DUMMYFUNCTION("""COMPUTED_VALUE"""),"TREV")</f>
        <v>TREV</v>
      </c>
      <c r="C95" s="14">
        <f>IFERROR(__xludf.DUMMYFUNCTION("""COMPUTED_VALUE"""),917.0)</f>
        <v>917</v>
      </c>
      <c r="D95" s="15">
        <f>IFERROR(__xludf.DUMMYFUNCTION("""COMPUTED_VALUE"""),2.3560066485853257)</f>
        <v>2.356006649</v>
      </c>
      <c r="E95" s="15">
        <f>IFERROR(__xludf.DUMMYFUNCTION("""COMPUTED_VALUE"""),-1.3633549175018917)</f>
        <v>-1.363354918</v>
      </c>
      <c r="F95" s="15">
        <f>IFERROR(__xludf.DUMMYFUNCTION("""COMPUTED_VALUE"""),0.992626331083434)</f>
        <v>0.9926263311</v>
      </c>
      <c r="G95" s="17">
        <f>IFERROR(__xludf.DUMMYFUNCTION("""COMPUTED_VALUE"""),1.6751647453124516)</f>
        <v>1.675164745</v>
      </c>
      <c r="H95" s="4"/>
      <c r="I95" s="5" t="s">
        <v>889</v>
      </c>
      <c r="J95" s="5" t="s">
        <v>3240</v>
      </c>
      <c r="K95" s="5">
        <v>881.0</v>
      </c>
      <c r="L95" s="5">
        <v>-0.635315</v>
      </c>
      <c r="M95" s="5">
        <v>1.354395</v>
      </c>
      <c r="N95" s="5">
        <v>0.71908</v>
      </c>
      <c r="O95" s="5">
        <v>0.730329</v>
      </c>
    </row>
    <row r="96">
      <c r="A96" s="18" t="str">
        <f>IFERROR(__xludf.DUMMYFUNCTION("""COMPUTED_VALUE"""),"Massimo Chessa")</f>
        <v>Massimo Chessa</v>
      </c>
      <c r="B96" s="19" t="str">
        <f>IFERROR(__xludf.DUMMYFUNCTION("""COMPUTED_VALUE"""),"ROM")</f>
        <v>ROM</v>
      </c>
      <c r="C96" s="20">
        <f>IFERROR(__xludf.DUMMYFUNCTION("""COMPUTED_VALUE"""),710.0)</f>
        <v>710</v>
      </c>
      <c r="D96" s="21">
        <f>IFERROR(__xludf.DUMMYFUNCTION("""COMPUTED_VALUE"""),2.054384756814811)</f>
        <v>2.054384757</v>
      </c>
      <c r="E96" s="21">
        <f>IFERROR(__xludf.DUMMYFUNCTION("""COMPUTED_VALUE"""),-1.1027154448693646)</f>
        <v>-1.102715445</v>
      </c>
      <c r="F96" s="21">
        <f>IFERROR(__xludf.DUMMYFUNCTION("""COMPUTED_VALUE"""),0.9516331119454463)</f>
        <v>0.9516331119</v>
      </c>
      <c r="G96" s="23">
        <f>IFERROR(__xludf.DUMMYFUNCTION("""COMPUTED_VALUE"""),0.6292976193715693)</f>
        <v>0.6292976194</v>
      </c>
      <c r="H96" s="4"/>
      <c r="I96" s="5" t="s">
        <v>3108</v>
      </c>
      <c r="J96" s="5" t="s">
        <v>3281</v>
      </c>
      <c r="K96" s="24">
        <v>138.0</v>
      </c>
      <c r="L96" s="5">
        <v>1.216482</v>
      </c>
      <c r="M96" s="5">
        <v>-0.512724</v>
      </c>
      <c r="N96" s="5">
        <v>0.703758</v>
      </c>
      <c r="O96" s="5">
        <v>0.113929</v>
      </c>
    </row>
    <row r="97">
      <c r="A97" s="12" t="str">
        <f>IFERROR(__xludf.DUMMYFUNCTION("""COMPUTED_VALUE"""),"Federico Mussini")</f>
        <v>Federico Mussini</v>
      </c>
      <c r="B97" s="13" t="str">
        <f>IFERROR(__xludf.DUMMYFUNCTION("""COMPUTED_VALUE"""),"TRIE")</f>
        <v>TRIE</v>
      </c>
      <c r="C97" s="14">
        <f>IFERROR(__xludf.DUMMYFUNCTION("""COMPUTED_VALUE"""),415.0)</f>
        <v>415</v>
      </c>
      <c r="D97" s="15">
        <f>IFERROR(__xludf.DUMMYFUNCTION("""COMPUTED_VALUE"""),0.9711424894635968)</f>
        <v>0.9711424895</v>
      </c>
      <c r="E97" s="15">
        <f>IFERROR(__xludf.DUMMYFUNCTION("""COMPUTED_VALUE"""),-0.024105008854812163)</f>
        <v>-0.02410500885</v>
      </c>
      <c r="F97" s="15">
        <f>IFERROR(__xludf.DUMMYFUNCTION("""COMPUTED_VALUE"""),0.9470195806087847)</f>
        <v>0.9470195806</v>
      </c>
      <c r="G97" s="17">
        <f>IFERROR(__xludf.DUMMYFUNCTION("""COMPUTED_VALUE"""),0.3771736158811074)</f>
        <v>0.3771736159</v>
      </c>
      <c r="H97" s="4"/>
      <c r="I97" s="5" t="s">
        <v>3317</v>
      </c>
      <c r="J97" s="5" t="s">
        <v>3210</v>
      </c>
      <c r="K97" s="5">
        <v>5.0</v>
      </c>
      <c r="L97" s="5">
        <v>0.231054</v>
      </c>
      <c r="M97" s="5">
        <v>0.375675</v>
      </c>
      <c r="N97" s="5">
        <v>0.606729</v>
      </c>
      <c r="O97" s="5">
        <v>0.003687</v>
      </c>
    </row>
    <row r="98">
      <c r="A98" s="18" t="str">
        <f>IFERROR(__xludf.DUMMYFUNCTION("""COMPUTED_VALUE"""),"Eugenio Fanti")</f>
        <v>Eugenio Fanti</v>
      </c>
      <c r="B98" s="19" t="str">
        <f>IFERROR(__xludf.DUMMYFUNCTION("""COMPUTED_VALUE"""),"LEON")</f>
        <v>LEON</v>
      </c>
      <c r="C98" s="20">
        <f>IFERROR(__xludf.DUMMYFUNCTION("""COMPUTED_VALUE"""),422.0)</f>
        <v>422</v>
      </c>
      <c r="D98" s="21">
        <f>IFERROR(__xludf.DUMMYFUNCTION("""COMPUTED_VALUE"""),-1.1787523893005358)</f>
        <v>-1.178752389</v>
      </c>
      <c r="E98" s="21">
        <f>IFERROR(__xludf.DUMMYFUNCTION("""COMPUTED_VALUE"""),2.1208760039611816)</f>
        <v>2.120876004</v>
      </c>
      <c r="F98" s="21">
        <f>IFERROR(__xludf.DUMMYFUNCTION("""COMPUTED_VALUE"""),0.9420930146606458)</f>
        <v>0.9420930147</v>
      </c>
      <c r="G98" s="23">
        <f>IFERROR(__xludf.DUMMYFUNCTION("""COMPUTED_VALUE"""),0.4366647037365368)</f>
        <v>0.4366647037</v>
      </c>
      <c r="H98" s="4"/>
      <c r="I98" s="5" t="s">
        <v>3318</v>
      </c>
      <c r="J98" s="5" t="s">
        <v>3210</v>
      </c>
      <c r="K98" s="24">
        <v>629.0</v>
      </c>
      <c r="L98" s="5">
        <v>2.858107</v>
      </c>
      <c r="M98" s="5">
        <v>-2.290365</v>
      </c>
      <c r="N98" s="5">
        <v>0.567742</v>
      </c>
      <c r="O98" s="5">
        <v>0.485758</v>
      </c>
    </row>
    <row r="99">
      <c r="A99" s="12" t="str">
        <f>IFERROR(__xludf.DUMMYFUNCTION("""COMPUTED_VALUE"""),"Chris Davenport")</f>
        <v>Chris Davenport</v>
      </c>
      <c r="B99" s="13" t="str">
        <f>IFERROR(__xludf.DUMMYFUNCTION("""COMPUTED_VALUE"""),"RIET")</f>
        <v>RIET</v>
      </c>
      <c r="C99" s="14">
        <f>IFERROR(__xludf.DUMMYFUNCTION("""COMPUTED_VALUE"""),177.0)</f>
        <v>177</v>
      </c>
      <c r="D99" s="15">
        <f>IFERROR(__xludf.DUMMYFUNCTION("""COMPUTED_VALUE"""),0.20068588327605763)</f>
        <v>0.2006858833</v>
      </c>
      <c r="E99" s="15">
        <f>IFERROR(__xludf.DUMMYFUNCTION("""COMPUTED_VALUE"""),0.7354854127326026)</f>
        <v>0.7354854127</v>
      </c>
      <c r="F99" s="15">
        <f>IFERROR(__xludf.DUMMYFUNCTION("""COMPUTED_VALUE"""),0.9361379960086602)</f>
        <v>0.936137996</v>
      </c>
      <c r="G99" s="17">
        <f>IFERROR(__xludf.DUMMYFUNCTION("""COMPUTED_VALUE"""),0.17726376096385552)</f>
        <v>0.177263761</v>
      </c>
      <c r="H99" s="4"/>
      <c r="I99" s="5" t="s">
        <v>3319</v>
      </c>
      <c r="J99" s="5" t="s">
        <v>644</v>
      </c>
      <c r="K99" s="24">
        <v>593.0</v>
      </c>
      <c r="L99" s="5">
        <v>0.619569</v>
      </c>
      <c r="M99" s="5">
        <v>-0.064266</v>
      </c>
      <c r="N99" s="5">
        <v>0.555303</v>
      </c>
      <c r="O99" s="5">
        <v>0.46002</v>
      </c>
    </row>
    <row r="100">
      <c r="A100" s="18" t="str">
        <f>IFERROR(__xludf.DUMMYFUNCTION("""COMPUTED_VALUE"""),"DeShawn Stephens")</f>
        <v>DeShawn Stephens</v>
      </c>
      <c r="B100" s="19" t="str">
        <f>IFERROR(__xludf.DUMMYFUNCTION("""COMPUTED_VALUE"""),"CAGL")</f>
        <v>CAGL</v>
      </c>
      <c r="C100" s="20">
        <f>IFERROR(__xludf.DUMMYFUNCTION("""COMPUTED_VALUE"""),913.0)</f>
        <v>913</v>
      </c>
      <c r="D100" s="21">
        <f>IFERROR(__xludf.DUMMYFUNCTION("""COMPUTED_VALUE"""),1.5406279876364533)</f>
        <v>1.540627988</v>
      </c>
      <c r="E100" s="21">
        <f>IFERROR(__xludf.DUMMYFUNCTION("""COMPUTED_VALUE"""),-0.6336044286556979)</f>
        <v>-0.6336044287</v>
      </c>
      <c r="F100" s="21">
        <f>IFERROR(__xludf.DUMMYFUNCTION("""COMPUTED_VALUE"""),0.9070174589807554)</f>
        <v>0.907017459</v>
      </c>
      <c r="G100" s="23">
        <f>IFERROR(__xludf.DUMMYFUNCTION("""COMPUTED_VALUE"""),0.8058274561530502)</f>
        <v>0.8058274562</v>
      </c>
      <c r="H100" s="4"/>
      <c r="I100" s="5" t="s">
        <v>3320</v>
      </c>
      <c r="J100" s="5" t="s">
        <v>3256</v>
      </c>
      <c r="K100" s="5">
        <v>5.0</v>
      </c>
      <c r="L100" s="5">
        <v>-0.013611</v>
      </c>
      <c r="M100" s="5">
        <v>0.5484</v>
      </c>
      <c r="N100" s="5">
        <v>0.53479</v>
      </c>
      <c r="O100" s="5">
        <v>0.003462</v>
      </c>
    </row>
    <row r="101">
      <c r="A101" s="12" t="str">
        <f>IFERROR(__xludf.DUMMYFUNCTION("""COMPUTED_VALUE"""),"Daniele Sandri")</f>
        <v>Daniele Sandri</v>
      </c>
      <c r="B101" s="13" t="str">
        <f>IFERROR(__xludf.DUMMYFUNCTION("""COMPUTED_VALUE"""),"SANA")</f>
        <v>SANA</v>
      </c>
      <c r="C101" s="14">
        <f>IFERROR(__xludf.DUMMYFUNCTION("""COMPUTED_VALUE"""),845.0)</f>
        <v>845</v>
      </c>
      <c r="D101" s="15">
        <f>IFERROR(__xludf.DUMMYFUNCTION("""COMPUTED_VALUE"""),0.8022839253241987)</f>
        <v>0.8022839253</v>
      </c>
      <c r="E101" s="15">
        <f>IFERROR(__xludf.DUMMYFUNCTION("""COMPUTED_VALUE"""),0.0994716006757181)</f>
        <v>0.09947160068</v>
      </c>
      <c r="F101" s="15">
        <f>IFERROR(__xludf.DUMMYFUNCTION("""COMPUTED_VALUE"""),0.9017461259999168)</f>
        <v>0.901746126</v>
      </c>
      <c r="G101" s="17">
        <f>IFERROR(__xludf.DUMMYFUNCTION("""COMPUTED_VALUE"""),0.7458226679651738)</f>
        <v>0.745822668</v>
      </c>
      <c r="H101" s="4"/>
      <c r="I101" s="5" t="s">
        <v>3321</v>
      </c>
      <c r="J101" s="5" t="s">
        <v>3212</v>
      </c>
      <c r="K101" s="5">
        <v>110.0</v>
      </c>
      <c r="L101" s="5">
        <v>0.201037</v>
      </c>
      <c r="M101" s="5">
        <v>0.332188</v>
      </c>
      <c r="N101" s="5">
        <v>0.533225</v>
      </c>
      <c r="O101" s="5">
        <v>0.084406</v>
      </c>
    </row>
    <row r="102">
      <c r="A102" s="18" t="str">
        <f>IFERROR(__xludf.DUMMYFUNCTION("""COMPUTED_VALUE"""),"Alessandro Cittadini")</f>
        <v>Alessandro Cittadini</v>
      </c>
      <c r="B102" s="19" t="str">
        <f>IFERROR(__xludf.DUMMYFUNCTION("""COMPUTED_VALUE"""),"TRIE")</f>
        <v>TRIE</v>
      </c>
      <c r="C102" s="20">
        <f>IFERROR(__xludf.DUMMYFUNCTION("""COMPUTED_VALUE"""),691.0)</f>
        <v>691</v>
      </c>
      <c r="D102" s="21">
        <f>IFERROR(__xludf.DUMMYFUNCTION("""COMPUTED_VALUE"""),-0.9633929826616922)</f>
        <v>-0.9633929827</v>
      </c>
      <c r="E102" s="21">
        <f>IFERROR(__xludf.DUMMYFUNCTION("""COMPUTED_VALUE"""),1.8508376226591108)</f>
        <v>1.850837623</v>
      </c>
      <c r="F102" s="21">
        <f>IFERROR(__xludf.DUMMYFUNCTION("""COMPUTED_VALUE"""),0.8874094399974187)</f>
        <v>0.88740944</v>
      </c>
      <c r="G102" s="23">
        <f>IFERROR(__xludf.DUMMYFUNCTION("""COMPUTED_VALUE"""),0.6153197291118694)</f>
        <v>0.6153197291</v>
      </c>
      <c r="H102" s="4"/>
      <c r="I102" s="5" t="s">
        <v>3322</v>
      </c>
      <c r="J102" s="5" t="s">
        <v>3217</v>
      </c>
      <c r="K102" s="5">
        <v>64.0</v>
      </c>
      <c r="L102" s="5">
        <v>0.710399</v>
      </c>
      <c r="M102" s="5">
        <v>-0.180757</v>
      </c>
      <c r="N102" s="5">
        <v>0.529642</v>
      </c>
      <c r="O102" s="5">
        <v>0.048497</v>
      </c>
    </row>
    <row r="103">
      <c r="A103" s="12" t="str">
        <f>IFERROR(__xludf.DUMMYFUNCTION("""COMPUTED_VALUE"""),"Davide Bruttini")</f>
        <v>Davide Bruttini</v>
      </c>
      <c r="B103" s="13" t="str">
        <f>IFERROR(__xludf.DUMMYFUNCTION("""COMPUTED_VALUE"""),"TREV")</f>
        <v>TREV</v>
      </c>
      <c r="C103" s="14">
        <f>IFERROR(__xludf.DUMMYFUNCTION("""COMPUTED_VALUE"""),532.0)</f>
        <v>532</v>
      </c>
      <c r="D103" s="15">
        <f>IFERROR(__xludf.DUMMYFUNCTION("""COMPUTED_VALUE"""),0.31706624177142356)</f>
        <v>0.3170662418</v>
      </c>
      <c r="E103" s="15">
        <f>IFERROR(__xludf.DUMMYFUNCTION("""COMPUTED_VALUE"""),0.5588553099778361)</f>
        <v>0.55885531</v>
      </c>
      <c r="F103" s="15">
        <f>IFERROR(__xludf.DUMMYFUNCTION("""COMPUTED_VALUE"""),0.8758822517492596)</f>
        <v>0.8758822517</v>
      </c>
      <c r="G103" s="17">
        <f>IFERROR(__xludf.DUMMYFUNCTION("""COMPUTED_VALUE"""),0.9339639617182427)</f>
        <v>0.9339639617</v>
      </c>
      <c r="H103" s="4"/>
      <c r="I103" s="5" t="s">
        <v>2598</v>
      </c>
      <c r="J103" s="5" t="s">
        <v>3223</v>
      </c>
      <c r="K103" s="24">
        <v>252.0</v>
      </c>
      <c r="L103" s="5">
        <v>2.735212</v>
      </c>
      <c r="M103" s="5">
        <v>-2.210187</v>
      </c>
      <c r="N103" s="5">
        <v>0.525025</v>
      </c>
      <c r="O103" s="5">
        <v>0.193078</v>
      </c>
    </row>
    <row r="104">
      <c r="A104" s="18" t="str">
        <f>IFERROR(__xludf.DUMMYFUNCTION("""COMPUTED_VALUE"""),"Claudio Tommasini")</f>
        <v>Claudio Tommasini</v>
      </c>
      <c r="B104" s="19" t="str">
        <f>IFERROR(__xludf.DUMMYFUNCTION("""COMPUTED_VALUE"""),"RIET")</f>
        <v>RIET</v>
      </c>
      <c r="C104" s="20">
        <f>IFERROR(__xludf.DUMMYFUNCTION("""COMPUTED_VALUE"""),855.0)</f>
        <v>855</v>
      </c>
      <c r="D104" s="21">
        <f>IFERROR(__xludf.DUMMYFUNCTION("""COMPUTED_VALUE"""),1.0554359944561515)</f>
        <v>1.055435994</v>
      </c>
      <c r="E104" s="21">
        <f>IFERROR(__xludf.DUMMYFUNCTION("""COMPUTED_VALUE"""),-0.2525972431141929)</f>
        <v>-0.2525972431</v>
      </c>
      <c r="F104" s="21">
        <f>IFERROR(__xludf.DUMMYFUNCTION("""COMPUTED_VALUE"""),0.8028342513419586)</f>
        <v>0.8028342513</v>
      </c>
      <c r="G104" s="23">
        <f>IFERROR(__xludf.DUMMYFUNCTION("""COMPUTED_VALUE"""),0.8172493044201774)</f>
        <v>0.8172493044</v>
      </c>
      <c r="H104" s="4"/>
      <c r="I104" s="5" t="s">
        <v>3323</v>
      </c>
      <c r="J104" s="5" t="s">
        <v>3217</v>
      </c>
      <c r="K104" s="5">
        <v>531.0</v>
      </c>
      <c r="L104" s="5">
        <v>-0.810468</v>
      </c>
      <c r="M104" s="5">
        <v>1.330781</v>
      </c>
      <c r="N104" s="5">
        <v>0.520314</v>
      </c>
      <c r="O104" s="5">
        <v>0.402475</v>
      </c>
    </row>
    <row r="105">
      <c r="A105" s="12" t="str">
        <f>IFERROR(__xludf.DUMMYFUNCTION("""COMPUTED_VALUE"""),"Marques Green")</f>
        <v>Marques Green</v>
      </c>
      <c r="B105" s="13" t="str">
        <f>IFERROR(__xludf.DUMMYFUNCTION("""COMPUTED_VALUE"""),"JES")</f>
        <v>JES</v>
      </c>
      <c r="C105" s="14">
        <f>IFERROR(__xludf.DUMMYFUNCTION("""COMPUTED_VALUE"""),584.0)</f>
        <v>584</v>
      </c>
      <c r="D105" s="15">
        <f>IFERROR(__xludf.DUMMYFUNCTION("""COMPUTED_VALUE"""),0.5148559560077217)</f>
        <v>0.514855956</v>
      </c>
      <c r="E105" s="15">
        <f>IFERROR(__xludf.DUMMYFUNCTION("""COMPUTED_VALUE"""),0.2602472421128645)</f>
        <v>0.2602472421</v>
      </c>
      <c r="F105" s="15">
        <f>IFERROR(__xludf.DUMMYFUNCTION("""COMPUTED_VALUE"""),0.7750758981205862)</f>
        <v>0.7750758981</v>
      </c>
      <c r="G105" s="17">
        <f>IFERROR(__xludf.DUMMYFUNCTION("""COMPUTED_VALUE"""),0.5180658391869267)</f>
        <v>0.5180658392</v>
      </c>
      <c r="H105" s="4"/>
      <c r="I105" s="5" t="s">
        <v>3324</v>
      </c>
      <c r="J105" s="5" t="s">
        <v>2838</v>
      </c>
      <c r="K105" s="5">
        <v>501.0</v>
      </c>
      <c r="L105" s="5">
        <v>3.272684</v>
      </c>
      <c r="M105" s="5">
        <v>-2.756733</v>
      </c>
      <c r="N105" s="5">
        <v>0.515951</v>
      </c>
      <c r="O105" s="5">
        <v>0.377319</v>
      </c>
    </row>
    <row r="106">
      <c r="A106" s="18" t="str">
        <f>IFERROR(__xludf.DUMMYFUNCTION("""COMPUTED_VALUE"""),"Francesco Candussi")</f>
        <v>Francesco Candussi</v>
      </c>
      <c r="B106" s="19" t="str">
        <f>IFERROR(__xludf.DUMMYFUNCTION("""COMPUTED_VALUE"""),"MAN")</f>
        <v>MAN</v>
      </c>
      <c r="C106" s="20">
        <f>IFERROR(__xludf.DUMMYFUNCTION("""COMPUTED_VALUE"""),882.0)</f>
        <v>882</v>
      </c>
      <c r="D106" s="21">
        <f>IFERROR(__xludf.DUMMYFUNCTION("""COMPUTED_VALUE"""),0.32514344582422716)</f>
        <v>0.3251434458</v>
      </c>
      <c r="E106" s="21">
        <f>IFERROR(__xludf.DUMMYFUNCTION("""COMPUTED_VALUE"""),0.4450038548332026)</f>
        <v>0.4450038548</v>
      </c>
      <c r="F106" s="21">
        <f>IFERROR(__xludf.DUMMYFUNCTION("""COMPUTED_VALUE"""),0.7701087006574298)</f>
        <v>0.7701087007</v>
      </c>
      <c r="G106" s="23">
        <f>IFERROR(__xludf.DUMMYFUNCTION("""COMPUTED_VALUE"""),0.7708127512144184)</f>
        <v>0.7708127512</v>
      </c>
      <c r="H106" s="4"/>
      <c r="I106" s="5" t="s">
        <v>3325</v>
      </c>
      <c r="J106" s="5" t="s">
        <v>3251</v>
      </c>
      <c r="K106" s="5">
        <v>609.0</v>
      </c>
      <c r="L106" s="5">
        <v>1.671418</v>
      </c>
      <c r="M106" s="5">
        <v>-1.198453</v>
      </c>
      <c r="N106" s="5">
        <v>0.472965</v>
      </c>
      <c r="O106" s="5">
        <v>0.457832</v>
      </c>
    </row>
    <row r="107">
      <c r="A107" s="12" t="str">
        <f>IFERROR(__xludf.DUMMYFUNCTION("""COMPUTED_VALUE"""),"Milos Divac")</f>
        <v>Milos Divac</v>
      </c>
      <c r="B107" s="13" t="str">
        <f>IFERROR(__xludf.DUMMYFUNCTION("""COMPUTED_VALUE"""),"TORT")</f>
        <v>TORT</v>
      </c>
      <c r="C107" s="14">
        <f>IFERROR(__xludf.DUMMYFUNCTION("""COMPUTED_VALUE"""),72.0)</f>
        <v>72</v>
      </c>
      <c r="D107" s="15">
        <f>IFERROR(__xludf.DUMMYFUNCTION("""COMPUTED_VALUE"""),0.7561691773310132)</f>
        <v>0.7561691773</v>
      </c>
      <c r="E107" s="15">
        <f>IFERROR(__xludf.DUMMYFUNCTION("""COMPUTED_VALUE"""),-0.020751449005423223)</f>
        <v>-0.02075144901</v>
      </c>
      <c r="F107" s="15">
        <f>IFERROR(__xludf.DUMMYFUNCTION("""COMPUTED_VALUE"""),0.73538582832559)</f>
        <v>0.7353858283</v>
      </c>
      <c r="G107" s="17">
        <f>IFERROR(__xludf.DUMMYFUNCTION("""COMPUTED_VALUE"""),0.068000105591342)</f>
        <v>0.06800010559</v>
      </c>
      <c r="H107" s="4"/>
      <c r="I107" s="5" t="s">
        <v>3326</v>
      </c>
      <c r="J107" s="5" t="s">
        <v>3281</v>
      </c>
      <c r="K107" s="5">
        <v>598.0</v>
      </c>
      <c r="L107" s="5">
        <v>-0.504816</v>
      </c>
      <c r="M107" s="5">
        <v>0.965622</v>
      </c>
      <c r="N107" s="5">
        <v>0.460806</v>
      </c>
      <c r="O107" s="5">
        <v>0.448455</v>
      </c>
    </row>
    <row r="108">
      <c r="A108" s="18" t="str">
        <f>IFERROR(__xludf.DUMMYFUNCTION("""COMPUTED_VALUE"""),"Tommaso Fantoni")</f>
        <v>Tommaso Fantoni</v>
      </c>
      <c r="B108" s="19" t="str">
        <f>IFERROR(__xludf.DUMMYFUNCTION("""COMPUTED_VALUE"""),"FER")</f>
        <v>FER</v>
      </c>
      <c r="C108" s="20">
        <f>IFERROR(__xludf.DUMMYFUNCTION("""COMPUTED_VALUE"""),1000.0)</f>
        <v>1000</v>
      </c>
      <c r="D108" s="21">
        <f>IFERROR(__xludf.DUMMYFUNCTION("""COMPUTED_VALUE"""),0.3989355002565782)</f>
        <v>0.3989355003</v>
      </c>
      <c r="E108" s="21">
        <f>IFERROR(__xludf.DUMMYFUNCTION("""COMPUTED_VALUE"""),0.3248474931319224)</f>
        <v>0.3248474931</v>
      </c>
      <c r="F108" s="21">
        <f>IFERROR(__xludf.DUMMYFUNCTION("""COMPUTED_VALUE"""),0.7237525933885006)</f>
        <v>0.7237525934</v>
      </c>
      <c r="G108" s="23">
        <f>IFERROR(__xludf.DUMMYFUNCTION("""COMPUTED_VALUE"""),0.8425259356896815)</f>
        <v>0.8425259357</v>
      </c>
      <c r="H108" s="4"/>
      <c r="I108" s="5" t="s">
        <v>3327</v>
      </c>
      <c r="J108" s="5" t="s">
        <v>3263</v>
      </c>
      <c r="K108" s="5">
        <v>43.0</v>
      </c>
      <c r="L108" s="5">
        <v>0.686324</v>
      </c>
      <c r="M108" s="5">
        <v>-0.232806</v>
      </c>
      <c r="N108" s="5">
        <v>0.453518</v>
      </c>
      <c r="O108" s="5">
        <v>0.031857</v>
      </c>
    </row>
    <row r="109">
      <c r="A109" s="12" t="str">
        <f>IFERROR(__xludf.DUMMYFUNCTION("""COMPUTED_VALUE"""),"Jeremiah Wilson")</f>
        <v>Jeremiah Wilson</v>
      </c>
      <c r="B109" s="13" t="str">
        <f>IFERROR(__xludf.DUMMYFUNCTION("""COMPUTED_VALUE"""),"IMOL")</f>
        <v>IMOL</v>
      </c>
      <c r="C109" s="14">
        <f>IFERROR(__xludf.DUMMYFUNCTION("""COMPUTED_VALUE"""),919.0)</f>
        <v>919</v>
      </c>
      <c r="D109" s="15">
        <f>IFERROR(__xludf.DUMMYFUNCTION("""COMPUTED_VALUE"""),0.08457462776366566)</f>
        <v>0.08457462776</v>
      </c>
      <c r="E109" s="15">
        <f>IFERROR(__xludf.DUMMYFUNCTION("""COMPUTED_VALUE"""),0.6033079689770944)</f>
        <v>0.603307969</v>
      </c>
      <c r="F109" s="15">
        <f>IFERROR(__xludf.DUMMYFUNCTION("""COMPUTED_VALUE"""),0.68788129674076)</f>
        <v>0.6878812967</v>
      </c>
      <c r="G109" s="17">
        <f>IFERROR(__xludf.DUMMYFUNCTION("""COMPUTED_VALUE"""),0.7530997486904751)</f>
        <v>0.7530997487</v>
      </c>
      <c r="H109" s="4"/>
      <c r="I109" s="5" t="s">
        <v>3328</v>
      </c>
      <c r="J109" s="5" t="s">
        <v>3278</v>
      </c>
      <c r="K109" s="5">
        <v>790.0</v>
      </c>
      <c r="L109" s="5">
        <v>0.769303</v>
      </c>
      <c r="M109" s="5">
        <v>-0.322163</v>
      </c>
      <c r="N109" s="5">
        <v>0.447139</v>
      </c>
      <c r="O109" s="5">
        <v>0.58345</v>
      </c>
    </row>
    <row r="110">
      <c r="A110" s="18" t="str">
        <f>IFERROR(__xludf.DUMMYFUNCTION("""COMPUTED_VALUE"""),"Ursulo D'Almeida")</f>
        <v>Ursulo D'Almeida</v>
      </c>
      <c r="B110" s="19" t="str">
        <f>IFERROR(__xludf.DUMMYFUNCTION("""COMPUTED_VALUE"""),"TREV")</f>
        <v>TREV</v>
      </c>
      <c r="C110" s="20">
        <f>IFERROR(__xludf.DUMMYFUNCTION("""COMPUTED_VALUE"""),24.0)</f>
        <v>24</v>
      </c>
      <c r="D110" s="21">
        <f>IFERROR(__xludf.DUMMYFUNCTION("""COMPUTED_VALUE"""),0.6626268476464695)</f>
        <v>0.6626268476</v>
      </c>
      <c r="E110" s="21">
        <f>IFERROR(__xludf.DUMMYFUNCTION("""COMPUTED_VALUE"""),0.02206733828138605)</f>
        <v>0.02206733828</v>
      </c>
      <c r="F110" s="21">
        <f>IFERROR(__xludf.DUMMYFUNCTION("""COMPUTED_VALUE"""),0.6846604859278556)</f>
        <v>0.6846604859</v>
      </c>
      <c r="G110" s="23">
        <f>IFERROR(__xludf.DUMMYFUNCTION("""COMPUTED_VALUE"""),0.03936422316090466)</f>
        <v>0.03936422316</v>
      </c>
      <c r="H110" s="4"/>
      <c r="I110" s="5" t="s">
        <v>1006</v>
      </c>
      <c r="J110" s="5" t="s">
        <v>3226</v>
      </c>
      <c r="K110" s="24">
        <v>271.0</v>
      </c>
      <c r="L110" s="5">
        <v>2.170497</v>
      </c>
      <c r="M110" s="5">
        <v>-1.730457</v>
      </c>
      <c r="N110" s="5">
        <v>0.44004</v>
      </c>
      <c r="O110" s="5">
        <v>0.201922</v>
      </c>
    </row>
    <row r="111">
      <c r="A111" s="12" t="str">
        <f>IFERROR(__xludf.DUMMYFUNCTION("""COMPUTED_VALUE"""),"Rain Veideman")</f>
        <v>Rain Veideman</v>
      </c>
      <c r="B111" s="13" t="str">
        <f>IFERROR(__xludf.DUMMYFUNCTION("""COMPUTED_VALUE"""),"AMIC")</f>
        <v>AMIC</v>
      </c>
      <c r="C111" s="14">
        <f>IFERROR(__xludf.DUMMYFUNCTION("""COMPUTED_VALUE"""),828.0)</f>
        <v>828</v>
      </c>
      <c r="D111" s="15">
        <f>IFERROR(__xludf.DUMMYFUNCTION("""COMPUTED_VALUE"""),-0.3297931197997128)</f>
        <v>-0.3297931198</v>
      </c>
      <c r="E111" s="15">
        <f>IFERROR(__xludf.DUMMYFUNCTION("""COMPUTED_VALUE"""),0.9498552562710818)</f>
        <v>0.9498552563</v>
      </c>
      <c r="F111" s="15">
        <f>IFERROR(__xludf.DUMMYFUNCTION("""COMPUTED_VALUE"""),0.620059636471369)</f>
        <v>0.6200596365</v>
      </c>
      <c r="G111" s="17">
        <f>IFERROR(__xludf.DUMMYFUNCTION("""COMPUTED_VALUE"""),0.6563171527709049)</f>
        <v>0.6563171528</v>
      </c>
      <c r="H111" s="4"/>
      <c r="I111" s="5" t="s">
        <v>3221</v>
      </c>
      <c r="J111" s="5" t="s">
        <v>3281</v>
      </c>
      <c r="K111" s="5">
        <v>28.0</v>
      </c>
      <c r="L111" s="5">
        <v>0.485578</v>
      </c>
      <c r="M111" s="5">
        <v>-0.08601</v>
      </c>
      <c r="N111" s="5">
        <v>0.399568</v>
      </c>
      <c r="O111" s="5">
        <v>0.020412</v>
      </c>
    </row>
    <row r="112">
      <c r="A112" s="18" t="str">
        <f>IFERROR(__xludf.DUMMYFUNCTION("""COMPUTED_VALUE"""),"Sylvere Bryan")</f>
        <v>Sylvere Bryan</v>
      </c>
      <c r="B112" s="19" t="str">
        <f>IFERROR(__xludf.DUMMYFUNCTION("""COMPUTED_VALUE"""),"BOL")</f>
        <v>BOL</v>
      </c>
      <c r="C112" s="20">
        <f>IFERROR(__xludf.DUMMYFUNCTION("""COMPUTED_VALUE"""),103.0)</f>
        <v>103</v>
      </c>
      <c r="D112" s="21">
        <f>IFERROR(__xludf.DUMMYFUNCTION("""COMPUTED_VALUE"""),-0.7880465767542552)</f>
        <v>-0.7880465768</v>
      </c>
      <c r="E112" s="21">
        <f>IFERROR(__xludf.DUMMYFUNCTION("""COMPUTED_VALUE"""),1.3685902558466252)</f>
        <v>1.368590256</v>
      </c>
      <c r="F112" s="21">
        <f>IFERROR(__xludf.DUMMYFUNCTION("""COMPUTED_VALUE"""),0.58050447909237)</f>
        <v>0.5805044791</v>
      </c>
      <c r="G112" s="23">
        <f>IFERROR(__xludf.DUMMYFUNCTION("""COMPUTED_VALUE"""),0.08128040054361546)</f>
        <v>0.08128040054</v>
      </c>
      <c r="H112" s="4"/>
      <c r="I112" s="5" t="s">
        <v>3329</v>
      </c>
      <c r="J112" s="5" t="s">
        <v>3210</v>
      </c>
      <c r="K112" s="24">
        <v>219.0</v>
      </c>
      <c r="L112" s="5">
        <v>1.846212</v>
      </c>
      <c r="M112" s="5">
        <v>-1.47944</v>
      </c>
      <c r="N112" s="5">
        <v>0.366772</v>
      </c>
      <c r="O112" s="5">
        <v>0.155679</v>
      </c>
    </row>
    <row r="113">
      <c r="A113" s="12" t="str">
        <f>IFERROR(__xludf.DUMMYFUNCTION("""COMPUTED_VALUE"""),"Giovanni Pini")</f>
        <v>Giovanni Pini</v>
      </c>
      <c r="B113" s="13" t="str">
        <f>IFERROR(__xludf.DUMMYFUNCTION("""COMPUTED_VALUE"""),"BOL")</f>
        <v>BOL</v>
      </c>
      <c r="C113" s="14">
        <f>IFERROR(__xludf.DUMMYFUNCTION("""COMPUTED_VALUE"""),634.0)</f>
        <v>634</v>
      </c>
      <c r="D113" s="15">
        <f>IFERROR(__xludf.DUMMYFUNCTION("""COMPUTED_VALUE"""),-1.55362417258544)</f>
        <v>-1.553624173</v>
      </c>
      <c r="E113" s="15">
        <f>IFERROR(__xludf.DUMMYFUNCTION("""COMPUTED_VALUE"""),2.1281315104707583)</f>
        <v>2.12813151</v>
      </c>
      <c r="F113" s="15">
        <f>IFERROR(__xludf.DUMMYFUNCTION("""COMPUTED_VALUE"""),0.5744928378853185)</f>
        <v>0.5744928379</v>
      </c>
      <c r="G113" s="17">
        <f>IFERROR(__xludf.DUMMYFUNCTION("""COMPUTED_VALUE"""),0.49891672005455734)</f>
        <v>0.4989167201</v>
      </c>
      <c r="H113" s="4"/>
      <c r="I113" s="5" t="s">
        <v>3330</v>
      </c>
      <c r="J113" s="5" t="s">
        <v>3331</v>
      </c>
      <c r="K113" s="5">
        <v>838.0</v>
      </c>
      <c r="L113" s="5">
        <v>-0.351086</v>
      </c>
      <c r="M113" s="5">
        <v>0.710362</v>
      </c>
      <c r="N113" s="5">
        <v>0.359276</v>
      </c>
      <c r="O113" s="5">
        <v>0.600281</v>
      </c>
    </row>
    <row r="114">
      <c r="A114" s="18" t="str">
        <f>IFERROR(__xludf.DUMMYFUNCTION("""COMPUTED_VALUE"""),"Vincenzo Pipitone")</f>
        <v>Vincenzo Pipitone</v>
      </c>
      <c r="B114" s="19" t="str">
        <f>IFERROR(__xludf.DUMMYFUNCTION("""COMPUTED_VALUE"""),"SCAF")</f>
        <v>SCAF</v>
      </c>
      <c r="C114" s="20">
        <f>IFERROR(__xludf.DUMMYFUNCTION("""COMPUTED_VALUE"""),200.0)</f>
        <v>200</v>
      </c>
      <c r="D114" s="21">
        <f>IFERROR(__xludf.DUMMYFUNCTION("""COMPUTED_VALUE"""),-1.8218290486481004)</f>
        <v>-1.821829049</v>
      </c>
      <c r="E114" s="21">
        <f>IFERROR(__xludf.DUMMYFUNCTION("""COMPUTED_VALUE"""),2.3594473471256014)</f>
        <v>2.359447347</v>
      </c>
      <c r="F114" s="21">
        <f>IFERROR(__xludf.DUMMYFUNCTION("""COMPUTED_VALUE"""),0.5376040984775015)</f>
        <v>0.5376040985</v>
      </c>
      <c r="G114" s="23">
        <f>IFERROR(__xludf.DUMMYFUNCTION("""COMPUTED_VALUE"""),0.16282873597439537)</f>
        <v>0.162828736</v>
      </c>
      <c r="H114" s="4"/>
      <c r="I114" s="5" t="s">
        <v>3332</v>
      </c>
      <c r="J114" s="5" t="s">
        <v>3217</v>
      </c>
      <c r="K114" s="5">
        <v>18.0</v>
      </c>
      <c r="L114" s="5">
        <v>0.244165</v>
      </c>
      <c r="M114" s="5">
        <v>0.079685</v>
      </c>
      <c r="N114" s="5">
        <v>0.323851</v>
      </c>
      <c r="O114" s="5">
        <v>0.012729</v>
      </c>
    </row>
    <row r="115">
      <c r="A115" s="12" t="str">
        <f>IFERROR(__xludf.DUMMYFUNCTION("""COMPUTED_VALUE"""),"Giovanni Vildera")</f>
        <v>Giovanni Vildera</v>
      </c>
      <c r="B115" s="13" t="str">
        <f>IFERROR(__xludf.DUMMYFUNCTION("""COMPUTED_VALUE"""),"SANA")</f>
        <v>SANA</v>
      </c>
      <c r="C115" s="14">
        <f>IFERROR(__xludf.DUMMYFUNCTION("""COMPUTED_VALUE"""),703.0)</f>
        <v>703</v>
      </c>
      <c r="D115" s="15">
        <f>IFERROR(__xludf.DUMMYFUNCTION("""COMPUTED_VALUE"""),0.7221917907931764)</f>
        <v>0.7221917908</v>
      </c>
      <c r="E115" s="15">
        <f>IFERROR(__xludf.DUMMYFUNCTION("""COMPUTED_VALUE"""),-0.20099753776699847)</f>
        <v>-0.2009975378</v>
      </c>
      <c r="F115" s="15">
        <f>IFERROR(__xludf.DUMMYFUNCTION("""COMPUTED_VALUE"""),0.5211921530261779)</f>
        <v>0.521192153</v>
      </c>
      <c r="G115" s="17">
        <f>IFERROR(__xludf.DUMMYFUNCTION("""COMPUTED_VALUE"""),0.5391094522281557)</f>
        <v>0.5391094522</v>
      </c>
      <c r="H115" s="4"/>
      <c r="I115" s="5" t="s">
        <v>1068</v>
      </c>
      <c r="J115" s="5" t="s">
        <v>3217</v>
      </c>
      <c r="K115" s="24">
        <v>347.0</v>
      </c>
      <c r="L115" s="5">
        <v>0.331608</v>
      </c>
      <c r="M115" s="5">
        <v>-0.011678</v>
      </c>
      <c r="N115" s="5">
        <v>0.31993</v>
      </c>
      <c r="O115" s="5">
        <v>0.242561</v>
      </c>
    </row>
    <row r="116">
      <c r="A116" s="18" t="str">
        <f>IFERROR(__xludf.DUMMYFUNCTION("""COMPUTED_VALUE"""),"Alan Voskuil")</f>
        <v>Alan Voskuil</v>
      </c>
      <c r="B116" s="19" t="str">
        <f>IFERROR(__xludf.DUMMYFUNCTION("""COMPUTED_VALUE"""),"TREV")</f>
        <v>TREV</v>
      </c>
      <c r="C116" s="20">
        <f>IFERROR(__xludf.DUMMYFUNCTION("""COMPUTED_VALUE"""),831.0)</f>
        <v>831</v>
      </c>
      <c r="D116" s="21">
        <f>IFERROR(__xludf.DUMMYFUNCTION("""COMPUTED_VALUE"""),3.206193800524401)</f>
        <v>3.206193801</v>
      </c>
      <c r="E116" s="21">
        <f>IFERROR(__xludf.DUMMYFUNCTION("""COMPUTED_VALUE"""),-2.733346375901179)</f>
        <v>-2.733346376</v>
      </c>
      <c r="F116" s="21">
        <f>IFERROR(__xludf.DUMMYFUNCTION("""COMPUTED_VALUE"""),0.47284572462322183)</f>
        <v>0.4728457246</v>
      </c>
      <c r="G116" s="23">
        <f>IFERROR(__xludf.DUMMYFUNCTION("""COMPUTED_VALUE"""),1.2543760280507692)</f>
        <v>1.254376028</v>
      </c>
      <c r="H116" s="4"/>
      <c r="I116" s="5" t="s">
        <v>3333</v>
      </c>
      <c r="J116" s="5" t="s">
        <v>3226</v>
      </c>
      <c r="K116" s="5">
        <v>568.0</v>
      </c>
      <c r="L116" s="5">
        <v>0.238597</v>
      </c>
      <c r="M116" s="5">
        <v>0.066363</v>
      </c>
      <c r="N116" s="5">
        <v>0.30496</v>
      </c>
      <c r="O116" s="5">
        <v>0.399141</v>
      </c>
    </row>
    <row r="117">
      <c r="A117" s="12" t="str">
        <f>IFERROR(__xludf.DUMMYFUNCTION("""COMPUTED_VALUE"""),"Roberto Rullo")</f>
        <v>Roberto Rullo</v>
      </c>
      <c r="B117" s="13" t="str">
        <f>IFERROR(__xludf.DUMMYFUNCTION("""COMPUTED_VALUE"""),"CAGL")</f>
        <v>CAGL</v>
      </c>
      <c r="C117" s="14">
        <f>IFERROR(__xludf.DUMMYFUNCTION("""COMPUTED_VALUE"""),905.0)</f>
        <v>905</v>
      </c>
      <c r="D117" s="15">
        <f>IFERROR(__xludf.DUMMYFUNCTION("""COMPUTED_VALUE"""),2.981355842531729)</f>
        <v>2.981355843</v>
      </c>
      <c r="E117" s="15">
        <f>IFERROR(__xludf.DUMMYFUNCTION("""COMPUTED_VALUE"""),-2.519345974626558)</f>
        <v>-2.519345975</v>
      </c>
      <c r="F117" s="15">
        <f>IFERROR(__xludf.DUMMYFUNCTION("""COMPUTED_VALUE"""),0.4619998679051711)</f>
        <v>0.4619998679</v>
      </c>
      <c r="G117" s="17">
        <f>IFERROR(__xludf.DUMMYFUNCTION("""COMPUTED_VALUE"""),0.6764931131831332)</f>
        <v>0.6764931132</v>
      </c>
      <c r="H117" s="4"/>
      <c r="I117" s="5" t="s">
        <v>3334</v>
      </c>
      <c r="J117" s="5" t="s">
        <v>2838</v>
      </c>
      <c r="K117" s="5">
        <v>688.0</v>
      </c>
      <c r="L117" s="5">
        <v>0.411198</v>
      </c>
      <c r="M117" s="5">
        <v>-0.159124</v>
      </c>
      <c r="N117" s="5">
        <v>0.252074</v>
      </c>
      <c r="O117" s="5">
        <v>0.464045</v>
      </c>
    </row>
    <row r="118">
      <c r="A118" s="18" t="str">
        <f>IFERROR(__xludf.DUMMYFUNCTION("""COMPUTED_VALUE"""),"Eugenio Rivali")</f>
        <v>Eugenio Rivali</v>
      </c>
      <c r="B118" s="19" t="str">
        <f>IFERROR(__xludf.DUMMYFUNCTION("""COMPUTED_VALUE"""),"POD")</f>
        <v>POD</v>
      </c>
      <c r="C118" s="20">
        <f>IFERROR(__xludf.DUMMYFUNCTION("""COMPUTED_VALUE"""),963.0)</f>
        <v>963</v>
      </c>
      <c r="D118" s="21">
        <f>IFERROR(__xludf.DUMMYFUNCTION("""COMPUTED_VALUE"""),-0.6419090438625044)</f>
        <v>-0.6419090439</v>
      </c>
      <c r="E118" s="21">
        <f>IFERROR(__xludf.DUMMYFUNCTION("""COMPUTED_VALUE"""),1.082297626359501)</f>
        <v>1.082297626</v>
      </c>
      <c r="F118" s="21">
        <f>IFERROR(__xludf.DUMMYFUNCTION("""COMPUTED_VALUE"""),0.44037718249699664)</f>
        <v>0.4403771825</v>
      </c>
      <c r="G118" s="23">
        <f>IFERROR(__xludf.DUMMYFUNCTION("""COMPUTED_VALUE"""),0.7207678253708181)</f>
        <v>0.7207678254</v>
      </c>
      <c r="H118" s="4"/>
      <c r="I118" s="5" t="s">
        <v>3335</v>
      </c>
      <c r="J118" s="5" t="s">
        <v>2201</v>
      </c>
      <c r="K118" s="24">
        <v>511.0</v>
      </c>
      <c r="L118" s="5">
        <v>-1.063728</v>
      </c>
      <c r="M118" s="5">
        <v>1.303911</v>
      </c>
      <c r="N118" s="5">
        <v>0.240182</v>
      </c>
      <c r="O118" s="5">
        <v>0.349405</v>
      </c>
    </row>
    <row r="119">
      <c r="A119" s="12" t="str">
        <f>IFERROR(__xludf.DUMMYFUNCTION("""COMPUTED_VALUE"""),"Giovanni Gasparin")</f>
        <v>Giovanni Gasparin</v>
      </c>
      <c r="B119" s="13" t="str">
        <f>IFERROR(__xludf.DUMMYFUNCTION("""COMPUTED_VALUE"""),"IMOL")</f>
        <v>IMOL</v>
      </c>
      <c r="C119" s="14">
        <f>IFERROR(__xludf.DUMMYFUNCTION("""COMPUTED_VALUE"""),792.0)</f>
        <v>792</v>
      </c>
      <c r="D119" s="15">
        <f>IFERROR(__xludf.DUMMYFUNCTION("""COMPUTED_VALUE"""),-0.8907026942643712)</f>
        <v>-0.8907026943</v>
      </c>
      <c r="E119" s="15">
        <f>IFERROR(__xludf.DUMMYFUNCTION("""COMPUTED_VALUE"""),1.324571882161487)</f>
        <v>1.324571882</v>
      </c>
      <c r="F119" s="15">
        <f>IFERROR(__xludf.DUMMYFUNCTION("""COMPUTED_VALUE"""),0.4338408878971157)</f>
        <v>0.4338408879</v>
      </c>
      <c r="G119" s="17">
        <f>IFERROR(__xludf.DUMMYFUNCTION("""COMPUTED_VALUE"""),0.5877118314678401)</f>
        <v>0.5877118315</v>
      </c>
      <c r="H119" s="4"/>
      <c r="I119" s="5" t="s">
        <v>3336</v>
      </c>
      <c r="J119" s="5" t="s">
        <v>3207</v>
      </c>
      <c r="K119" s="24">
        <v>11.0</v>
      </c>
      <c r="L119" s="5">
        <v>0.223952</v>
      </c>
      <c r="M119" s="5">
        <v>0.011983</v>
      </c>
      <c r="N119" s="5">
        <v>0.235936</v>
      </c>
      <c r="O119" s="5">
        <v>0.007134</v>
      </c>
    </row>
    <row r="120">
      <c r="A120" s="18" t="str">
        <f>IFERROR(__xludf.DUMMYFUNCTION("""COMPUTED_VALUE"""),"Davide Reati")</f>
        <v>Davide Reati</v>
      </c>
      <c r="B120" s="19" t="str">
        <f>IFERROR(__xludf.DUMMYFUNCTION("""COMPUTED_VALUE"""),"CAS")</f>
        <v>CAS</v>
      </c>
      <c r="C120" s="20">
        <f>IFERROR(__xludf.DUMMYFUNCTION("""COMPUTED_VALUE"""),878.0)</f>
        <v>878</v>
      </c>
      <c r="D120" s="21">
        <f>IFERROR(__xludf.DUMMYFUNCTION("""COMPUTED_VALUE"""),-0.12780706355551846)</f>
        <v>-0.1278070636</v>
      </c>
      <c r="E120" s="21">
        <f>IFERROR(__xludf.DUMMYFUNCTION("""COMPUTED_VALUE"""),0.48625923675051136)</f>
        <v>0.4862592368</v>
      </c>
      <c r="F120" s="21">
        <f>IFERROR(__xludf.DUMMYFUNCTION("""COMPUTED_VALUE"""),0.3584402731949929)</f>
        <v>0.3584402732</v>
      </c>
      <c r="G120" s="23">
        <f>IFERROR(__xludf.DUMMYFUNCTION("""COMPUTED_VALUE"""),0.6572995590262467)</f>
        <v>0.657299559</v>
      </c>
      <c r="H120" s="4"/>
      <c r="I120" s="5" t="s">
        <v>3337</v>
      </c>
      <c r="J120" s="5" t="s">
        <v>3251</v>
      </c>
      <c r="K120" s="5">
        <v>7.0</v>
      </c>
      <c r="L120" s="5">
        <v>0.125449</v>
      </c>
      <c r="M120" s="5">
        <v>0.024069</v>
      </c>
      <c r="N120" s="5">
        <v>0.149518</v>
      </c>
      <c r="O120" s="5">
        <v>0.004441</v>
      </c>
    </row>
    <row r="121">
      <c r="A121" s="12" t="str">
        <f>IFERROR(__xludf.DUMMYFUNCTION("""COMPUTED_VALUE"""),"Alessandro Puoti")</f>
        <v>Alessandro Puoti</v>
      </c>
      <c r="B121" s="13" t="str">
        <f>IFERROR(__xludf.DUMMYFUNCTION("""COMPUTED_VALUE"""),"COUR")</f>
        <v>COUR</v>
      </c>
      <c r="C121" s="14">
        <f>IFERROR(__xludf.DUMMYFUNCTION("""COMPUTED_VALUE"""),23.0)</f>
        <v>23</v>
      </c>
      <c r="D121" s="15">
        <f>IFERROR(__xludf.DUMMYFUNCTION("""COMPUTED_VALUE"""),0.05867271678867018)</f>
        <v>0.05867271679</v>
      </c>
      <c r="E121" s="15">
        <f>IFERROR(__xludf.DUMMYFUNCTION("""COMPUTED_VALUE"""),0.2770605917402094)</f>
        <v>0.2770605917</v>
      </c>
      <c r="F121" s="15">
        <f>IFERROR(__xludf.DUMMYFUNCTION("""COMPUTED_VALUE"""),0.3357201085288796)</f>
        <v>0.3357201085</v>
      </c>
      <c r="G121" s="17">
        <f>IFERROR(__xludf.DUMMYFUNCTION("""COMPUTED_VALUE"""),0.019011676321397834)</f>
        <v>0.01901167632</v>
      </c>
      <c r="H121" s="4"/>
      <c r="I121" s="5" t="s">
        <v>3338</v>
      </c>
      <c r="J121" s="5" t="s">
        <v>3215</v>
      </c>
      <c r="K121" s="5">
        <v>379.0</v>
      </c>
      <c r="L121" s="5">
        <v>0.251217</v>
      </c>
      <c r="M121" s="5">
        <v>-0.131085</v>
      </c>
      <c r="N121" s="5">
        <v>0.120131</v>
      </c>
      <c r="O121" s="5">
        <v>0.243925</v>
      </c>
    </row>
    <row r="122">
      <c r="A122" s="18" t="str">
        <f>IFERROR(__xludf.DUMMYFUNCTION("""COMPUTED_VALUE"""),"Carl Wheatle")</f>
        <v>Carl Wheatle</v>
      </c>
      <c r="B122" s="19" t="str">
        <f>IFERROR(__xludf.DUMMYFUNCTION("""COMPUTED_VALUE"""),"BEI")</f>
        <v>BEI</v>
      </c>
      <c r="C122" s="20">
        <f>IFERROR(__xludf.DUMMYFUNCTION("""COMPUTED_VALUE"""),710.0)</f>
        <v>710</v>
      </c>
      <c r="D122" s="21">
        <f>IFERROR(__xludf.DUMMYFUNCTION("""COMPUTED_VALUE"""),-0.43657494412892817)</f>
        <v>-0.4365749441</v>
      </c>
      <c r="E122" s="21">
        <f>IFERROR(__xludf.DUMMYFUNCTION("""COMPUTED_VALUE"""),0.7653314148840722)</f>
        <v>0.7653314149</v>
      </c>
      <c r="F122" s="21">
        <f>IFERROR(__xludf.DUMMYFUNCTION("""COMPUTED_VALUE"""),0.32875497075514404)</f>
        <v>0.3287549708</v>
      </c>
      <c r="G122" s="23">
        <f>IFERROR(__xludf.DUMMYFUNCTION("""COMPUTED_VALUE"""),0.5022452683733509)</f>
        <v>0.5022452684</v>
      </c>
      <c r="H122" s="4"/>
      <c r="I122" s="5" t="s">
        <v>3339</v>
      </c>
      <c r="J122" s="5" t="s">
        <v>3237</v>
      </c>
      <c r="K122" s="24">
        <v>241.0</v>
      </c>
      <c r="L122" s="5">
        <v>-1.808563</v>
      </c>
      <c r="M122" s="5">
        <v>1.884509</v>
      </c>
      <c r="N122" s="5">
        <v>0.075946</v>
      </c>
      <c r="O122" s="5">
        <v>0.168723</v>
      </c>
    </row>
    <row r="123">
      <c r="A123" s="12" t="str">
        <f>IFERROR(__xludf.DUMMYFUNCTION("""COMPUTED_VALUE"""),"Cosimo Costi")</f>
        <v>Cosimo Costi</v>
      </c>
      <c r="B123" s="13" t="str">
        <f>IFERROR(__xludf.DUMMYFUNCTION("""COMPUTED_VALUE"""),"SANA")</f>
        <v>SANA</v>
      </c>
      <c r="C123" s="14">
        <f>IFERROR(__xludf.DUMMYFUNCTION("""COMPUTED_VALUE"""),1.0)</f>
        <v>1</v>
      </c>
      <c r="D123" s="15">
        <f>IFERROR(__xludf.DUMMYFUNCTION("""COMPUTED_VALUE"""),0.2395235369974577)</f>
        <v>0.239523537</v>
      </c>
      <c r="E123" s="15">
        <f>IFERROR(__xludf.DUMMYFUNCTION("""COMPUTED_VALUE"""),-0.05054837250576731)</f>
        <v>-0.05054837251</v>
      </c>
      <c r="F123" s="15">
        <f>IFERROR(__xludf.DUMMYFUNCTION("""COMPUTED_VALUE"""),0.1889408644916904)</f>
        <v>0.1889408645</v>
      </c>
      <c r="G123" s="17">
        <f>IFERROR(__xludf.DUMMYFUNCTION("""COMPUTED_VALUE"""),7.001064712292325E-4)</f>
        <v>0.0007001064712</v>
      </c>
      <c r="H123" s="4"/>
      <c r="I123" s="5" t="s">
        <v>3340</v>
      </c>
      <c r="J123" s="5" t="s">
        <v>3237</v>
      </c>
      <c r="K123" s="5">
        <v>18.0</v>
      </c>
      <c r="L123" s="5">
        <v>0.094306</v>
      </c>
      <c r="M123" s="5">
        <v>-0.030578</v>
      </c>
      <c r="N123" s="5">
        <v>0.063728</v>
      </c>
      <c r="O123" s="5">
        <v>0.012533</v>
      </c>
    </row>
    <row r="124">
      <c r="A124" s="18" t="str">
        <f>IFERROR(__xludf.DUMMYFUNCTION("""COMPUTED_VALUE"""),"Luca Savoca")</f>
        <v>Luca Savoca</v>
      </c>
      <c r="B124" s="19" t="str">
        <f>IFERROR(__xludf.DUMMYFUNCTION("""COMPUTED_VALUE"""),"MON")</f>
        <v>MON</v>
      </c>
      <c r="C124" s="20">
        <f>IFERROR(__xludf.DUMMYFUNCTION("""COMPUTED_VALUE"""),2.0)</f>
        <v>2</v>
      </c>
      <c r="D124" s="21">
        <f>IFERROR(__xludf.DUMMYFUNCTION("""COMPUTED_VALUE"""),0.24033207226801728)</f>
        <v>0.2403320723</v>
      </c>
      <c r="E124" s="21">
        <f>IFERROR(__xludf.DUMMYFUNCTION("""COMPUTED_VALUE"""),-0.06831723096803594)</f>
        <v>-0.06831723097</v>
      </c>
      <c r="F124" s="21">
        <f>IFERROR(__xludf.DUMMYFUNCTION("""COMPUTED_VALUE"""),0.17200594129998134)</f>
        <v>0.1720059413</v>
      </c>
      <c r="G124" s="23">
        <f>IFERROR(__xludf.DUMMYFUNCTION("""COMPUTED_VALUE"""),0.0013282961539420044)</f>
        <v>0.001328296154</v>
      </c>
      <c r="H124" s="4"/>
      <c r="I124" s="5" t="s">
        <v>3341</v>
      </c>
      <c r="J124" s="5" t="s">
        <v>644</v>
      </c>
      <c r="K124" s="5">
        <v>107.0</v>
      </c>
      <c r="L124" s="5">
        <v>0.949195</v>
      </c>
      <c r="M124" s="5">
        <v>-0.934574</v>
      </c>
      <c r="N124" s="5">
        <v>0.01462</v>
      </c>
      <c r="O124" s="5">
        <v>0.065381</v>
      </c>
    </row>
    <row r="125">
      <c r="A125" s="12" t="str">
        <f>IFERROR(__xludf.DUMMYFUNCTION("""COMPUTED_VALUE"""),"Nazzareno Italiano")</f>
        <v>Nazzareno Italiano</v>
      </c>
      <c r="B125" s="13" t="str">
        <f>IFERROR(__xludf.DUMMYFUNCTION("""COMPUTED_VALUE"""),"BOL")</f>
        <v>BOL</v>
      </c>
      <c r="C125" s="14">
        <f>IFERROR(__xludf.DUMMYFUNCTION("""COMPUTED_VALUE"""),519.0)</f>
        <v>519</v>
      </c>
      <c r="D125" s="15">
        <f>IFERROR(__xludf.DUMMYFUNCTION("""COMPUTED_VALUE"""),0.9145459392426472)</f>
        <v>0.9145459392</v>
      </c>
      <c r="E125" s="15">
        <f>IFERROR(__xludf.DUMMYFUNCTION("""COMPUTED_VALUE"""),-0.7435021058030902)</f>
        <v>-0.7435021058</v>
      </c>
      <c r="F125" s="15">
        <f>IFERROR(__xludf.DUMMYFUNCTION("""COMPUTED_VALUE"""),0.17101873343955698)</f>
        <v>0.1710187334</v>
      </c>
      <c r="G125" s="17">
        <f>IFERROR(__xludf.DUMMYFUNCTION("""COMPUTED_VALUE"""),0.34442690541108745)</f>
        <v>0.3444269054</v>
      </c>
      <c r="H125" s="4"/>
      <c r="I125" s="5" t="s">
        <v>3342</v>
      </c>
      <c r="J125" s="5" t="s">
        <v>3240</v>
      </c>
      <c r="K125" s="24">
        <v>23.0</v>
      </c>
      <c r="L125" s="5">
        <v>-0.101425</v>
      </c>
      <c r="M125" s="5">
        <v>0.098087</v>
      </c>
      <c r="N125" s="5">
        <v>-0.003338</v>
      </c>
      <c r="O125" s="5">
        <v>0.014248</v>
      </c>
    </row>
    <row r="126">
      <c r="A126" s="18" t="str">
        <f>IFERROR(__xludf.DUMMYFUNCTION("""COMPUTED_VALUE"""),"Gelvis Solano")</f>
        <v>Gelvis Solano</v>
      </c>
      <c r="B126" s="19" t="str">
        <f>IFERROR(__xludf.DUMMYFUNCTION("""COMPUTED_VALUE"""),"BERG")</f>
        <v>BERG</v>
      </c>
      <c r="C126" s="20">
        <f>IFERROR(__xludf.DUMMYFUNCTION("""COMPUTED_VALUE"""),1007.0)</f>
        <v>1007</v>
      </c>
      <c r="D126" s="21">
        <f>IFERROR(__xludf.DUMMYFUNCTION("""COMPUTED_VALUE"""),-0.0590468049085792)</f>
        <v>-0.05904680491</v>
      </c>
      <c r="E126" s="21">
        <f>IFERROR(__xludf.DUMMYFUNCTION("""COMPUTED_VALUE"""),0.22324152479487788)</f>
        <v>0.2232415248</v>
      </c>
      <c r="F126" s="21">
        <f>IFERROR(__xludf.DUMMYFUNCTION("""COMPUTED_VALUE"""),0.16418761988629868)</f>
        <v>0.1641876199</v>
      </c>
      <c r="G126" s="23">
        <f>IFERROR(__xludf.DUMMYFUNCTION("""COMPUTED_VALUE"""),0.696570906119322)</f>
        <v>0.6965709061</v>
      </c>
      <c r="H126" s="4"/>
      <c r="I126" s="5" t="s">
        <v>3343</v>
      </c>
      <c r="J126" s="5" t="s">
        <v>3226</v>
      </c>
      <c r="K126" s="5">
        <v>0.0</v>
      </c>
      <c r="L126" s="5">
        <v>-0.005493</v>
      </c>
      <c r="M126" s="5">
        <v>5.51E-4</v>
      </c>
      <c r="N126" s="5">
        <v>-0.004942</v>
      </c>
      <c r="O126" s="5">
        <v>1.83E-4</v>
      </c>
    </row>
    <row r="127">
      <c r="A127" s="12" t="str">
        <f>IFERROR(__xludf.DUMMYFUNCTION("""COMPUTED_VALUE"""),"Marcus Keene")</f>
        <v>Marcus Keene</v>
      </c>
      <c r="B127" s="13" t="str">
        <f>IFERROR(__xludf.DUMMYFUNCTION("""COMPUTED_VALUE"""),"CAGL")</f>
        <v>CAGL</v>
      </c>
      <c r="C127" s="14">
        <f>IFERROR(__xludf.DUMMYFUNCTION("""COMPUTED_VALUE"""),962.0)</f>
        <v>962</v>
      </c>
      <c r="D127" s="15">
        <f>IFERROR(__xludf.DUMMYFUNCTION("""COMPUTED_VALUE"""),2.241195614700311)</f>
        <v>2.241195615</v>
      </c>
      <c r="E127" s="15">
        <f>IFERROR(__xludf.DUMMYFUNCTION("""COMPUTED_VALUE"""),-2.083256063707198)</f>
        <v>-2.083256064</v>
      </c>
      <c r="F127" s="15">
        <f>IFERROR(__xludf.DUMMYFUNCTION("""COMPUTED_VALUE"""),0.15791525099311263)</f>
        <v>0.157915251</v>
      </c>
      <c r="G127" s="17">
        <f>IFERROR(__xludf.DUMMYFUNCTION("""COMPUTED_VALUE"""),0.6302989092871291)</f>
        <v>0.6302989093</v>
      </c>
      <c r="H127" s="4"/>
      <c r="I127" s="5" t="s">
        <v>3344</v>
      </c>
      <c r="J127" s="5" t="s">
        <v>3263</v>
      </c>
      <c r="K127" s="5">
        <v>1.0</v>
      </c>
      <c r="L127" s="5">
        <v>-0.009802</v>
      </c>
      <c r="M127" s="5">
        <v>1.9E-4</v>
      </c>
      <c r="N127" s="5">
        <v>-0.009612</v>
      </c>
      <c r="O127" s="5">
        <v>2.99E-4</v>
      </c>
    </row>
    <row r="128">
      <c r="A128" s="18" t="str">
        <f>IFERROR(__xludf.DUMMYFUNCTION("""COMPUTED_VALUE"""),"Gianluca Santini")</f>
        <v>Gianluca Santini</v>
      </c>
      <c r="B128" s="19" t="str">
        <f>IFERROR(__xludf.DUMMYFUNCTION("""COMPUTED_VALUE"""),"LEON")</f>
        <v>LEON</v>
      </c>
      <c r="C128" s="20">
        <f>IFERROR(__xludf.DUMMYFUNCTION("""COMPUTED_VALUE"""),8.0)</f>
        <v>8</v>
      </c>
      <c r="D128" s="21">
        <f>IFERROR(__xludf.DUMMYFUNCTION("""COMPUTED_VALUE"""),0.30283340799286945)</f>
        <v>0.302833408</v>
      </c>
      <c r="E128" s="21">
        <f>IFERROR(__xludf.DUMMYFUNCTION("""COMPUTED_VALUE"""),-0.15397084076896314)</f>
        <v>-0.1539708408</v>
      </c>
      <c r="F128" s="21">
        <f>IFERROR(__xludf.DUMMYFUNCTION("""COMPUTED_VALUE"""),0.1488535672239063)</f>
        <v>0.1488535672</v>
      </c>
      <c r="G128" s="23">
        <f>IFERROR(__xludf.DUMMYFUNCTION("""COMPUTED_VALUE"""),0.00605468635376917)</f>
        <v>0.006054686354</v>
      </c>
      <c r="H128" s="4"/>
      <c r="I128" s="5" t="s">
        <v>3345</v>
      </c>
      <c r="J128" s="5" t="s">
        <v>3207</v>
      </c>
      <c r="K128" s="5">
        <v>1.0</v>
      </c>
      <c r="L128" s="5">
        <v>-0.014508</v>
      </c>
      <c r="M128" s="5">
        <v>-0.004298</v>
      </c>
      <c r="N128" s="5">
        <v>-0.018806</v>
      </c>
      <c r="O128" s="5">
        <v>4.73E-4</v>
      </c>
    </row>
    <row r="129">
      <c r="A129" s="12" t="str">
        <f>IFERROR(__xludf.DUMMYFUNCTION("""COMPUTED_VALUE"""),"Matteo Ferrara")</f>
        <v>Matteo Ferrara</v>
      </c>
      <c r="B129" s="13" t="str">
        <f>IFERROR(__xludf.DUMMYFUNCTION("""COMPUTED_VALUE"""),"MAN")</f>
        <v>MAN</v>
      </c>
      <c r="C129" s="14">
        <f>IFERROR(__xludf.DUMMYFUNCTION("""COMPUTED_VALUE"""),215.0)</f>
        <v>215</v>
      </c>
      <c r="D129" s="15">
        <f>IFERROR(__xludf.DUMMYFUNCTION("""COMPUTED_VALUE"""),-1.800486009592526)</f>
        <v>-1.80048601</v>
      </c>
      <c r="E129" s="15">
        <f>IFERROR(__xludf.DUMMYFUNCTION("""COMPUTED_VALUE"""),1.9379678128600577)</f>
        <v>1.937967813</v>
      </c>
      <c r="F129" s="15">
        <f>IFERROR(__xludf.DUMMYFUNCTION("""COMPUTED_VALUE"""),0.13745180326753192)</f>
        <v>0.1374518033</v>
      </c>
      <c r="G129" s="17">
        <f>IFERROR(__xludf.DUMMYFUNCTION("""COMPUTED_VALUE"""),0.14500614112854648)</f>
        <v>0.1450061411</v>
      </c>
      <c r="H129" s="4"/>
      <c r="I129" s="5" t="s">
        <v>3346</v>
      </c>
      <c r="J129" s="5" t="s">
        <v>2838</v>
      </c>
      <c r="K129" s="5">
        <v>1.0</v>
      </c>
      <c r="L129" s="5">
        <v>-0.021517</v>
      </c>
      <c r="M129" s="5">
        <v>0.002627</v>
      </c>
      <c r="N129" s="5">
        <v>-0.01889</v>
      </c>
      <c r="O129" s="5">
        <v>7.12E-4</v>
      </c>
    </row>
    <row r="130">
      <c r="A130" s="18" t="str">
        <f>IFERROR(__xludf.DUMMYFUNCTION("""COMPUTED_VALUE"""),"Andrea Mezzanotte")</f>
        <v>Andrea Mezzanotte</v>
      </c>
      <c r="B130" s="19" t="str">
        <f>IFERROR(__xludf.DUMMYFUNCTION("""COMPUTED_VALUE"""),"TREV")</f>
        <v>TREV</v>
      </c>
      <c r="C130" s="20">
        <f>IFERROR(__xludf.DUMMYFUNCTION("""COMPUTED_VALUE"""),604.0)</f>
        <v>604</v>
      </c>
      <c r="D130" s="21">
        <f>IFERROR(__xludf.DUMMYFUNCTION("""COMPUTED_VALUE"""),0.26663112894864427)</f>
        <v>0.2666311289</v>
      </c>
      <c r="E130" s="21">
        <f>IFERROR(__xludf.DUMMYFUNCTION("""COMPUTED_VALUE"""),-0.1445117490159521)</f>
        <v>-0.144511749</v>
      </c>
      <c r="F130" s="21">
        <f>IFERROR(__xludf.DUMMYFUNCTION("""COMPUTED_VALUE"""),0.12209997993269217)</f>
        <v>0.1220999799</v>
      </c>
      <c r="G130" s="23">
        <f>IFERROR(__xludf.DUMMYFUNCTION("""COMPUTED_VALUE"""),0.7824248928637437)</f>
        <v>0.7824248929</v>
      </c>
      <c r="H130" s="4"/>
      <c r="I130" s="5" t="s">
        <v>3347</v>
      </c>
      <c r="J130" s="5" t="s">
        <v>3263</v>
      </c>
      <c r="K130" s="24">
        <v>2.0</v>
      </c>
      <c r="L130" s="5">
        <v>-0.031276</v>
      </c>
      <c r="M130" s="5">
        <v>6.91E-4</v>
      </c>
      <c r="N130" s="5">
        <v>-0.030586</v>
      </c>
      <c r="O130" s="5">
        <v>9.47E-4</v>
      </c>
    </row>
    <row r="131">
      <c r="A131" s="12" t="str">
        <f>IFERROR(__xludf.DUMMYFUNCTION("""COMPUTED_VALUE"""),"Francesco Cinti")</f>
        <v>Francesco Cinti</v>
      </c>
      <c r="B131" s="13" t="str">
        <f>IFERROR(__xludf.DUMMYFUNCTION("""COMPUTED_VALUE"""),"RAV")</f>
        <v>RAV</v>
      </c>
      <c r="C131" s="14">
        <f>IFERROR(__xludf.DUMMYFUNCTION("""COMPUTED_VALUE"""),6.0)</f>
        <v>6</v>
      </c>
      <c r="D131" s="15">
        <f>IFERROR(__xludf.DUMMYFUNCTION("""COMPUTED_VALUE"""),0.26647605834583465)</f>
        <v>0.2664760583</v>
      </c>
      <c r="E131" s="15">
        <f>IFERROR(__xludf.DUMMYFUNCTION("""COMPUTED_VALUE"""),-0.1479658424178605)</f>
        <v>-0.1479658424</v>
      </c>
      <c r="F131" s="15">
        <f>IFERROR(__xludf.DUMMYFUNCTION("""COMPUTED_VALUE"""),0.11847491592797416)</f>
        <v>0.1184749159</v>
      </c>
      <c r="G131" s="17">
        <f>IFERROR(__xludf.DUMMYFUNCTION("""COMPUTED_VALUE"""),0.003878532058728436)</f>
        <v>0.003878532059</v>
      </c>
      <c r="H131" s="4"/>
      <c r="I131" s="5" t="s">
        <v>3348</v>
      </c>
      <c r="J131" s="5" t="s">
        <v>3233</v>
      </c>
      <c r="K131" s="5">
        <v>5.0</v>
      </c>
      <c r="L131" s="5">
        <v>0.110076</v>
      </c>
      <c r="M131" s="5">
        <v>-0.143024</v>
      </c>
      <c r="N131" s="5">
        <v>-0.032949</v>
      </c>
      <c r="O131" s="5">
        <v>0.002907</v>
      </c>
    </row>
    <row r="132">
      <c r="A132" s="18" t="str">
        <f>IFERROR(__xludf.DUMMYFUNCTION("""COMPUTED_VALUE"""),"Zaid Hearst")</f>
        <v>Zaid Hearst</v>
      </c>
      <c r="B132" s="19" t="str">
        <f>IFERROR(__xludf.DUMMYFUNCTION("""COMPUTED_VALUE"""),"RIET")</f>
        <v>RIET</v>
      </c>
      <c r="C132" s="20">
        <f>IFERROR(__xludf.DUMMYFUNCTION("""COMPUTED_VALUE"""),1003.0)</f>
        <v>1003</v>
      </c>
      <c r="D132" s="21">
        <f>IFERROR(__xludf.DUMMYFUNCTION("""COMPUTED_VALUE"""),1.2798162604508625)</f>
        <v>1.27981626</v>
      </c>
      <c r="E132" s="21">
        <f>IFERROR(__xludf.DUMMYFUNCTION("""COMPUTED_VALUE"""),-1.1756937890112809)</f>
        <v>-1.175693789</v>
      </c>
      <c r="F132" s="21">
        <f>IFERROR(__xludf.DUMMYFUNCTION("""COMPUTED_VALUE"""),0.10409637143958181)</f>
        <v>0.1040963714</v>
      </c>
      <c r="G132" s="23">
        <f>IFERROR(__xludf.DUMMYFUNCTION("""COMPUTED_VALUE"""),0.7197322236679151)</f>
        <v>0.7197322237</v>
      </c>
      <c r="H132" s="4"/>
      <c r="I132" s="5" t="s">
        <v>3349</v>
      </c>
      <c r="J132" s="5" t="s">
        <v>3256</v>
      </c>
      <c r="K132" s="5">
        <v>2.0</v>
      </c>
      <c r="L132" s="5">
        <v>-0.046405</v>
      </c>
      <c r="M132" s="5">
        <v>0.003305</v>
      </c>
      <c r="N132" s="5">
        <v>-0.043101</v>
      </c>
      <c r="O132" s="5">
        <v>0.001425</v>
      </c>
    </row>
    <row r="133">
      <c r="A133" s="12" t="str">
        <f>IFERROR(__xludf.DUMMYFUNCTION("""COMPUTED_VALUE"""),"Arnold Mitt")</f>
        <v>Arnold Mitt</v>
      </c>
      <c r="B133" s="13" t="str">
        <f>IFERROR(__xludf.DUMMYFUNCTION("""COMPUTED_VALUE"""),"POD")</f>
        <v>POD</v>
      </c>
      <c r="C133" s="14">
        <f>IFERROR(__xludf.DUMMYFUNCTION("""COMPUTED_VALUE"""),2.0)</f>
        <v>2</v>
      </c>
      <c r="D133" s="15">
        <f>IFERROR(__xludf.DUMMYFUNCTION("""COMPUTED_VALUE"""),0.1842195608285649)</f>
        <v>0.1842195608</v>
      </c>
      <c r="E133" s="15">
        <f>IFERROR(__xludf.DUMMYFUNCTION("""COMPUTED_VALUE"""),-0.09917189558779471)</f>
        <v>-0.09917189559</v>
      </c>
      <c r="F133" s="15">
        <f>IFERROR(__xludf.DUMMYFUNCTION("""COMPUTED_VALUE"""),0.08502856524077018)</f>
        <v>0.08502856524</v>
      </c>
      <c r="G133" s="17">
        <f>IFERROR(__xludf.DUMMYFUNCTION("""COMPUTED_VALUE"""),0.0012980315019797788)</f>
        <v>0.001298031502</v>
      </c>
      <c r="H133" s="4"/>
      <c r="I133" s="5" t="s">
        <v>885</v>
      </c>
      <c r="J133" s="5" t="s">
        <v>3203</v>
      </c>
      <c r="K133" s="5">
        <v>9.0</v>
      </c>
      <c r="L133" s="5">
        <v>-0.206764</v>
      </c>
      <c r="M133" s="5">
        <v>0.145312</v>
      </c>
      <c r="N133" s="5">
        <v>-0.061452</v>
      </c>
      <c r="O133" s="5">
        <v>0.005526</v>
      </c>
    </row>
    <row r="134">
      <c r="A134" s="18" t="str">
        <f>IFERROR(__xludf.DUMMYFUNCTION("""COMPUTED_VALUE"""),"Malfettone Vincenzo")</f>
        <v>Malfettone Vincenzo</v>
      </c>
      <c r="B134" s="19" t="str">
        <f>IFERROR(__xludf.DUMMYFUNCTION("""COMPUTED_VALUE"""),"COUR")</f>
        <v>COUR</v>
      </c>
      <c r="C134" s="20">
        <f>IFERROR(__xludf.DUMMYFUNCTION("""COMPUTED_VALUE"""),10.0)</f>
        <v>10</v>
      </c>
      <c r="D134" s="21">
        <f>IFERROR(__xludf.DUMMYFUNCTION("""COMPUTED_VALUE"""),0.11860889604440993)</f>
        <v>0.118608896</v>
      </c>
      <c r="E134" s="21">
        <f>IFERROR(__xludf.DUMMYFUNCTION("""COMPUTED_VALUE"""),-0.06601756181404533)</f>
        <v>-0.06601756181</v>
      </c>
      <c r="F134" s="21">
        <f>IFERROR(__xludf.DUMMYFUNCTION("""COMPUTED_VALUE"""),0.05258933423036458)</f>
        <v>0.05258933423</v>
      </c>
      <c r="G134" s="23">
        <f>IFERROR(__xludf.DUMMYFUNCTION("""COMPUTED_VALUE"""),0.0072609232427321285)</f>
        <v>0.007260923243</v>
      </c>
      <c r="H134" s="4"/>
      <c r="I134" s="5" t="s">
        <v>3350</v>
      </c>
      <c r="J134" s="5" t="s">
        <v>3223</v>
      </c>
      <c r="K134" s="24">
        <v>26.0</v>
      </c>
      <c r="L134" s="5">
        <v>0.167917</v>
      </c>
      <c r="M134" s="5">
        <v>-0.233374</v>
      </c>
      <c r="N134" s="5">
        <v>-0.065457</v>
      </c>
      <c r="O134" s="5">
        <v>0.015169</v>
      </c>
    </row>
    <row r="135">
      <c r="A135" s="12" t="str">
        <f>IFERROR(__xludf.DUMMYFUNCTION("""COMPUTED_VALUE"""),"Riccardo Rossato")</f>
        <v>Riccardo Rossato</v>
      </c>
      <c r="B135" s="13" t="str">
        <f>IFERROR(__xludf.DUMMYFUNCTION("""COMPUTED_VALUE"""),"VRC")</f>
        <v>VRC</v>
      </c>
      <c r="C135" s="14">
        <f>IFERROR(__xludf.DUMMYFUNCTION("""COMPUTED_VALUE"""),607.0)</f>
        <v>607</v>
      </c>
      <c r="D135" s="15">
        <f>IFERROR(__xludf.DUMMYFUNCTION("""COMPUTED_VALUE"""),-0.2545197142714669)</f>
        <v>-0.2545197143</v>
      </c>
      <c r="E135" s="15">
        <f>IFERROR(__xludf.DUMMYFUNCTION("""COMPUTED_VALUE"""),0.30092855713089184)</f>
        <v>0.3009285571</v>
      </c>
      <c r="F135" s="15">
        <f>IFERROR(__xludf.DUMMYFUNCTION("""COMPUTED_VALUE"""),0.046397942859424966)</f>
        <v>0.04639794286</v>
      </c>
      <c r="G135" s="17">
        <f>IFERROR(__xludf.DUMMYFUNCTION("""COMPUTED_VALUE"""),0.3838694013511577)</f>
        <v>0.3838694014</v>
      </c>
      <c r="H135" s="4"/>
      <c r="I135" s="5" t="s">
        <v>3351</v>
      </c>
      <c r="J135" s="5" t="s">
        <v>3223</v>
      </c>
      <c r="K135" s="5">
        <v>4.0</v>
      </c>
      <c r="L135" s="5">
        <v>-0.073309</v>
      </c>
      <c r="M135" s="5">
        <v>-0.002192</v>
      </c>
      <c r="N135" s="5">
        <v>-0.075501</v>
      </c>
      <c r="O135" s="5">
        <v>0.002223</v>
      </c>
    </row>
    <row r="136">
      <c r="A136" s="18" t="str">
        <f>IFERROR(__xludf.DUMMYFUNCTION("""COMPUTED_VALUE"""),"Andrea Ambrosetti")</f>
        <v>Andrea Ambrosetti</v>
      </c>
      <c r="B136" s="19" t="str">
        <f>IFERROR(__xludf.DUMMYFUNCTION("""COMPUTED_VALUE"""),"BEI")</f>
        <v>BEI</v>
      </c>
      <c r="C136" s="20">
        <f>IFERROR(__xludf.DUMMYFUNCTION("""COMPUTED_VALUE"""),13.0)</f>
        <v>13</v>
      </c>
      <c r="D136" s="21">
        <f>IFERROR(__xludf.DUMMYFUNCTION("""COMPUTED_VALUE"""),0.1567637906376202)</f>
        <v>0.1567637906</v>
      </c>
      <c r="E136" s="21">
        <f>IFERROR(__xludf.DUMMYFUNCTION("""COMPUTED_VALUE"""),-0.11697123522484172)</f>
        <v>-0.1169712352</v>
      </c>
      <c r="F136" s="21">
        <f>IFERROR(__xludf.DUMMYFUNCTION("""COMPUTED_VALUE"""),0.03974815541277847)</f>
        <v>0.03974815541</v>
      </c>
      <c r="G136" s="23">
        <f>IFERROR(__xludf.DUMMYFUNCTION("""COMPUTED_VALUE"""),0.00809915462067764)</f>
        <v>0.008099154621</v>
      </c>
      <c r="H136" s="4"/>
      <c r="I136" s="5" t="s">
        <v>3352</v>
      </c>
      <c r="J136" s="5" t="s">
        <v>3256</v>
      </c>
      <c r="K136" s="24">
        <v>5.0</v>
      </c>
      <c r="L136" s="5">
        <v>-0.09032</v>
      </c>
      <c r="M136" s="5">
        <v>0.006981</v>
      </c>
      <c r="N136" s="5">
        <v>-0.083339</v>
      </c>
      <c r="O136" s="5">
        <v>0.002734</v>
      </c>
    </row>
    <row r="137">
      <c r="A137" s="12" t="str">
        <f>IFERROR(__xludf.DUMMYFUNCTION("""COMPUTED_VALUE"""),"Vincenzo Guaiana")</f>
        <v>Vincenzo Guaiana</v>
      </c>
      <c r="B137" s="13" t="str">
        <f>IFERROR(__xludf.DUMMYFUNCTION("""COMPUTED_VALUE"""),"TRA")</f>
        <v>TRA</v>
      </c>
      <c r="C137" s="14">
        <f>IFERROR(__xludf.DUMMYFUNCTION("""COMPUTED_VALUE"""),2.0)</f>
        <v>2</v>
      </c>
      <c r="D137" s="15">
        <f>IFERROR(__xludf.DUMMYFUNCTION("""COMPUTED_VALUE"""),0.09517266496025444)</f>
        <v>0.09517266496</v>
      </c>
      <c r="E137" s="15">
        <f>IFERROR(__xludf.DUMMYFUNCTION("""COMPUTED_VALUE"""),-0.06424416753445765)</f>
        <v>-0.06424416753</v>
      </c>
      <c r="F137" s="15">
        <f>IFERROR(__xludf.DUMMYFUNCTION("""COMPUTED_VALUE"""),0.030901397425796784)</f>
        <v>0.03090139743</v>
      </c>
      <c r="G137" s="17">
        <f>IFERROR(__xludf.DUMMYFUNCTION("""COMPUTED_VALUE"""),0.0012848599498517701)</f>
        <v>0.00128485995</v>
      </c>
      <c r="H137" s="4"/>
      <c r="I137" s="5" t="s">
        <v>968</v>
      </c>
      <c r="J137" s="5" t="s">
        <v>3240</v>
      </c>
      <c r="K137" s="5">
        <v>727.0</v>
      </c>
      <c r="L137" s="5">
        <v>0.856302</v>
      </c>
      <c r="M137" s="5">
        <v>-0.944493</v>
      </c>
      <c r="N137" s="5">
        <v>-0.088191</v>
      </c>
      <c r="O137" s="5">
        <v>0.423778</v>
      </c>
    </row>
    <row r="138">
      <c r="A138" s="18" t="str">
        <f>IFERROR(__xludf.DUMMYFUNCTION("""COMPUTED_VALUE"""),"Davide Denegri")</f>
        <v>Davide Denegri</v>
      </c>
      <c r="B138" s="19" t="str">
        <f>IFERROR(__xludf.DUMMYFUNCTION("""COMPUTED_VALUE"""),"NCM")</f>
        <v>NCM</v>
      </c>
      <c r="C138" s="20">
        <f>IFERROR(__xludf.DUMMYFUNCTION("""COMPUTED_VALUE"""),786.0)</f>
        <v>786</v>
      </c>
      <c r="D138" s="21">
        <f>IFERROR(__xludf.DUMMYFUNCTION("""COMPUTED_VALUE"""),-0.07375851497759384)</f>
        <v>-0.07375851498</v>
      </c>
      <c r="E138" s="21">
        <f>IFERROR(__xludf.DUMMYFUNCTION("""COMPUTED_VALUE"""),0.102302982190206)</f>
        <v>0.1023029822</v>
      </c>
      <c r="F138" s="21">
        <f>IFERROR(__xludf.DUMMYFUNCTION("""COMPUTED_VALUE"""),0.02851166721261217)</f>
        <v>0.02851166721</v>
      </c>
      <c r="G138" s="23">
        <f>IFERROR(__xludf.DUMMYFUNCTION("""COMPUTED_VALUE"""),0.49159526690401545)</f>
        <v>0.4915952669</v>
      </c>
      <c r="H138" s="4"/>
      <c r="I138" s="5" t="s">
        <v>3353</v>
      </c>
      <c r="J138" s="5" t="s">
        <v>3237</v>
      </c>
      <c r="K138" s="5">
        <v>3.0</v>
      </c>
      <c r="L138" s="5">
        <v>-0.086398</v>
      </c>
      <c r="M138" s="5">
        <v>-0.016246</v>
      </c>
      <c r="N138" s="5">
        <v>-0.102644</v>
      </c>
      <c r="O138" s="5">
        <v>0.001728</v>
      </c>
    </row>
    <row r="139">
      <c r="A139" s="12" t="str">
        <f>IFERROR(__xludf.DUMMYFUNCTION("""COMPUTED_VALUE"""),"Matteo Montano")</f>
        <v>Matteo Montano</v>
      </c>
      <c r="B139" s="13" t="str">
        <f>IFERROR(__xludf.DUMMYFUNCTION("""COMPUTED_VALUE"""),"RAV")</f>
        <v>RAV</v>
      </c>
      <c r="C139" s="14">
        <f>IFERROR(__xludf.DUMMYFUNCTION("""COMPUTED_VALUE"""),656.0)</f>
        <v>656</v>
      </c>
      <c r="D139" s="15">
        <f>IFERROR(__xludf.DUMMYFUNCTION("""COMPUTED_VALUE"""),-0.2783240943683235)</f>
        <v>-0.2783240944</v>
      </c>
      <c r="E139" s="15">
        <f>IFERROR(__xludf.DUMMYFUNCTION("""COMPUTED_VALUE"""),0.2729722586558333)</f>
        <v>0.2729722587</v>
      </c>
      <c r="F139" s="15">
        <f>IFERROR(__xludf.DUMMYFUNCTION("""COMPUTED_VALUE"""),-0.005370435712490165)</f>
        <v>-0.005370435712</v>
      </c>
      <c r="G139" s="17">
        <f>IFERROR(__xludf.DUMMYFUNCTION("""COMPUTED_VALUE"""),0.3956476044867787)</f>
        <v>0.3956476045</v>
      </c>
      <c r="H139" s="4"/>
      <c r="I139" s="5" t="s">
        <v>1239</v>
      </c>
      <c r="J139" s="5" t="s">
        <v>3215</v>
      </c>
      <c r="K139" s="5">
        <v>394.0</v>
      </c>
      <c r="L139" s="5">
        <v>-0.642232</v>
      </c>
      <c r="M139" s="5">
        <v>0.532077</v>
      </c>
      <c r="N139" s="5">
        <v>-0.110155</v>
      </c>
      <c r="O139" s="5">
        <v>0.22621</v>
      </c>
    </row>
    <row r="140">
      <c r="A140" s="18" t="str">
        <f>IFERROR(__xludf.DUMMYFUNCTION("""COMPUTED_VALUE"""),"Emanuele Scaccabarozzi")</f>
        <v>Emanuele Scaccabarozzi</v>
      </c>
      <c r="B140" s="19" t="str">
        <f>IFERROR(__xludf.DUMMYFUNCTION("""COMPUTED_VALUE"""),"RAV")</f>
        <v>RAV</v>
      </c>
      <c r="C140" s="20">
        <f>IFERROR(__xludf.DUMMYFUNCTION("""COMPUTED_VALUE"""),1.0)</f>
        <v>1</v>
      </c>
      <c r="D140" s="21">
        <f>IFERROR(__xludf.DUMMYFUNCTION("""COMPUTED_VALUE"""),-0.01765857090939465)</f>
        <v>-0.01765857091</v>
      </c>
      <c r="E140" s="21">
        <f>IFERROR(__xludf.DUMMYFUNCTION("""COMPUTED_VALUE"""),0.0031289206944450413)</f>
        <v>0.003128920694</v>
      </c>
      <c r="F140" s="21">
        <f>IFERROR(__xludf.DUMMYFUNCTION("""COMPUTED_VALUE"""),-0.014538350214949607)</f>
        <v>-0.01453835021</v>
      </c>
      <c r="G140" s="23">
        <f>IFERROR(__xludf.DUMMYFUNCTION("""COMPUTED_VALUE"""),6.090209987255746E-4)</f>
        <v>0.0006090209987</v>
      </c>
      <c r="H140" s="4"/>
      <c r="I140" s="5" t="s">
        <v>3354</v>
      </c>
      <c r="J140" s="5" t="s">
        <v>3263</v>
      </c>
      <c r="K140" s="5">
        <v>25.0</v>
      </c>
      <c r="L140" s="5">
        <v>-0.375747</v>
      </c>
      <c r="M140" s="5">
        <v>0.207031</v>
      </c>
      <c r="N140" s="5">
        <v>-0.168716</v>
      </c>
      <c r="O140" s="5">
        <v>0.01354</v>
      </c>
    </row>
    <row r="141">
      <c r="A141" s="12" t="str">
        <f>IFERROR(__xludf.DUMMYFUNCTION("""COMPUTED_VALUE"""),"Quirino De Laurentiis")</f>
        <v>Quirino De Laurentiis</v>
      </c>
      <c r="B141" s="13" t="str">
        <f>IFERROR(__xludf.DUMMYFUNCTION("""COMPUTED_VALUE"""),"FOR")</f>
        <v>FOR</v>
      </c>
      <c r="C141" s="14">
        <f>IFERROR(__xludf.DUMMYFUNCTION("""COMPUTED_VALUE"""),581.0)</f>
        <v>581</v>
      </c>
      <c r="D141" s="15">
        <f>IFERROR(__xludf.DUMMYFUNCTION("""COMPUTED_VALUE"""),-2.3689814563579095)</f>
        <v>-2.368981456</v>
      </c>
      <c r="E141" s="15">
        <f>IFERROR(__xludf.DUMMYFUNCTION("""COMPUTED_VALUE"""),2.353499596609845)</f>
        <v>2.353499597</v>
      </c>
      <c r="F141" s="15">
        <f>IFERROR(__xludf.DUMMYFUNCTION("""COMPUTED_VALUE"""),-0.015515059748064618)</f>
        <v>-0.01551505975</v>
      </c>
      <c r="G141" s="17">
        <f>IFERROR(__xludf.DUMMYFUNCTION("""COMPUTED_VALUE"""),0.3486481214734049)</f>
        <v>0.3486481215</v>
      </c>
      <c r="H141" s="4"/>
      <c r="I141" s="5" t="s">
        <v>3355</v>
      </c>
      <c r="J141" s="5" t="s">
        <v>3237</v>
      </c>
      <c r="K141" s="5">
        <v>2.0</v>
      </c>
      <c r="L141" s="5">
        <v>-0.170836</v>
      </c>
      <c r="M141" s="5">
        <v>-2.36E-4</v>
      </c>
      <c r="N141" s="5">
        <v>-0.171072</v>
      </c>
      <c r="O141" s="5">
        <v>0.001172</v>
      </c>
    </row>
    <row r="142">
      <c r="A142" s="18" t="str">
        <f>IFERROR(__xludf.DUMMYFUNCTION("""COMPUTED_VALUE"""),"Lorenzo Cremaschi")</f>
        <v>Lorenzo Cremaschi</v>
      </c>
      <c r="B142" s="19" t="str">
        <f>IFERROR(__xludf.DUMMYFUNCTION("""COMPUTED_VALUE"""),"TORT")</f>
        <v>TORT</v>
      </c>
      <c r="C142" s="20">
        <f>IFERROR(__xludf.DUMMYFUNCTION("""COMPUTED_VALUE"""),1.0)</f>
        <v>1</v>
      </c>
      <c r="D142" s="21">
        <f>IFERROR(__xludf.DUMMYFUNCTION("""COMPUTED_VALUE"""),-0.017694089768322884)</f>
        <v>-0.01769408977</v>
      </c>
      <c r="E142" s="21">
        <f>IFERROR(__xludf.DUMMYFUNCTION("""COMPUTED_VALUE"""),0.0018962351391982205)</f>
        <v>0.001896235139</v>
      </c>
      <c r="F142" s="21">
        <f>IFERROR(__xludf.DUMMYFUNCTION("""COMPUTED_VALUE"""),-0.015832054629124664)</f>
        <v>-0.01583205463</v>
      </c>
      <c r="G142" s="23">
        <f>IFERROR(__xludf.DUMMYFUNCTION("""COMPUTED_VALUE"""),7.189517402105812E-4)</f>
        <v>0.0007189517402</v>
      </c>
      <c r="H142" s="4"/>
      <c r="I142" s="5" t="s">
        <v>3356</v>
      </c>
      <c r="J142" s="5" t="s">
        <v>3237</v>
      </c>
      <c r="K142" s="24">
        <v>7.0</v>
      </c>
      <c r="L142" s="5">
        <v>-0.27802</v>
      </c>
      <c r="M142" s="5">
        <v>0.104922</v>
      </c>
      <c r="N142" s="5">
        <v>-0.173098</v>
      </c>
      <c r="O142" s="5">
        <v>0.004561</v>
      </c>
    </row>
    <row r="143">
      <c r="A143" s="12" t="str">
        <f>IFERROR(__xludf.DUMMYFUNCTION("""COMPUTED_VALUE"""),"Jesse Perry")</f>
        <v>Jesse Perry</v>
      </c>
      <c r="B143" s="13" t="str">
        <f>IFERROR(__xludf.DUMMYFUNCTION("""COMPUTED_VALUE"""),"TRA")</f>
        <v>TRA</v>
      </c>
      <c r="C143" s="14">
        <f>IFERROR(__xludf.DUMMYFUNCTION("""COMPUTED_VALUE"""),982.0)</f>
        <v>982</v>
      </c>
      <c r="D143" s="15">
        <f>IFERROR(__xludf.DUMMYFUNCTION("""COMPUTED_VALUE"""),1.0275635415712123)</f>
        <v>1.027563542</v>
      </c>
      <c r="E143" s="15">
        <f>IFERROR(__xludf.DUMMYFUNCTION("""COMPUTED_VALUE"""),-1.0433933684336227)</f>
        <v>-1.043393368</v>
      </c>
      <c r="F143" s="15">
        <f>IFERROR(__xludf.DUMMYFUNCTION("""COMPUTED_VALUE"""),-0.01584492686241028)</f>
        <v>-0.01584492686</v>
      </c>
      <c r="G143" s="17">
        <f>IFERROR(__xludf.DUMMYFUNCTION("""COMPUTED_VALUE"""),0.6033605293395927)</f>
        <v>0.6033605293</v>
      </c>
      <c r="H143" s="4"/>
      <c r="I143" s="5" t="s">
        <v>3357</v>
      </c>
      <c r="J143" s="5" t="s">
        <v>3210</v>
      </c>
      <c r="K143" s="5">
        <v>18.0</v>
      </c>
      <c r="L143" s="5">
        <v>0.106977</v>
      </c>
      <c r="M143" s="5">
        <v>-0.281848</v>
      </c>
      <c r="N143" s="5">
        <v>-0.174871</v>
      </c>
      <c r="O143" s="5">
        <v>0.009721</v>
      </c>
    </row>
    <row r="144">
      <c r="A144" s="18" t="str">
        <f>IFERROR(__xludf.DUMMYFUNCTION("""COMPUTED_VALUE"""),"Othmane Youbi")</f>
        <v>Othmane Youbi</v>
      </c>
      <c r="B144" s="19" t="str">
        <f>IFERROR(__xludf.DUMMYFUNCTION("""COMPUTED_VALUE"""),"BOL")</f>
        <v>BOL</v>
      </c>
      <c r="C144" s="20">
        <f>IFERROR(__xludf.DUMMYFUNCTION("""COMPUTED_VALUE"""),1.0)</f>
        <v>1</v>
      </c>
      <c r="D144" s="21">
        <f>IFERROR(__xludf.DUMMYFUNCTION("""COMPUTED_VALUE"""),-0.02068726037592068)</f>
        <v>-0.02068726038</v>
      </c>
      <c r="E144" s="21">
        <f>IFERROR(__xludf.DUMMYFUNCTION("""COMPUTED_VALUE"""),0.004517498357528081)</f>
        <v>0.004517498358</v>
      </c>
      <c r="F144" s="21">
        <f>IFERROR(__xludf.DUMMYFUNCTION("""COMPUTED_VALUE"""),-0.016170762018392598)</f>
        <v>-0.01617076202</v>
      </c>
      <c r="G144" s="23">
        <f>IFERROR(__xludf.DUMMYFUNCTION("""COMPUTED_VALUE"""),6.073714950243937E-4)</f>
        <v>0.000607371495</v>
      </c>
      <c r="H144" s="4"/>
      <c r="I144" s="5" t="s">
        <v>964</v>
      </c>
      <c r="J144" s="5" t="s">
        <v>3226</v>
      </c>
      <c r="K144" s="5">
        <v>4.0</v>
      </c>
      <c r="L144" s="5">
        <v>-0.135464</v>
      </c>
      <c r="M144" s="5">
        <v>-0.045648</v>
      </c>
      <c r="N144" s="5">
        <v>-0.181112</v>
      </c>
      <c r="O144" s="5">
        <v>0.00222</v>
      </c>
    </row>
    <row r="145">
      <c r="A145" s="12" t="str">
        <f>IFERROR(__xludf.DUMMYFUNCTION("""COMPUTED_VALUE"""),"Christian Piazza")</f>
        <v>Christian Piazza</v>
      </c>
      <c r="B145" s="13" t="str">
        <f>IFERROR(__xludf.DUMMYFUNCTION("""COMPUTED_VALUE"""),"FOR")</f>
        <v>FOR</v>
      </c>
      <c r="C145" s="14">
        <f>IFERROR(__xludf.DUMMYFUNCTION("""COMPUTED_VALUE"""),1.0)</f>
        <v>1</v>
      </c>
      <c r="D145" s="15">
        <f>IFERROR(__xludf.DUMMYFUNCTION("""COMPUTED_VALUE"""),-0.021406555059165992)</f>
        <v>-0.02140655506</v>
      </c>
      <c r="E145" s="15">
        <f>IFERROR(__xludf.DUMMYFUNCTION("""COMPUTED_VALUE"""),0.003787447488792615)</f>
        <v>0.003787447489</v>
      </c>
      <c r="F145" s="15">
        <f>IFERROR(__xludf.DUMMYFUNCTION("""COMPUTED_VALUE"""),-0.017634007570373377)</f>
        <v>-0.01763400757</v>
      </c>
      <c r="G145" s="17">
        <f>IFERROR(__xludf.DUMMYFUNCTION("""COMPUTED_VALUE"""),6.14285000734618E-4)</f>
        <v>0.0006142850007</v>
      </c>
      <c r="H145" s="4"/>
      <c r="I145" s="5" t="s">
        <v>3358</v>
      </c>
      <c r="J145" s="5" t="s">
        <v>3240</v>
      </c>
      <c r="K145" s="5">
        <v>67.0</v>
      </c>
      <c r="L145" s="5">
        <v>0.02928</v>
      </c>
      <c r="M145" s="5">
        <v>-0.214644</v>
      </c>
      <c r="N145" s="5">
        <v>-0.185364</v>
      </c>
      <c r="O145" s="5">
        <v>0.036799</v>
      </c>
    </row>
    <row r="146">
      <c r="A146" s="18" t="str">
        <f>IFERROR(__xludf.DUMMYFUNCTION("""COMPUTED_VALUE"""),"Federico Banchero")</f>
        <v>Federico Banchero</v>
      </c>
      <c r="B146" s="19" t="str">
        <f>IFERROR(__xludf.DUMMYFUNCTION("""COMPUTED_VALUE"""),"NCM")</f>
        <v>NCM</v>
      </c>
      <c r="C146" s="20">
        <f>IFERROR(__xludf.DUMMYFUNCTION("""COMPUTED_VALUE"""),1.0)</f>
        <v>1</v>
      </c>
      <c r="D146" s="21">
        <f>IFERROR(__xludf.DUMMYFUNCTION("""COMPUTED_VALUE"""),-0.021973920687338427)</f>
        <v>-0.02197392069</v>
      </c>
      <c r="E146" s="21">
        <f>IFERROR(__xludf.DUMMYFUNCTION("""COMPUTED_VALUE"""),0.003778067172913797)</f>
        <v>0.003778067173</v>
      </c>
      <c r="F146" s="21">
        <f>IFERROR(__xludf.DUMMYFUNCTION("""COMPUTED_VALUE"""),-0.01823845351442463)</f>
        <v>-0.01823845351</v>
      </c>
      <c r="G146" s="23">
        <f>IFERROR(__xludf.DUMMYFUNCTION("""COMPUTED_VALUE"""),6.53584307973766E-4)</f>
        <v>0.000653584308</v>
      </c>
      <c r="H146" s="4"/>
      <c r="I146" s="5" t="s">
        <v>3359</v>
      </c>
      <c r="J146" s="5" t="s">
        <v>3226</v>
      </c>
      <c r="K146" s="5">
        <v>4.0</v>
      </c>
      <c r="L146" s="5">
        <v>-0.200066</v>
      </c>
      <c r="M146" s="5">
        <v>0.009252</v>
      </c>
      <c r="N146" s="5">
        <v>-0.190814</v>
      </c>
      <c r="O146" s="5">
        <v>0.002098</v>
      </c>
    </row>
    <row r="147">
      <c r="A147" s="12" t="str">
        <f>IFERROR(__xludf.DUMMYFUNCTION("""COMPUTED_VALUE"""),"Simone Ciccarello")</f>
        <v>Simone Ciccarello</v>
      </c>
      <c r="B147" s="13" t="str">
        <f>IFERROR(__xludf.DUMMYFUNCTION("""COMPUTED_VALUE"""),"VRC")</f>
        <v>VRC</v>
      </c>
      <c r="C147" s="14">
        <f>IFERROR(__xludf.DUMMYFUNCTION("""COMPUTED_VALUE"""),1.0)</f>
        <v>1</v>
      </c>
      <c r="D147" s="15">
        <f>IFERROR(__xludf.DUMMYFUNCTION("""COMPUTED_VALUE"""),-0.020544006614282052)</f>
        <v>-0.02054400661</v>
      </c>
      <c r="E147" s="15">
        <f>IFERROR(__xludf.DUMMYFUNCTION("""COMPUTED_VALUE"""),0.00218032049124451)</f>
        <v>0.002180320491</v>
      </c>
      <c r="F147" s="15">
        <f>IFERROR(__xludf.DUMMYFUNCTION("""COMPUTED_VALUE"""),-0.018399286123037543)</f>
        <v>-0.01839928612</v>
      </c>
      <c r="G147" s="17">
        <f>IFERROR(__xludf.DUMMYFUNCTION("""COMPUTED_VALUE"""),6.479624215986114E-4)</f>
        <v>0.0006479624216</v>
      </c>
      <c r="H147" s="4"/>
      <c r="I147" s="5" t="s">
        <v>3360</v>
      </c>
      <c r="J147" s="5" t="s">
        <v>3210</v>
      </c>
      <c r="K147" s="5">
        <v>2.0</v>
      </c>
      <c r="L147" s="5">
        <v>-0.181339</v>
      </c>
      <c r="M147" s="5">
        <v>-0.010969</v>
      </c>
      <c r="N147" s="5">
        <v>-0.192308</v>
      </c>
      <c r="O147" s="5">
        <v>9.25E-4</v>
      </c>
    </row>
    <row r="148">
      <c r="A148" s="18" t="str">
        <f>IFERROR(__xludf.DUMMYFUNCTION("""COMPUTED_VALUE"""),"Diego Alehandro Urso")</f>
        <v>Diego Alehandro Urso</v>
      </c>
      <c r="B148" s="19" t="str">
        <f>IFERROR(__xludf.DUMMYFUNCTION("""COMPUTED_VALUE"""),"POD")</f>
        <v>POD</v>
      </c>
      <c r="C148" s="20">
        <f>IFERROR(__xludf.DUMMYFUNCTION("""COMPUTED_VALUE"""),1.0)</f>
        <v>1</v>
      </c>
      <c r="D148" s="21">
        <f>IFERROR(__xludf.DUMMYFUNCTION("""COMPUTED_VALUE"""),-0.01903831686744343)</f>
        <v>-0.01903831687</v>
      </c>
      <c r="E148" s="21">
        <f>IFERROR(__xludf.DUMMYFUNCTION("""COMPUTED_VALUE"""),5.139348942832915E-4)</f>
        <v>0.0005139348943</v>
      </c>
      <c r="F148" s="21">
        <f>IFERROR(__xludf.DUMMYFUNCTION("""COMPUTED_VALUE"""),-0.018527481973160138)</f>
        <v>-0.01852748197</v>
      </c>
      <c r="G148" s="23">
        <f>IFERROR(__xludf.DUMMYFUNCTION("""COMPUTED_VALUE"""),6.108057326356307E-4)</f>
        <v>0.0006108057326</v>
      </c>
      <c r="H148" s="4"/>
      <c r="I148" s="5" t="s">
        <v>3361</v>
      </c>
      <c r="J148" s="5" t="s">
        <v>3281</v>
      </c>
      <c r="K148" s="5">
        <v>2.0</v>
      </c>
      <c r="L148" s="5">
        <v>-0.091056</v>
      </c>
      <c r="M148" s="5">
        <v>-0.113393</v>
      </c>
      <c r="N148" s="5">
        <v>-0.204448</v>
      </c>
      <c r="O148" s="5">
        <v>0.00115</v>
      </c>
    </row>
    <row r="149">
      <c r="A149" s="12" t="str">
        <f>IFERROR(__xludf.DUMMYFUNCTION("""COMPUTED_VALUE"""),"Alessandro Sperduto")</f>
        <v>Alessandro Sperduto</v>
      </c>
      <c r="B149" s="13" t="str">
        <f>IFERROR(__xludf.DUMMYFUNCTION("""COMPUTED_VALUE"""),"LEON")</f>
        <v>LEON</v>
      </c>
      <c r="C149" s="14">
        <f>IFERROR(__xludf.DUMMYFUNCTION("""COMPUTED_VALUE"""),1.0)</f>
        <v>1</v>
      </c>
      <c r="D149" s="15">
        <f>IFERROR(__xludf.DUMMYFUNCTION("""COMPUTED_VALUE"""),-0.023038850105819315)</f>
        <v>-0.02303885011</v>
      </c>
      <c r="E149" s="15">
        <f>IFERROR(__xludf.DUMMYFUNCTION("""COMPUTED_VALUE"""),0.0032640729184668206)</f>
        <v>0.003264072918</v>
      </c>
      <c r="F149" s="15">
        <f>IFERROR(__xludf.DUMMYFUNCTION("""COMPUTED_VALUE"""),-0.019781377187352494)</f>
        <v>-0.01978137719</v>
      </c>
      <c r="G149" s="17">
        <f>IFERROR(__xludf.DUMMYFUNCTION("""COMPUTED_VALUE"""),7.030051022380906E-4)</f>
        <v>0.0007030051022</v>
      </c>
      <c r="H149" s="4"/>
      <c r="I149" s="5" t="s">
        <v>940</v>
      </c>
      <c r="J149" s="5" t="s">
        <v>3256</v>
      </c>
      <c r="K149" s="24">
        <v>114.0</v>
      </c>
      <c r="L149" s="5">
        <v>-1.372906</v>
      </c>
      <c r="M149" s="5">
        <v>1.162912</v>
      </c>
      <c r="N149" s="5">
        <v>-0.209994</v>
      </c>
      <c r="O149" s="5">
        <v>0.061771</v>
      </c>
    </row>
    <row r="150">
      <c r="A150" s="18" t="str">
        <f>IFERROR(__xludf.DUMMYFUNCTION("""COMPUTED_VALUE"""),"Alessandro Caselli")</f>
        <v>Alessandro Caselli</v>
      </c>
      <c r="B150" s="19" t="str">
        <f>IFERROR(__xludf.DUMMYFUNCTION("""COMPUTED_VALUE"""),"FER")</f>
        <v>FER</v>
      </c>
      <c r="C150" s="20">
        <f>IFERROR(__xludf.DUMMYFUNCTION("""COMPUTED_VALUE"""),1.0)</f>
        <v>1</v>
      </c>
      <c r="D150" s="21">
        <f>IFERROR(__xludf.DUMMYFUNCTION("""COMPUTED_VALUE"""),-0.022705051550967775)</f>
        <v>-0.02270505155</v>
      </c>
      <c r="E150" s="21">
        <f>IFERROR(__xludf.DUMMYFUNCTION("""COMPUTED_VALUE"""),0.002650262471080085)</f>
        <v>0.002650262471</v>
      </c>
      <c r="F150" s="21">
        <f>IFERROR(__xludf.DUMMYFUNCTION("""COMPUTED_VALUE"""),-0.02009218907988769)</f>
        <v>-0.02009218908</v>
      </c>
      <c r="G150" s="23">
        <f>IFERROR(__xludf.DUMMYFUNCTION("""COMPUTED_VALUE"""),6.49813732372866E-4)</f>
        <v>0.0006498137324</v>
      </c>
      <c r="H150" s="4"/>
      <c r="I150" s="5" t="s">
        <v>3362</v>
      </c>
      <c r="J150" s="5" t="s">
        <v>644</v>
      </c>
      <c r="K150" s="24">
        <v>3.0</v>
      </c>
      <c r="L150" s="5">
        <v>-0.16432</v>
      </c>
      <c r="M150" s="5">
        <v>-0.088385</v>
      </c>
      <c r="N150" s="5">
        <v>-0.252706</v>
      </c>
      <c r="O150" s="5">
        <v>0.001644</v>
      </c>
    </row>
    <row r="151">
      <c r="A151" s="12" t="str">
        <f>IFERROR(__xludf.DUMMYFUNCTION("""COMPUTED_VALUE"""),"Riccardo Grazzi")</f>
        <v>Riccardo Grazzi</v>
      </c>
      <c r="B151" s="13" t="str">
        <f>IFERROR(__xludf.DUMMYFUNCTION("""COMPUTED_VALUE"""),"FER")</f>
        <v>FER</v>
      </c>
      <c r="C151" s="14">
        <f>IFERROR(__xludf.DUMMYFUNCTION("""COMPUTED_VALUE"""),1.0)</f>
        <v>1</v>
      </c>
      <c r="D151" s="15">
        <f>IFERROR(__xludf.DUMMYFUNCTION("""COMPUTED_VALUE"""),-0.022714951550967775)</f>
        <v>-0.02271495155</v>
      </c>
      <c r="E151" s="15">
        <f>IFERROR(__xludf.DUMMYFUNCTION("""COMPUTED_VALUE"""),0.0026403624710800854)</f>
        <v>0.002640362471</v>
      </c>
      <c r="F151" s="15">
        <f>IFERROR(__xludf.DUMMYFUNCTION("""COMPUTED_VALUE"""),-0.02010208907988769)</f>
        <v>-0.02010208908</v>
      </c>
      <c r="G151" s="17">
        <f>IFERROR(__xludf.DUMMYFUNCTION("""COMPUTED_VALUE"""),6.39910670161627E-4)</f>
        <v>0.0006399106702</v>
      </c>
      <c r="H151" s="4"/>
      <c r="I151" s="5" t="s">
        <v>3363</v>
      </c>
      <c r="J151" s="5" t="s">
        <v>3217</v>
      </c>
      <c r="K151" s="24">
        <v>8.0</v>
      </c>
      <c r="L151" s="5">
        <v>-0.039457</v>
      </c>
      <c r="M151" s="5">
        <v>-0.217761</v>
      </c>
      <c r="N151" s="5">
        <v>-0.257217</v>
      </c>
      <c r="O151" s="5">
        <v>0.004144</v>
      </c>
    </row>
    <row r="152">
      <c r="A152" s="18" t="str">
        <f>IFERROR(__xludf.DUMMYFUNCTION("""COMPUTED_VALUE"""),"Daniel Spizzichino")</f>
        <v>Daniel Spizzichino</v>
      </c>
      <c r="B152" s="19" t="str">
        <f>IFERROR(__xludf.DUMMYFUNCTION("""COMPUTED_VALUE"""),"ROM")</f>
        <v>ROM</v>
      </c>
      <c r="C152" s="20">
        <f>IFERROR(__xludf.DUMMYFUNCTION("""COMPUTED_VALUE"""),1.0)</f>
        <v>1</v>
      </c>
      <c r="D152" s="21">
        <f>IFERROR(__xludf.DUMMYFUNCTION("""COMPUTED_VALUE"""),-0.01962134363630872)</f>
        <v>-0.01962134364</v>
      </c>
      <c r="E152" s="21">
        <f>IFERROR(__xludf.DUMMYFUNCTION("""COMPUTED_VALUE"""),-0.002496372527332845)</f>
        <v>-0.002496372527</v>
      </c>
      <c r="F152" s="21">
        <f>IFERROR(__xludf.DUMMYFUNCTION("""COMPUTED_VALUE"""),-0.022124016163641565)</f>
        <v>-0.02212401616</v>
      </c>
      <c r="G152" s="23">
        <f>IFERROR(__xludf.DUMMYFUNCTION("""COMPUTED_VALUE"""),6.001946872327932E-4)</f>
        <v>0.0006001946872</v>
      </c>
      <c r="H152" s="4"/>
      <c r="I152" s="5" t="s">
        <v>3364</v>
      </c>
      <c r="J152" s="5" t="s">
        <v>3263</v>
      </c>
      <c r="K152" s="5">
        <v>11.0</v>
      </c>
      <c r="L152" s="5">
        <v>-0.258202</v>
      </c>
      <c r="M152" s="5">
        <v>5.83E-4</v>
      </c>
      <c r="N152" s="5">
        <v>-0.257619</v>
      </c>
      <c r="O152" s="5">
        <v>0.005865</v>
      </c>
    </row>
    <row r="153">
      <c r="A153" s="12" t="str">
        <f>IFERROR(__xludf.DUMMYFUNCTION("""COMPUTED_VALUE"""),"Vincenzo Taddeo")</f>
        <v>Vincenzo Taddeo</v>
      </c>
      <c r="B153" s="13" t="str">
        <f>IFERROR(__xludf.DUMMYFUNCTION("""COMPUTED_VALUE"""),"ROM")</f>
        <v>ROM</v>
      </c>
      <c r="C153" s="14">
        <f>IFERROR(__xludf.DUMMYFUNCTION("""COMPUTED_VALUE"""),1.0)</f>
        <v>1</v>
      </c>
      <c r="D153" s="15">
        <f>IFERROR(__xludf.DUMMYFUNCTION("""COMPUTED_VALUE"""),-0.01962194363630872)</f>
        <v>-0.01962194364</v>
      </c>
      <c r="E153" s="15">
        <f>IFERROR(__xludf.DUMMYFUNCTION("""COMPUTED_VALUE"""),-0.002496972527332845)</f>
        <v>-0.002496972527</v>
      </c>
      <c r="F153" s="15">
        <f>IFERROR(__xludf.DUMMYFUNCTION("""COMPUTED_VALUE"""),-0.022124616163641565)</f>
        <v>-0.02212461616</v>
      </c>
      <c r="G153" s="17">
        <f>IFERROR(__xludf.DUMMYFUNCTION("""COMPUTED_VALUE"""),5.995945070714407E-4)</f>
        <v>0.0005995945071</v>
      </c>
      <c r="H153" s="4"/>
      <c r="I153" s="5" t="s">
        <v>3365</v>
      </c>
      <c r="J153" s="5" t="s">
        <v>3220</v>
      </c>
      <c r="K153" s="24">
        <v>811.0</v>
      </c>
      <c r="L153" s="5">
        <v>-0.077698</v>
      </c>
      <c r="M153" s="5">
        <v>-0.202854</v>
      </c>
      <c r="N153" s="5">
        <v>-0.280552</v>
      </c>
      <c r="O153" s="5">
        <v>0.427995</v>
      </c>
    </row>
    <row r="154">
      <c r="A154" s="18" t="str">
        <f>IFERROR(__xludf.DUMMYFUNCTION("""COMPUTED_VALUE"""),"Simone Ricci")</f>
        <v>Simone Ricci</v>
      </c>
      <c r="B154" s="19" t="str">
        <f>IFERROR(__xludf.DUMMYFUNCTION("""COMPUTED_VALUE"""),"BERG")</f>
        <v>BERG</v>
      </c>
      <c r="C154" s="20">
        <f>IFERROR(__xludf.DUMMYFUNCTION("""COMPUTED_VALUE"""),1.0)</f>
        <v>1</v>
      </c>
      <c r="D154" s="21">
        <f>IFERROR(__xludf.DUMMYFUNCTION("""COMPUTED_VALUE"""),-0.022971887000338767)</f>
        <v>-0.022971887</v>
      </c>
      <c r="E154" s="21">
        <f>IFERROR(__xludf.DUMMYFUNCTION("""COMPUTED_VALUE"""),7.6406662054292E-4)</f>
        <v>0.0007640666205</v>
      </c>
      <c r="F154" s="21">
        <f>IFERROR(__xludf.DUMMYFUNCTION("""COMPUTED_VALUE"""),-0.022219520379795847)</f>
        <v>-0.02221952038</v>
      </c>
      <c r="G154" s="23">
        <f>IFERROR(__xludf.DUMMYFUNCTION("""COMPUTED_VALUE"""),6.438419499433582E-4)</f>
        <v>0.0006438419499</v>
      </c>
      <c r="H154" s="4"/>
      <c r="I154" s="5" t="s">
        <v>3366</v>
      </c>
      <c r="J154" s="5" t="s">
        <v>3278</v>
      </c>
      <c r="K154" s="5">
        <v>8.0</v>
      </c>
      <c r="L154" s="5">
        <v>-0.236755</v>
      </c>
      <c r="M154" s="5">
        <v>-0.048637</v>
      </c>
      <c r="N154" s="5">
        <v>-0.285392</v>
      </c>
      <c r="O154" s="5">
        <v>0.004039</v>
      </c>
    </row>
    <row r="155">
      <c r="A155" s="12" t="str">
        <f>IFERROR(__xludf.DUMMYFUNCTION("""COMPUTED_VALUE"""),"Janko Cepic")</f>
        <v>Janko Cepic</v>
      </c>
      <c r="B155" s="13" t="str">
        <f>IFERROR(__xludf.DUMMYFUNCTION("""COMPUTED_VALUE"""),"SANA")</f>
        <v>SANA</v>
      </c>
      <c r="C155" s="14">
        <f>IFERROR(__xludf.DUMMYFUNCTION("""COMPUTED_VALUE"""),2.0)</f>
        <v>2</v>
      </c>
      <c r="D155" s="15">
        <f>IFERROR(__xludf.DUMMYFUNCTION("""COMPUTED_VALUE"""),-0.03213883272486042)</f>
        <v>-0.03213883272</v>
      </c>
      <c r="E155" s="15">
        <f>IFERROR(__xludf.DUMMYFUNCTION("""COMPUTED_VALUE"""),0.002606568527722162)</f>
        <v>0.002606568528</v>
      </c>
      <c r="F155" s="15">
        <f>IFERROR(__xludf.DUMMYFUNCTION("""COMPUTED_VALUE"""),-0.02956866419713826)</f>
        <v>-0.0295686642</v>
      </c>
      <c r="G155" s="17">
        <f>IFERROR(__xludf.DUMMYFUNCTION("""COMPUTED_VALUE"""),0.0012350855887905022)</f>
        <v>0.001235085589</v>
      </c>
      <c r="H155" s="4"/>
      <c r="I155" s="5" t="s">
        <v>3130</v>
      </c>
      <c r="J155" s="5" t="s">
        <v>3212</v>
      </c>
      <c r="K155" s="5">
        <v>85.0</v>
      </c>
      <c r="L155" s="5">
        <v>-0.755871</v>
      </c>
      <c r="M155" s="5">
        <v>0.469907</v>
      </c>
      <c r="N155" s="5">
        <v>-0.285964</v>
      </c>
      <c r="O155" s="5">
        <v>0.044044</v>
      </c>
    </row>
    <row r="156">
      <c r="A156" s="18" t="str">
        <f>IFERROR(__xludf.DUMMYFUNCTION("""COMPUTED_VALUE"""),"Simone Ravaioli")</f>
        <v>Simone Ravaioli</v>
      </c>
      <c r="B156" s="19" t="str">
        <f>IFERROR(__xludf.DUMMYFUNCTION("""COMPUTED_VALUE"""),"FOR")</f>
        <v>FOR</v>
      </c>
      <c r="C156" s="20">
        <f>IFERROR(__xludf.DUMMYFUNCTION("""COMPUTED_VALUE"""),2.0)</f>
        <v>2</v>
      </c>
      <c r="D156" s="21">
        <f>IFERROR(__xludf.DUMMYFUNCTION("""COMPUTED_VALUE"""),-0.042762065343756976)</f>
        <v>-0.04276206534</v>
      </c>
      <c r="E156" s="21">
        <f>IFERROR(__xludf.DUMMYFUNCTION("""COMPUTED_VALUE"""),0.007620067252579548)</f>
        <v>0.007620067253</v>
      </c>
      <c r="F156" s="21">
        <f>IFERROR(__xludf.DUMMYFUNCTION("""COMPUTED_VALUE"""),-0.03515409809117743)</f>
        <v>-0.03515409809</v>
      </c>
      <c r="G156" s="23">
        <f>IFERROR(__xludf.DUMMYFUNCTION("""COMPUTED_VALUE"""),0.0012002753085519988)</f>
        <v>0.001200275309</v>
      </c>
      <c r="H156" s="4"/>
      <c r="I156" s="5" t="s">
        <v>3193</v>
      </c>
      <c r="J156" s="5" t="s">
        <v>3210</v>
      </c>
      <c r="K156" s="5">
        <v>457.0</v>
      </c>
      <c r="L156" s="5">
        <v>-0.047917</v>
      </c>
      <c r="M156" s="5">
        <v>-0.239113</v>
      </c>
      <c r="N156" s="5">
        <v>-0.28703</v>
      </c>
      <c r="O156" s="5">
        <v>0.235709</v>
      </c>
    </row>
    <row r="157">
      <c r="A157" s="12" t="str">
        <f>IFERROR(__xludf.DUMMYFUNCTION("""COMPUTED_VALUE"""),"Thomas Wiltshire")</f>
        <v>Thomas Wiltshire</v>
      </c>
      <c r="B157" s="13" t="str">
        <f>IFERROR(__xludf.DUMMYFUNCTION("""COMPUTED_VALUE"""),"IMOL")</f>
        <v>IMOL</v>
      </c>
      <c r="C157" s="14">
        <f>IFERROR(__xludf.DUMMYFUNCTION("""COMPUTED_VALUE"""),2.0)</f>
        <v>2</v>
      </c>
      <c r="D157" s="15">
        <f>IFERROR(__xludf.DUMMYFUNCTION("""COMPUTED_VALUE"""),-0.042853502359189624)</f>
        <v>-0.04285350236</v>
      </c>
      <c r="E157" s="15">
        <f>IFERROR(__xludf.DUMMYFUNCTION("""COMPUTED_VALUE"""),0.007625250901433872)</f>
        <v>0.007625250901</v>
      </c>
      <c r="F157" s="15">
        <f>IFERROR(__xludf.DUMMYFUNCTION("""COMPUTED_VALUE"""),-0.03522945145775575)</f>
        <v>-0.03522945146</v>
      </c>
      <c r="G157" s="17">
        <f>IFERROR(__xludf.DUMMYFUNCTION("""COMPUTED_VALUE"""),0.0011992308222818565)</f>
        <v>0.001199230822</v>
      </c>
      <c r="H157" s="4"/>
      <c r="I157" s="5" t="s">
        <v>3367</v>
      </c>
      <c r="J157" s="5" t="s">
        <v>3251</v>
      </c>
      <c r="K157" s="5">
        <v>11.0</v>
      </c>
      <c r="L157" s="5">
        <v>-0.24745</v>
      </c>
      <c r="M157" s="5">
        <v>-0.058857</v>
      </c>
      <c r="N157" s="5">
        <v>-0.306307</v>
      </c>
      <c r="O157" s="5">
        <v>0.005609</v>
      </c>
    </row>
    <row r="158">
      <c r="A158" s="18" t="str">
        <f>IFERROR(__xludf.DUMMYFUNCTION("""COMPUTED_VALUE"""),"Simone Cimini")</f>
        <v>Simone Cimini</v>
      </c>
      <c r="B158" s="19" t="str">
        <f>IFERROR(__xludf.DUMMYFUNCTION("""COMPUTED_VALUE"""),"POD")</f>
        <v>POD</v>
      </c>
      <c r="C158" s="20">
        <f>IFERROR(__xludf.DUMMYFUNCTION("""COMPUTED_VALUE"""),2.0)</f>
        <v>2</v>
      </c>
      <c r="D158" s="21">
        <f>IFERROR(__xludf.DUMMYFUNCTION("""COMPUTED_VALUE"""),-0.03797858896031185)</f>
        <v>-0.03797858896</v>
      </c>
      <c r="E158" s="21">
        <f>IFERROR(__xludf.DUMMYFUNCTION("""COMPUTED_VALUE"""),0.0011200420635609073)</f>
        <v>0.001120042064</v>
      </c>
      <c r="F158" s="21">
        <f>IFERROR(__xludf.DUMMYFUNCTION("""COMPUTED_VALUE"""),-0.036894046896750944)</f>
        <v>-0.0368940469</v>
      </c>
      <c r="G158" s="23">
        <f>IFERROR(__xludf.DUMMYFUNCTION("""COMPUTED_VALUE"""),0.0012396456347423522)</f>
        <v>0.001239645635</v>
      </c>
      <c r="H158" s="4"/>
      <c r="I158" s="5" t="s">
        <v>3368</v>
      </c>
      <c r="J158" s="5" t="s">
        <v>2201</v>
      </c>
      <c r="K158" s="5">
        <v>415.0</v>
      </c>
      <c r="L158" s="5">
        <v>0.058384</v>
      </c>
      <c r="M158" s="5">
        <v>-0.369694</v>
      </c>
      <c r="N158" s="5">
        <v>-0.31131</v>
      </c>
      <c r="O158" s="5">
        <v>0.214031</v>
      </c>
    </row>
    <row r="159">
      <c r="A159" s="12" t="str">
        <f>IFERROR(__xludf.DUMMYFUNCTION("""COMPUTED_VALUE"""),"Giacomo Scocco")</f>
        <v>Giacomo Scocco</v>
      </c>
      <c r="B159" s="13" t="str">
        <f>IFERROR(__xludf.DUMMYFUNCTION("""COMPUTED_VALUE"""),"POD")</f>
        <v>POD</v>
      </c>
      <c r="C159" s="14">
        <f>IFERROR(__xludf.DUMMYFUNCTION("""COMPUTED_VALUE"""),2.0)</f>
        <v>2</v>
      </c>
      <c r="D159" s="15">
        <f>IFERROR(__xludf.DUMMYFUNCTION("""COMPUTED_VALUE"""),-0.03800578896031185)</f>
        <v>-0.03800578896</v>
      </c>
      <c r="E159" s="15">
        <f>IFERROR(__xludf.DUMMYFUNCTION("""COMPUTED_VALUE"""),0.0010928420635609073)</f>
        <v>0.001092842064</v>
      </c>
      <c r="F159" s="15">
        <f>IFERROR(__xludf.DUMMYFUNCTION("""COMPUTED_VALUE"""),-0.03692124689675094)</f>
        <v>-0.0369212469</v>
      </c>
      <c r="G159" s="17">
        <f>IFERROR(__xludf.DUMMYFUNCTION("""COMPUTED_VALUE"""),0.001212428950588747)</f>
        <v>0.001212428951</v>
      </c>
      <c r="H159" s="4"/>
      <c r="I159" s="5" t="s">
        <v>3079</v>
      </c>
      <c r="J159" s="5" t="s">
        <v>3223</v>
      </c>
      <c r="K159" s="5">
        <v>28.0</v>
      </c>
      <c r="L159" s="5">
        <v>-0.240873</v>
      </c>
      <c r="M159" s="5">
        <v>-0.100813</v>
      </c>
      <c r="N159" s="5">
        <v>-0.341686</v>
      </c>
      <c r="O159" s="5">
        <v>0.014112</v>
      </c>
    </row>
    <row r="160">
      <c r="A160" s="18" t="str">
        <f>IFERROR(__xludf.DUMMYFUNCTION("""COMPUTED_VALUE"""),"Marcello Patroncini")</f>
        <v>Marcello Patroncini</v>
      </c>
      <c r="B160" s="19" t="str">
        <f>IFERROR(__xludf.DUMMYFUNCTION("""COMPUTED_VALUE"""),"FER")</f>
        <v>FER</v>
      </c>
      <c r="C160" s="20">
        <f>IFERROR(__xludf.DUMMYFUNCTION("""COMPUTED_VALUE"""),2.0)</f>
        <v>2</v>
      </c>
      <c r="D160" s="21">
        <f>IFERROR(__xludf.DUMMYFUNCTION("""COMPUTED_VALUE"""),-0.04536608594007302)</f>
        <v>-0.04536608594</v>
      </c>
      <c r="E160" s="21">
        <f>IFERROR(__xludf.DUMMYFUNCTION("""COMPUTED_VALUE"""),0.005335733354651643)</f>
        <v>0.005335733355</v>
      </c>
      <c r="F160" s="21">
        <f>IFERROR(__xludf.DUMMYFUNCTION("""COMPUTED_VALUE"""),-0.04004605258542138)</f>
        <v>-0.04004605259</v>
      </c>
      <c r="G160" s="23">
        <f>IFERROR(__xludf.DUMMYFUNCTION("""COMPUTED_VALUE"""),0.0012281834354355959)</f>
        <v>0.001228183435</v>
      </c>
      <c r="H160" s="4"/>
      <c r="I160" s="5" t="s">
        <v>3369</v>
      </c>
      <c r="J160" s="5" t="s">
        <v>3331</v>
      </c>
      <c r="K160" s="24">
        <v>584.0</v>
      </c>
      <c r="L160" s="5">
        <v>1.210235</v>
      </c>
      <c r="M160" s="5">
        <v>-1.556802</v>
      </c>
      <c r="N160" s="5">
        <v>-0.346567</v>
      </c>
      <c r="O160" s="5">
        <v>0.293173</v>
      </c>
    </row>
    <row r="161">
      <c r="A161" s="12" t="str">
        <f>IFERROR(__xludf.DUMMYFUNCTION("""COMPUTED_VALUE"""),"Leonardo Ceccarelli")</f>
        <v>Leonardo Ceccarelli</v>
      </c>
      <c r="B161" s="13" t="str">
        <f>IFERROR(__xludf.DUMMYFUNCTION("""COMPUTED_VALUE"""),"SANA")</f>
        <v>SANA</v>
      </c>
      <c r="C161" s="14">
        <f>IFERROR(__xludf.DUMMYFUNCTION("""COMPUTED_VALUE"""),3.0)</f>
        <v>3</v>
      </c>
      <c r="D161" s="15">
        <f>IFERROR(__xludf.DUMMYFUNCTION("""COMPUTED_VALUE"""),-0.04815259397167454)</f>
        <v>-0.04815259397</v>
      </c>
      <c r="E161" s="15">
        <f>IFERROR(__xludf.DUMMYFUNCTION("""COMPUTED_VALUE"""),0.003959215943362879)</f>
        <v>0.003959215943</v>
      </c>
      <c r="F161" s="15">
        <f>IFERROR(__xludf.DUMMYFUNCTION("""COMPUTED_VALUE"""),-0.04422997802831166)</f>
        <v>-0.04422997803</v>
      </c>
      <c r="G161" s="17">
        <f>IFERROR(__xludf.DUMMYFUNCTION("""COMPUTED_VALUE"""),0.001821249861476189)</f>
        <v>0.001821249861</v>
      </c>
      <c r="H161" s="4"/>
      <c r="I161" s="5" t="s">
        <v>3370</v>
      </c>
      <c r="J161" s="5" t="s">
        <v>644</v>
      </c>
      <c r="K161" s="5">
        <v>527.0</v>
      </c>
      <c r="L161" s="5">
        <v>2.778987</v>
      </c>
      <c r="M161" s="5">
        <v>-3.143447</v>
      </c>
      <c r="N161" s="5">
        <v>-0.364459</v>
      </c>
      <c r="O161" s="5">
        <v>0.261718</v>
      </c>
    </row>
    <row r="162">
      <c r="A162" s="18" t="str">
        <f>IFERROR(__xludf.DUMMYFUNCTION("""COMPUTED_VALUE"""),"Linards Melderis")</f>
        <v>Linards Melderis</v>
      </c>
      <c r="B162" s="19" t="str">
        <f>IFERROR(__xludf.DUMMYFUNCTION("""COMPUTED_VALUE"""),"JES")</f>
        <v>JES</v>
      </c>
      <c r="C162" s="20">
        <f>IFERROR(__xludf.DUMMYFUNCTION("""COMPUTED_VALUE"""),2.0)</f>
        <v>2</v>
      </c>
      <c r="D162" s="21">
        <f>IFERROR(__xludf.DUMMYFUNCTION("""COMPUTED_VALUE"""),-0.05092920761841249)</f>
        <v>-0.05092920762</v>
      </c>
      <c r="E162" s="21">
        <f>IFERROR(__xludf.DUMMYFUNCTION("""COMPUTED_VALUE"""),0.005369747275901791)</f>
        <v>0.005369747276</v>
      </c>
      <c r="F162" s="21">
        <f>IFERROR(__xludf.DUMMYFUNCTION("""COMPUTED_VALUE"""),-0.0455791603425107)</f>
        <v>-0.04557916034</v>
      </c>
      <c r="G162" s="23">
        <f>IFERROR(__xludf.DUMMYFUNCTION("""COMPUTED_VALUE"""),0.0012691602318661182)</f>
        <v>0.001269160232</v>
      </c>
      <c r="H162" s="4"/>
      <c r="I162" s="5" t="s">
        <v>3371</v>
      </c>
      <c r="J162" s="5" t="s">
        <v>3237</v>
      </c>
      <c r="K162" s="24">
        <v>9.0</v>
      </c>
      <c r="L162" s="5">
        <v>0.088565</v>
      </c>
      <c r="M162" s="5">
        <v>-0.460218</v>
      </c>
      <c r="N162" s="5">
        <v>-0.371652</v>
      </c>
      <c r="O162" s="5">
        <v>0.004834</v>
      </c>
    </row>
    <row r="163">
      <c r="A163" s="12" t="str">
        <f>IFERROR(__xludf.DUMMYFUNCTION("""COMPUTED_VALUE"""),"Pietro Montanari")</f>
        <v>Pietro Montanari</v>
      </c>
      <c r="B163" s="13" t="str">
        <f>IFERROR(__xludf.DUMMYFUNCTION("""COMPUTED_VALUE"""),"JES")</f>
        <v>JES</v>
      </c>
      <c r="C163" s="14">
        <f>IFERROR(__xludf.DUMMYFUNCTION("""COMPUTED_VALUE"""),2.0)</f>
        <v>2</v>
      </c>
      <c r="D163" s="15">
        <f>IFERROR(__xludf.DUMMYFUNCTION("""COMPUTED_VALUE"""),-0.05096458000569999)</f>
        <v>-0.05096458001</v>
      </c>
      <c r="E163" s="15">
        <f>IFERROR(__xludf.DUMMYFUNCTION("""COMPUTED_VALUE"""),0.005337311138404629)</f>
        <v>0.005337311138</v>
      </c>
      <c r="F163" s="15">
        <f>IFERROR(__xludf.DUMMYFUNCTION("""COMPUTED_VALUE"""),-0.04564596886729536)</f>
        <v>-0.04564596887</v>
      </c>
      <c r="G163" s="17">
        <f>IFERROR(__xludf.DUMMYFUNCTION("""COMPUTED_VALUE"""),0.00126811752121078)</f>
        <v>0.001268117521</v>
      </c>
      <c r="H163" s="4"/>
      <c r="I163" s="5" t="s">
        <v>3372</v>
      </c>
      <c r="J163" s="5" t="s">
        <v>3240</v>
      </c>
      <c r="K163" s="5">
        <v>73.0</v>
      </c>
      <c r="L163" s="5">
        <v>-0.806155</v>
      </c>
      <c r="M163" s="5">
        <v>0.427757</v>
      </c>
      <c r="N163" s="5">
        <v>-0.378399</v>
      </c>
      <c r="O163" s="5">
        <v>0.036247</v>
      </c>
    </row>
    <row r="164">
      <c r="A164" s="18" t="str">
        <f>IFERROR(__xludf.DUMMYFUNCTION("""COMPUTED_VALUE"""),"Matteo Turrini")</f>
        <v>Matteo Turrini</v>
      </c>
      <c r="B164" s="19" t="str">
        <f>IFERROR(__xludf.DUMMYFUNCTION("""COMPUTED_VALUE"""),"IMOL")</f>
        <v>IMOL</v>
      </c>
      <c r="C164" s="20">
        <f>IFERROR(__xludf.DUMMYFUNCTION("""COMPUTED_VALUE"""),3.0)</f>
        <v>3</v>
      </c>
      <c r="D164" s="21">
        <f>IFERROR(__xludf.DUMMYFUNCTION("""COMPUTED_VALUE"""),-0.06420499842316833)</f>
        <v>-0.06420499842</v>
      </c>
      <c r="E164" s="21">
        <f>IFERROR(__xludf.DUMMYFUNCTION("""COMPUTED_VALUE"""),0.01150683950393043)</f>
        <v>0.0115068395</v>
      </c>
      <c r="F164" s="21">
        <f>IFERROR(__xludf.DUMMYFUNCTION("""COMPUTED_VALUE"""),-0.052701558919237904)</f>
        <v>-0.05270155892</v>
      </c>
      <c r="G164" s="23">
        <f>IFERROR(__xludf.DUMMYFUNCTION("""COMPUTED_VALUE"""),0.0017844656473299653)</f>
        <v>0.001784465647</v>
      </c>
      <c r="H164" s="4"/>
      <c r="I164" s="5" t="s">
        <v>3373</v>
      </c>
      <c r="J164" s="5" t="s">
        <v>3283</v>
      </c>
      <c r="K164" s="24">
        <v>5.0</v>
      </c>
      <c r="L164" s="5">
        <v>-0.276599</v>
      </c>
      <c r="M164" s="5">
        <v>-0.123603</v>
      </c>
      <c r="N164" s="5">
        <v>-0.400202</v>
      </c>
      <c r="O164" s="5">
        <v>0.002187</v>
      </c>
    </row>
    <row r="165">
      <c r="A165" s="12" t="str">
        <f>IFERROR(__xludf.DUMMYFUNCTION("""COMPUTED_VALUE"""),"Marco Lagana")</f>
        <v>Marco Lagana</v>
      </c>
      <c r="B165" s="13" t="str">
        <f>IFERROR(__xludf.DUMMYFUNCTION("""COMPUTED_VALUE"""),"LAT")</f>
        <v>LAT</v>
      </c>
      <c r="C165" s="14">
        <f>IFERROR(__xludf.DUMMYFUNCTION("""COMPUTED_VALUE"""),417.5)</f>
        <v>417.5</v>
      </c>
      <c r="D165" s="15">
        <f>IFERROR(__xludf.DUMMYFUNCTION("""COMPUTED_VALUE"""),-1.386264272289183)</f>
        <v>-1.386264272</v>
      </c>
      <c r="E165" s="15">
        <f>IFERROR(__xludf.DUMMYFUNCTION("""COMPUTED_VALUE"""),1.3321827547934892)</f>
        <v>1.332182755</v>
      </c>
      <c r="F165" s="15">
        <f>IFERROR(__xludf.DUMMYFUNCTION("""COMPUTED_VALUE"""),-0.05410551749569372)</f>
        <v>-0.0541055175</v>
      </c>
      <c r="G165" s="17">
        <f>IFERROR(__xludf.DUMMYFUNCTION("""COMPUTED_VALUE"""),0.26396460651121)</f>
        <v>0.2639646065</v>
      </c>
      <c r="H165" s="4"/>
      <c r="I165" s="5" t="s">
        <v>3374</v>
      </c>
      <c r="J165" s="5" t="s">
        <v>2838</v>
      </c>
      <c r="K165" s="5">
        <v>10.0</v>
      </c>
      <c r="L165" s="5">
        <v>-0.343351</v>
      </c>
      <c r="M165" s="5">
        <v>-0.078729</v>
      </c>
      <c r="N165" s="5">
        <v>-0.42208</v>
      </c>
      <c r="O165" s="5">
        <v>0.004538</v>
      </c>
    </row>
    <row r="166">
      <c r="A166" s="18" t="str">
        <f>IFERROR(__xludf.DUMMYFUNCTION("""COMPUTED_VALUE"""),"Riccardo Cortese")</f>
        <v>Riccardo Cortese</v>
      </c>
      <c r="B166" s="19" t="str">
        <f>IFERROR(__xludf.DUMMYFUNCTION("""COMPUTED_VALUE"""),"FER")</f>
        <v>FER</v>
      </c>
      <c r="C166" s="20">
        <f>IFERROR(__xludf.DUMMYFUNCTION("""COMPUTED_VALUE"""),1176.0)</f>
        <v>1176</v>
      </c>
      <c r="D166" s="21">
        <f>IFERROR(__xludf.DUMMYFUNCTION("""COMPUTED_VALUE"""),0.18116425021466315)</f>
        <v>0.1811642502</v>
      </c>
      <c r="E166" s="21">
        <f>IFERROR(__xludf.DUMMYFUNCTION("""COMPUTED_VALUE"""),-0.2396473664304302)</f>
        <v>-0.2396473664</v>
      </c>
      <c r="F166" s="21">
        <f>IFERROR(__xludf.DUMMYFUNCTION("""COMPUTED_VALUE"""),-0.05851761621576704)</f>
        <v>-0.05851761622</v>
      </c>
      <c r="G166" s="23">
        <f>IFERROR(__xludf.DUMMYFUNCTION("""COMPUTED_VALUE"""),0.7062556626842441)</f>
        <v>0.7062556627</v>
      </c>
      <c r="H166" s="4"/>
      <c r="I166" s="5" t="s">
        <v>3375</v>
      </c>
      <c r="J166" s="5" t="s">
        <v>3203</v>
      </c>
      <c r="K166" s="5">
        <v>650.0</v>
      </c>
      <c r="L166" s="5">
        <v>0.803708</v>
      </c>
      <c r="M166" s="5">
        <v>-1.242739</v>
      </c>
      <c r="N166" s="5">
        <v>-0.43903</v>
      </c>
      <c r="O166" s="5">
        <v>0.307868</v>
      </c>
    </row>
    <row r="167">
      <c r="A167" s="12" t="str">
        <f>IFERROR(__xludf.DUMMYFUNCTION("""COMPUTED_VALUE"""),"Davide Drigo")</f>
        <v>Davide Drigo</v>
      </c>
      <c r="B167" s="13" t="str">
        <f>IFERROR(__xludf.DUMMYFUNCTION("""COMPUTED_VALUE"""),"FER")</f>
        <v>FER</v>
      </c>
      <c r="C167" s="14">
        <f>IFERROR(__xludf.DUMMYFUNCTION("""COMPUTED_VALUE"""),3.0)</f>
        <v>3</v>
      </c>
      <c r="D167" s="15">
        <f>IFERROR(__xludf.DUMMYFUNCTION("""COMPUTED_VALUE"""),-0.06796374103871264)</f>
        <v>-0.06796374104</v>
      </c>
      <c r="E167" s="15">
        <f>IFERROR(__xludf.DUMMYFUNCTION("""COMPUTED_VALUE"""),0.008082381341346069)</f>
        <v>0.008082381341</v>
      </c>
      <c r="F167" s="15">
        <f>IFERROR(__xludf.DUMMYFUNCTION("""COMPUTED_VALUE"""),-0.05991295969736657)</f>
        <v>-0.0599129597</v>
      </c>
      <c r="G167" s="17">
        <f>IFERROR(__xludf.DUMMYFUNCTION("""COMPUTED_VALUE"""),0.0018318897997475034)</f>
        <v>0.0018318898</v>
      </c>
      <c r="H167" s="4"/>
      <c r="I167" s="5" t="s">
        <v>3376</v>
      </c>
      <c r="J167" s="5" t="s">
        <v>644</v>
      </c>
      <c r="K167" s="5">
        <v>3.0</v>
      </c>
      <c r="L167" s="5">
        <v>-0.317082</v>
      </c>
      <c r="M167" s="5">
        <v>-0.125032</v>
      </c>
      <c r="N167" s="5">
        <v>-0.442114</v>
      </c>
      <c r="O167" s="5">
        <v>0.001182</v>
      </c>
    </row>
    <row r="168">
      <c r="A168" s="18" t="str">
        <f>IFERROR(__xludf.DUMMYFUNCTION("""COMPUTED_VALUE"""),"Lorenzo Uglietti")</f>
        <v>Lorenzo Uglietti</v>
      </c>
      <c r="B168" s="19" t="str">
        <f>IFERROR(__xludf.DUMMYFUNCTION("""COMPUTED_VALUE"""),"BEI")</f>
        <v>BEI</v>
      </c>
      <c r="C168" s="20">
        <f>IFERROR(__xludf.DUMMYFUNCTION("""COMPUTED_VALUE"""),827.0)</f>
        <v>827</v>
      </c>
      <c r="D168" s="21">
        <f>IFERROR(__xludf.DUMMYFUNCTION("""COMPUTED_VALUE"""),0.01564558478352986)</f>
        <v>0.01564558478</v>
      </c>
      <c r="E168" s="21">
        <f>IFERROR(__xludf.DUMMYFUNCTION("""COMPUTED_VALUE"""),-0.07697844247852569)</f>
        <v>-0.07697844248</v>
      </c>
      <c r="F168" s="21">
        <f>IFERROR(__xludf.DUMMYFUNCTION("""COMPUTED_VALUE"""),-0.06133605769499582)</f>
        <v>-0.06133605769</v>
      </c>
      <c r="G168" s="23">
        <f>IFERROR(__xludf.DUMMYFUNCTION("""COMPUTED_VALUE"""),0.4870160895714474)</f>
        <v>0.4870160896</v>
      </c>
      <c r="H168" s="4"/>
      <c r="I168" s="5" t="s">
        <v>3377</v>
      </c>
      <c r="J168" s="5" t="s">
        <v>3223</v>
      </c>
      <c r="K168" s="5">
        <v>10.0</v>
      </c>
      <c r="L168" s="5">
        <v>-0.485909</v>
      </c>
      <c r="M168" s="5">
        <v>0.020034</v>
      </c>
      <c r="N168" s="5">
        <v>-0.465875</v>
      </c>
      <c r="O168" s="5">
        <v>0.004662</v>
      </c>
    </row>
    <row r="169">
      <c r="A169" s="12" t="str">
        <f>IFERROR(__xludf.DUMMYFUNCTION("""COMPUTED_VALUE"""),"Nicholas Crow")</f>
        <v>Nicholas Crow</v>
      </c>
      <c r="B169" s="13" t="str">
        <f>IFERROR(__xludf.DUMMYFUNCTION("""COMPUTED_VALUE"""),"SCAF")</f>
        <v>SCAF</v>
      </c>
      <c r="C169" s="14">
        <f>IFERROR(__xludf.DUMMYFUNCTION("""COMPUTED_VALUE"""),736.0)</f>
        <v>736</v>
      </c>
      <c r="D169" s="15">
        <f>IFERROR(__xludf.DUMMYFUNCTION("""COMPUTED_VALUE"""),0.40767915895967277)</f>
        <v>0.407679159</v>
      </c>
      <c r="E169" s="15">
        <f>IFERROR(__xludf.DUMMYFUNCTION("""COMPUTED_VALUE"""),-0.4722193768176345)</f>
        <v>-0.4722193768</v>
      </c>
      <c r="F169" s="15">
        <f>IFERROR(__xludf.DUMMYFUNCTION("""COMPUTED_VALUE"""),-0.06457421785796166)</f>
        <v>-0.06457421786</v>
      </c>
      <c r="G169" s="17">
        <f>IFERROR(__xludf.DUMMYFUNCTION("""COMPUTED_VALUE"""),0.457010271051401)</f>
        <v>0.4570102711</v>
      </c>
      <c r="H169" s="4"/>
      <c r="I169" s="5" t="s">
        <v>3378</v>
      </c>
      <c r="J169" s="5" t="s">
        <v>3210</v>
      </c>
      <c r="K169" s="5">
        <v>84.0</v>
      </c>
      <c r="L169" s="5">
        <v>-0.678753</v>
      </c>
      <c r="M169" s="5">
        <v>0.150786</v>
      </c>
      <c r="N169" s="5">
        <v>-0.527967</v>
      </c>
      <c r="O169" s="5">
        <v>0.037295</v>
      </c>
    </row>
    <row r="170">
      <c r="A170" s="18" t="str">
        <f>IFERROR(__xludf.DUMMYFUNCTION("""COMPUTED_VALUE"""),"Mitchell Poletti")</f>
        <v>Mitchell Poletti</v>
      </c>
      <c r="B170" s="19" t="str">
        <f>IFERROR(__xludf.DUMMYFUNCTION("""COMPUTED_VALUE"""),"LEON")</f>
        <v>LEON</v>
      </c>
      <c r="C170" s="20">
        <f>IFERROR(__xludf.DUMMYFUNCTION("""COMPUTED_VALUE"""),537.5)</f>
        <v>537.5</v>
      </c>
      <c r="D170" s="21">
        <f>IFERROR(__xludf.DUMMYFUNCTION("""COMPUTED_VALUE"""),-0.1290636631329327)</f>
        <v>-0.1290636631</v>
      </c>
      <c r="E170" s="21">
        <f>IFERROR(__xludf.DUMMYFUNCTION("""COMPUTED_VALUE"""),0.06440396121469405)</f>
        <v>0.06440396121</v>
      </c>
      <c r="F170" s="21">
        <f>IFERROR(__xludf.DUMMYFUNCTION("""COMPUTED_VALUE"""),-0.06467370191823864)</f>
        <v>-0.06467370192</v>
      </c>
      <c r="G170" s="23">
        <f>IFERROR(__xludf.DUMMYFUNCTION("""COMPUTED_VALUE"""),0.3658458139533906)</f>
        <v>0.365845814</v>
      </c>
      <c r="H170" s="4"/>
      <c r="I170" s="5" t="s">
        <v>3379</v>
      </c>
      <c r="J170" s="5" t="s">
        <v>3240</v>
      </c>
      <c r="K170" s="5">
        <v>16.0</v>
      </c>
      <c r="L170" s="5">
        <v>-0.671469</v>
      </c>
      <c r="M170" s="5">
        <v>0.116782</v>
      </c>
      <c r="N170" s="5">
        <v>-0.554687</v>
      </c>
      <c r="O170" s="5">
        <v>0.006964</v>
      </c>
    </row>
    <row r="171">
      <c r="A171" s="12" t="str">
        <f>IFERROR(__xludf.DUMMYFUNCTION("""COMPUTED_VALUE"""),"Matteo Ambrosin")</f>
        <v>Matteo Ambrosin</v>
      </c>
      <c r="B171" s="13" t="str">
        <f>IFERROR(__xludf.DUMMYFUNCTION("""COMPUTED_VALUE"""),"LAT")</f>
        <v>LAT</v>
      </c>
      <c r="C171" s="14">
        <f>IFERROR(__xludf.DUMMYFUNCTION("""COMPUTED_VALUE"""),9.0)</f>
        <v>9</v>
      </c>
      <c r="D171" s="15">
        <f>IFERROR(__xludf.DUMMYFUNCTION("""COMPUTED_VALUE"""),0.15333406198525534)</f>
        <v>0.153334062</v>
      </c>
      <c r="E171" s="15">
        <f>IFERROR(__xludf.DUMMYFUNCTION("""COMPUTED_VALUE"""),-0.2181020942219793)</f>
        <v>-0.2181020942</v>
      </c>
      <c r="F171" s="15">
        <f>IFERROR(__xludf.DUMMYFUNCTION("""COMPUTED_VALUE"""),-0.06481223223672396)</f>
        <v>-0.06481223224</v>
      </c>
      <c r="G171" s="17">
        <f>IFERROR(__xludf.DUMMYFUNCTION("""COMPUTED_VALUE"""),0.005702631509744235)</f>
        <v>0.00570263151</v>
      </c>
      <c r="H171" s="4"/>
      <c r="I171" s="5" t="s">
        <v>3380</v>
      </c>
      <c r="J171" s="5" t="s">
        <v>3226</v>
      </c>
      <c r="K171" s="5">
        <v>425.0</v>
      </c>
      <c r="L171" s="5">
        <v>-2.975299</v>
      </c>
      <c r="M171" s="5">
        <v>2.392324</v>
      </c>
      <c r="N171" s="5">
        <v>-0.582976</v>
      </c>
      <c r="O171" s="5">
        <v>0.183592</v>
      </c>
    </row>
    <row r="172">
      <c r="A172" s="18" t="str">
        <f>IFERROR(__xludf.DUMMYFUNCTION("""COMPUTED_VALUE"""),"Dario Masciarelli")</f>
        <v>Dario Masciarelli</v>
      </c>
      <c r="B172" s="19" t="str">
        <f>IFERROR(__xludf.DUMMYFUNCTION("""COMPUTED_VALUE"""),"SANA")</f>
        <v>SANA</v>
      </c>
      <c r="C172" s="20">
        <f>IFERROR(__xludf.DUMMYFUNCTION("""COMPUTED_VALUE"""),14.0)</f>
        <v>14</v>
      </c>
      <c r="D172" s="21">
        <f>IFERROR(__xludf.DUMMYFUNCTION("""COMPUTED_VALUE"""),0.166995794805072)</f>
        <v>0.1669957948</v>
      </c>
      <c r="E172" s="21">
        <f>IFERROR(__xludf.DUMMYFUNCTION("""COMPUTED_VALUE"""),-0.23510439431577126)</f>
        <v>-0.2351043943</v>
      </c>
      <c r="F172" s="21">
        <f>IFERROR(__xludf.DUMMYFUNCTION("""COMPUTED_VALUE"""),-0.06812919951069925)</f>
        <v>-0.06812919951</v>
      </c>
      <c r="G172" s="23">
        <f>IFERROR(__xludf.DUMMYFUNCTION("""COMPUTED_VALUE"""),0.008247194614654287)</f>
        <v>0.008247194615</v>
      </c>
      <c r="H172" s="4"/>
      <c r="I172" s="5" t="s">
        <v>3381</v>
      </c>
      <c r="J172" s="5" t="s">
        <v>3281</v>
      </c>
      <c r="K172" s="5">
        <v>380.0</v>
      </c>
      <c r="L172" s="5">
        <v>-1.179694</v>
      </c>
      <c r="M172" s="5">
        <v>0.572275</v>
      </c>
      <c r="N172" s="5">
        <v>-0.607419</v>
      </c>
      <c r="O172" s="5">
        <v>0.161517</v>
      </c>
    </row>
    <row r="173">
      <c r="A173" s="12" t="str">
        <f>IFERROR(__xludf.DUMMYFUNCTION("""COMPUTED_VALUE"""),"Leardini Giacomo")</f>
        <v>Leardini Giacomo</v>
      </c>
      <c r="B173" s="13" t="str">
        <f>IFERROR(__xludf.DUMMYFUNCTION("""COMPUTED_VALUE"""),"TREV")</f>
        <v>TREV</v>
      </c>
      <c r="C173" s="14">
        <f>IFERROR(__xludf.DUMMYFUNCTION("""COMPUTED_VALUE"""),1.0)</f>
        <v>1</v>
      </c>
      <c r="D173" s="15">
        <f>IFERROR(__xludf.DUMMYFUNCTION("""COMPUTED_VALUE"""),-0.05491262466204687)</f>
        <v>-0.05491262466</v>
      </c>
      <c r="E173" s="15">
        <f>IFERROR(__xludf.DUMMYFUNCTION("""COMPUTED_VALUE"""),-0.016961035118135827)</f>
        <v>-0.01696103512</v>
      </c>
      <c r="F173" s="15">
        <f>IFERROR(__xludf.DUMMYFUNCTION("""COMPUTED_VALUE"""),-0.0719014597801827)</f>
        <v>-0.07190145978</v>
      </c>
      <c r="G173" s="17">
        <f>IFERROR(__xludf.DUMMYFUNCTION("""COMPUTED_VALUE"""),0.0012047508765651394)</f>
        <v>0.001204750877</v>
      </c>
      <c r="H173" s="4"/>
      <c r="I173" s="5" t="s">
        <v>3382</v>
      </c>
      <c r="J173" s="5" t="s">
        <v>3217</v>
      </c>
      <c r="K173" s="5">
        <v>29.0</v>
      </c>
      <c r="L173" s="5">
        <v>-0.435694</v>
      </c>
      <c r="M173" s="5">
        <v>-0.175182</v>
      </c>
      <c r="N173" s="5">
        <v>-0.610877</v>
      </c>
      <c r="O173" s="5">
        <v>0.012082</v>
      </c>
    </row>
    <row r="174">
      <c r="A174" s="18" t="str">
        <f>IFERROR(__xludf.DUMMYFUNCTION("""COMPUTED_VALUE"""),"Davide Fontana")</f>
        <v>Davide Fontana</v>
      </c>
      <c r="B174" s="19" t="str">
        <f>IFERROR(__xludf.DUMMYFUNCTION("""COMPUTED_VALUE"""),"TRA")</f>
        <v>TRA</v>
      </c>
      <c r="C174" s="20">
        <f>IFERROR(__xludf.DUMMYFUNCTION("""COMPUTED_VALUE"""),16.0)</f>
        <v>16</v>
      </c>
      <c r="D174" s="21">
        <f>IFERROR(__xludf.DUMMYFUNCTION("""COMPUTED_VALUE"""),0.07497865312459359)</f>
        <v>0.07497865312</v>
      </c>
      <c r="E174" s="21">
        <f>IFERROR(__xludf.DUMMYFUNCTION("""COMPUTED_VALUE"""),-0.14765149506520636)</f>
        <v>-0.1476514951</v>
      </c>
      <c r="F174" s="21">
        <f>IFERROR(__xludf.DUMMYFUNCTION("""COMPUTED_VALUE"""),-0.07270234194061276)</f>
        <v>-0.07270234194</v>
      </c>
      <c r="G174" s="23">
        <f>IFERROR(__xludf.DUMMYFUNCTION("""COMPUTED_VALUE"""),0.009578275962526868)</f>
        <v>0.009578275963</v>
      </c>
      <c r="H174" s="4"/>
      <c r="I174" s="5" t="s">
        <v>3383</v>
      </c>
      <c r="J174" s="5" t="s">
        <v>3281</v>
      </c>
      <c r="K174" s="5">
        <v>373.0</v>
      </c>
      <c r="L174" s="5">
        <v>-0.621654</v>
      </c>
      <c r="M174" s="5">
        <v>0.007196</v>
      </c>
      <c r="N174" s="5">
        <v>-0.614458</v>
      </c>
      <c r="O174" s="5">
        <v>0.157406</v>
      </c>
    </row>
    <row r="175">
      <c r="A175" s="12" t="str">
        <f>IFERROR(__xludf.DUMMYFUNCTION("""COMPUTED_VALUE"""),"Alex Trombini")</f>
        <v>Alex Trombini</v>
      </c>
      <c r="B175" s="13" t="str">
        <f>IFERROR(__xludf.DUMMYFUNCTION("""COMPUTED_VALUE"""),"FER")</f>
        <v>FER</v>
      </c>
      <c r="C175" s="14">
        <f>IFERROR(__xludf.DUMMYFUNCTION("""COMPUTED_VALUE"""),2.0)</f>
        <v>2</v>
      </c>
      <c r="D175" s="15">
        <f>IFERROR(__xludf.DUMMYFUNCTION("""COMPUTED_VALUE"""),-0.1350034832963609)</f>
        <v>-0.1350034833</v>
      </c>
      <c r="E175" s="15">
        <f>IFERROR(__xludf.DUMMYFUNCTION("""COMPUTED_VALUE"""),0.06029729735736338)</f>
        <v>0.06029729736</v>
      </c>
      <c r="F175" s="15">
        <f>IFERROR(__xludf.DUMMYFUNCTION("""COMPUTED_VALUE"""),-0.07470988593899751)</f>
        <v>-0.07470988594</v>
      </c>
      <c r="G175" s="17">
        <f>IFERROR(__xludf.DUMMYFUNCTION("""COMPUTED_VALUE"""),0.0011947393990563977)</f>
        <v>0.001194739399</v>
      </c>
      <c r="H175" s="4"/>
      <c r="I175" s="5" t="s">
        <v>3384</v>
      </c>
      <c r="J175" s="5" t="s">
        <v>3220</v>
      </c>
      <c r="K175" s="24">
        <v>43.0</v>
      </c>
      <c r="L175" s="5">
        <v>0.00717</v>
      </c>
      <c r="M175" s="5">
        <v>-0.62762</v>
      </c>
      <c r="N175" s="5">
        <v>-0.62045</v>
      </c>
      <c r="O175" s="5">
        <v>0.018211</v>
      </c>
    </row>
    <row r="176">
      <c r="A176" s="18" t="str">
        <f>IFERROR(__xludf.DUMMYFUNCTION("""COMPUTED_VALUE"""),"Mario Mancini")</f>
        <v>Mario Mancini</v>
      </c>
      <c r="B176" s="19" t="str">
        <f>IFERROR(__xludf.DUMMYFUNCTION("""COMPUTED_VALUE"""),"FER")</f>
        <v>FER</v>
      </c>
      <c r="C176" s="20">
        <f>IFERROR(__xludf.DUMMYFUNCTION("""COMPUTED_VALUE"""),4.0)</f>
        <v>4</v>
      </c>
      <c r="D176" s="21">
        <f>IFERROR(__xludf.DUMMYFUNCTION("""COMPUTED_VALUE"""),-0.09056489960266742)</f>
        <v>-0.0905648996</v>
      </c>
      <c r="E176" s="21">
        <f>IFERROR(__xludf.DUMMYFUNCTION("""COMPUTED_VALUE"""),0.01082363827357439)</f>
        <v>0.01082363827</v>
      </c>
      <c r="F176" s="21">
        <f>IFERROR(__xludf.DUMMYFUNCTION("""COMPUTED_VALUE"""),-0.07976316132909303)</f>
        <v>-0.07976316133</v>
      </c>
      <c r="G176" s="23">
        <f>IFERROR(__xludf.DUMMYFUNCTION("""COMPUTED_VALUE"""),0.0023977265974289303)</f>
        <v>0.002397726597</v>
      </c>
      <c r="H176" s="4"/>
      <c r="I176" s="5" t="s">
        <v>3385</v>
      </c>
      <c r="J176" s="5" t="s">
        <v>3203</v>
      </c>
      <c r="K176" s="5">
        <v>17.0</v>
      </c>
      <c r="L176" s="5">
        <v>-0.45183</v>
      </c>
      <c r="M176" s="5">
        <v>-0.207793</v>
      </c>
      <c r="N176" s="5">
        <v>-0.659623</v>
      </c>
      <c r="O176" s="5">
        <v>0.006747</v>
      </c>
    </row>
    <row r="177">
      <c r="A177" s="12" t="str">
        <f>IFERROR(__xludf.DUMMYFUNCTION("""COMPUTED_VALUE"""),"Jonathan Arledge")</f>
        <v>Jonathan Arledge</v>
      </c>
      <c r="B177" s="13" t="str">
        <f>IFERROR(__xludf.DUMMYFUNCTION("""COMPUTED_VALUE"""),"CAS")</f>
        <v>CAS</v>
      </c>
      <c r="C177" s="14">
        <f>IFERROR(__xludf.DUMMYFUNCTION("""COMPUTED_VALUE"""),865.0)</f>
        <v>865</v>
      </c>
      <c r="D177" s="15">
        <f>IFERROR(__xludf.DUMMYFUNCTION("""COMPUTED_VALUE"""),-2.2687745633411085)</f>
        <v>-2.268774563</v>
      </c>
      <c r="E177" s="15">
        <f>IFERROR(__xludf.DUMMYFUNCTION("""COMPUTED_VALUE"""),2.1822327162555624)</f>
        <v>2.182232716</v>
      </c>
      <c r="F177" s="15">
        <f>IFERROR(__xludf.DUMMYFUNCTION("""COMPUTED_VALUE"""),-0.08658494708554605)</f>
        <v>-0.08658494709</v>
      </c>
      <c r="G177" s="17">
        <f>IFERROR(__xludf.DUMMYFUNCTION("""COMPUTED_VALUE"""),0.5254083868454577)</f>
        <v>0.5254083868</v>
      </c>
      <c r="H177" s="4"/>
      <c r="I177" s="5" t="s">
        <v>3386</v>
      </c>
      <c r="J177" s="5" t="s">
        <v>3226</v>
      </c>
      <c r="K177" s="24">
        <v>53.0</v>
      </c>
      <c r="L177" s="5">
        <v>-1.124436</v>
      </c>
      <c r="M177" s="5">
        <v>0.457689</v>
      </c>
      <c r="N177" s="5">
        <v>-0.666747</v>
      </c>
      <c r="O177" s="5">
        <v>0.02148</v>
      </c>
    </row>
    <row r="178">
      <c r="A178" s="18" t="str">
        <f>IFERROR(__xludf.DUMMYFUNCTION("""COMPUTED_VALUE"""),"Alberto Apuzzo")</f>
        <v>Alberto Apuzzo</v>
      </c>
      <c r="B178" s="19" t="str">
        <f>IFERROR(__xludf.DUMMYFUNCTION("""COMPUTED_VALUE"""),"TORT")</f>
        <v>TORT</v>
      </c>
      <c r="C178" s="20">
        <f>IFERROR(__xludf.DUMMYFUNCTION("""COMPUTED_VALUE"""),9.0)</f>
        <v>9</v>
      </c>
      <c r="D178" s="21">
        <f>IFERROR(__xludf.DUMMYFUNCTION("""COMPUTED_VALUE"""),-0.0715967526653674)</f>
        <v>-0.07159675267</v>
      </c>
      <c r="E178" s="21">
        <f>IFERROR(__xludf.DUMMYFUNCTION("""COMPUTED_VALUE"""),-0.019772071457435557)</f>
        <v>-0.01977207146</v>
      </c>
      <c r="F178" s="21">
        <f>IFERROR(__xludf.DUMMYFUNCTION("""COMPUTED_VALUE"""),-0.09141202412280296)</f>
        <v>-0.09141202412</v>
      </c>
      <c r="G178" s="23">
        <f>IFERROR(__xludf.DUMMYFUNCTION("""COMPUTED_VALUE"""),0.005971216561241018)</f>
        <v>0.005971216561</v>
      </c>
      <c r="H178" s="4"/>
      <c r="I178" s="5" t="s">
        <v>3387</v>
      </c>
      <c r="J178" s="5" t="s">
        <v>3278</v>
      </c>
      <c r="K178" s="5">
        <v>267.0</v>
      </c>
      <c r="L178" s="5">
        <v>0.792143</v>
      </c>
      <c r="M178" s="5">
        <v>-1.464885</v>
      </c>
      <c r="N178" s="5">
        <v>-0.672742</v>
      </c>
      <c r="O178" s="5">
        <v>0.106939</v>
      </c>
    </row>
    <row r="179">
      <c r="A179" s="12" t="str">
        <f>IFERROR(__xludf.DUMMYFUNCTION("""COMPUTED_VALUE"""),"Federico Bischetti")</f>
        <v>Federico Bischetti</v>
      </c>
      <c r="B179" s="13" t="str">
        <f>IFERROR(__xludf.DUMMYFUNCTION("""COMPUTED_VALUE"""),"LEON")</f>
        <v>LEON</v>
      </c>
      <c r="C179" s="14">
        <f>IFERROR(__xludf.DUMMYFUNCTION("""COMPUTED_VALUE"""),5.0)</f>
        <v>5</v>
      </c>
      <c r="D179" s="15">
        <f>IFERROR(__xludf.DUMMYFUNCTION("""COMPUTED_VALUE"""),-0.11415497891047129)</f>
        <v>-0.1141549789</v>
      </c>
      <c r="E179" s="15">
        <f>IFERROR(__xludf.DUMMYFUNCTION("""COMPUTED_VALUE"""),0.017271548717248852)</f>
        <v>0.01727154872</v>
      </c>
      <c r="F179" s="15">
        <f>IFERROR(__xludf.DUMMYFUNCTION("""COMPUTED_VALUE"""),-0.09692453019322243)</f>
        <v>-0.09692453019</v>
      </c>
      <c r="G179" s="17">
        <f>IFERROR(__xludf.DUMMYFUNCTION("""COMPUTED_VALUE"""),0.0033874766370279755)</f>
        <v>0.003387476637</v>
      </c>
      <c r="H179" s="4"/>
      <c r="I179" s="5" t="s">
        <v>3388</v>
      </c>
      <c r="J179" s="5" t="s">
        <v>644</v>
      </c>
      <c r="K179" s="5">
        <v>253.0</v>
      </c>
      <c r="L179" s="5">
        <v>-1.658229</v>
      </c>
      <c r="M179" s="5">
        <v>0.976332</v>
      </c>
      <c r="N179" s="5">
        <v>-0.681897</v>
      </c>
      <c r="O179" s="5">
        <v>0.101239</v>
      </c>
    </row>
    <row r="180">
      <c r="A180" s="18" t="str">
        <f>IFERROR(__xludf.DUMMYFUNCTION("""COMPUTED_VALUE"""),"Jacopo Giachetti")</f>
        <v>Jacopo Giachetti</v>
      </c>
      <c r="B180" s="19" t="str">
        <f>IFERROR(__xludf.DUMMYFUNCTION("""COMPUTED_VALUE"""),"RAV")</f>
        <v>RAV</v>
      </c>
      <c r="C180" s="20">
        <f>IFERROR(__xludf.DUMMYFUNCTION("""COMPUTED_VALUE"""),911.0)</f>
        <v>911</v>
      </c>
      <c r="D180" s="21">
        <f>IFERROR(__xludf.DUMMYFUNCTION("""COMPUTED_VALUE"""),-0.1785972728806838)</f>
        <v>-0.1785972729</v>
      </c>
      <c r="E180" s="21">
        <f>IFERROR(__xludf.DUMMYFUNCTION("""COMPUTED_VALUE"""),0.08130232564212628)</f>
        <v>0.08130232564</v>
      </c>
      <c r="F180" s="21">
        <f>IFERROR(__xludf.DUMMYFUNCTION("""COMPUTED_VALUE"""),-0.09732284723855752)</f>
        <v>-0.09732284724</v>
      </c>
      <c r="G180" s="23">
        <f>IFERROR(__xludf.DUMMYFUNCTION("""COMPUTED_VALUE"""),0.5241174644524312)</f>
        <v>0.5241174645</v>
      </c>
      <c r="H180" s="4"/>
      <c r="I180" s="5" t="s">
        <v>3389</v>
      </c>
      <c r="J180" s="5" t="s">
        <v>3240</v>
      </c>
      <c r="K180" s="5">
        <v>682.0</v>
      </c>
      <c r="L180" s="5">
        <v>0.445729</v>
      </c>
      <c r="M180" s="5">
        <v>-1.132658</v>
      </c>
      <c r="N180" s="5">
        <v>-0.686929</v>
      </c>
      <c r="O180" s="5">
        <v>0.273201</v>
      </c>
    </row>
    <row r="181">
      <c r="A181" s="12" t="str">
        <f>IFERROR(__xludf.DUMMYFUNCTION("""COMPUTED_VALUE"""),"Davide Bianchi")</f>
        <v>Davide Bianchi</v>
      </c>
      <c r="B181" s="13" t="str">
        <f>IFERROR(__xludf.DUMMYFUNCTION("""COMPUTED_VALUE"""),"VRC")</f>
        <v>VRC</v>
      </c>
      <c r="C181" s="14">
        <f>IFERROR(__xludf.DUMMYFUNCTION("""COMPUTED_VALUE"""),2.0)</f>
        <v>2</v>
      </c>
      <c r="D181" s="15">
        <f>IFERROR(__xludf.DUMMYFUNCTION("""COMPUTED_VALUE"""),-0.019931871555133037)</f>
        <v>-0.01993187156</v>
      </c>
      <c r="E181" s="15">
        <f>IFERROR(__xludf.DUMMYFUNCTION("""COMPUTED_VALUE"""),-0.0802957747539612)</f>
        <v>-0.08029577475</v>
      </c>
      <c r="F181" s="15">
        <f>IFERROR(__xludf.DUMMYFUNCTION("""COMPUTED_VALUE"""),-0.10026894630909423)</f>
        <v>-0.1002689463</v>
      </c>
      <c r="G181" s="17">
        <f>IFERROR(__xludf.DUMMYFUNCTION("""COMPUTED_VALUE"""),0.0012154254434130925)</f>
        <v>0.001215425443</v>
      </c>
      <c r="H181" s="4"/>
      <c r="I181" s="5" t="s">
        <v>3390</v>
      </c>
      <c r="J181" s="5" t="s">
        <v>3283</v>
      </c>
      <c r="K181" s="5">
        <v>15.0</v>
      </c>
      <c r="L181" s="5">
        <v>-0.470273</v>
      </c>
      <c r="M181" s="5">
        <v>-0.239655</v>
      </c>
      <c r="N181" s="5">
        <v>-0.709928</v>
      </c>
      <c r="O181" s="5">
        <v>0.005801</v>
      </c>
    </row>
    <row r="182">
      <c r="A182" s="18" t="str">
        <f>IFERROR(__xludf.DUMMYFUNCTION("""COMPUTED_VALUE"""),"Leonardo Galli")</f>
        <v>Leonardo Galli</v>
      </c>
      <c r="B182" s="19" t="str">
        <f>IFERROR(__xludf.DUMMYFUNCTION("""COMPUTED_VALUE"""),"LEON")</f>
        <v>LEON</v>
      </c>
      <c r="C182" s="20">
        <f>IFERROR(__xludf.DUMMYFUNCTION("""COMPUTED_VALUE"""),2.0)</f>
        <v>2</v>
      </c>
      <c r="D182" s="21">
        <f>IFERROR(__xludf.DUMMYFUNCTION("""COMPUTED_VALUE"""),-0.008030985995596433)</f>
        <v>-0.008030985996</v>
      </c>
      <c r="E182" s="21">
        <f>IFERROR(__xludf.DUMMYFUNCTION("""COMPUTED_VALUE"""),-0.09404215712750773)</f>
        <v>-0.09404215713</v>
      </c>
      <c r="F182" s="21">
        <f>IFERROR(__xludf.DUMMYFUNCTION("""COMPUTED_VALUE"""),-0.10210194312310415)</f>
        <v>-0.1021019431</v>
      </c>
      <c r="G182" s="23">
        <f>IFERROR(__xludf.DUMMYFUNCTION("""COMPUTED_VALUE"""),0.0013637090601516656)</f>
        <v>0.00136370906</v>
      </c>
      <c r="H182" s="4"/>
      <c r="I182" s="5" t="s">
        <v>3391</v>
      </c>
      <c r="J182" s="5" t="s">
        <v>3256</v>
      </c>
      <c r="K182" s="5">
        <v>81.0</v>
      </c>
      <c r="L182" s="5">
        <v>-0.770181</v>
      </c>
      <c r="M182" s="5">
        <v>0.043169</v>
      </c>
      <c r="N182" s="5">
        <v>-0.727012</v>
      </c>
      <c r="O182" s="5">
        <v>0.031218</v>
      </c>
    </row>
    <row r="183">
      <c r="A183" s="12" t="str">
        <f>IFERROR(__xludf.DUMMYFUNCTION("""COMPUTED_VALUE"""),"Andrea Antonaci")</f>
        <v>Andrea Antonaci</v>
      </c>
      <c r="B183" s="13" t="str">
        <f>IFERROR(__xludf.DUMMYFUNCTION("""COMPUTED_VALUE"""),"SCAF")</f>
        <v>SCAF</v>
      </c>
      <c r="C183" s="14">
        <f>IFERROR(__xludf.DUMMYFUNCTION("""COMPUTED_VALUE"""),2.0)</f>
        <v>2</v>
      </c>
      <c r="D183" s="15">
        <f>IFERROR(__xludf.DUMMYFUNCTION("""COMPUTED_VALUE"""),-0.04375229790050339)</f>
        <v>-0.0437522979</v>
      </c>
      <c r="E183" s="15">
        <f>IFERROR(__xludf.DUMMYFUNCTION("""COMPUTED_VALUE"""),-0.06875343040678525)</f>
        <v>-0.06875343041</v>
      </c>
      <c r="F183" s="15">
        <f>IFERROR(__xludf.DUMMYFUNCTION("""COMPUTED_VALUE"""),-0.11254912830728864)</f>
        <v>-0.1125491283</v>
      </c>
      <c r="G183" s="17">
        <f>IFERROR(__xludf.DUMMYFUNCTION("""COMPUTED_VALUE"""),0.0012544022916241811)</f>
        <v>0.001254402292</v>
      </c>
      <c r="H183" s="4"/>
      <c r="I183" s="5" t="s">
        <v>3392</v>
      </c>
      <c r="J183" s="5" t="s">
        <v>3205</v>
      </c>
      <c r="K183" s="5">
        <v>621.0</v>
      </c>
      <c r="L183" s="5">
        <v>-0.669208</v>
      </c>
      <c r="M183" s="5">
        <v>-0.058883</v>
      </c>
      <c r="N183" s="5">
        <v>-0.728091</v>
      </c>
      <c r="O183" s="5">
        <v>0.239726</v>
      </c>
    </row>
    <row r="184">
      <c r="A184" s="18" t="str">
        <f>IFERROR(__xludf.DUMMYFUNCTION("""COMPUTED_VALUE"""),"Omar Dieng")</f>
        <v>Omar Dieng</v>
      </c>
      <c r="B184" s="19" t="str">
        <f>IFERROR(__xludf.DUMMYFUNCTION("""COMPUTED_VALUE"""),"STV")</f>
        <v>STV</v>
      </c>
      <c r="C184" s="20">
        <f>IFERROR(__xludf.DUMMYFUNCTION("""COMPUTED_VALUE"""),74.0)</f>
        <v>74</v>
      </c>
      <c r="D184" s="21">
        <f>IFERROR(__xludf.DUMMYFUNCTION("""COMPUTED_VALUE"""),0.4235419037622019)</f>
        <v>0.4235419038</v>
      </c>
      <c r="E184" s="21">
        <f>IFERROR(__xludf.DUMMYFUNCTION("""COMPUTED_VALUE"""),-0.53947196131761)</f>
        <v>-0.5394719613</v>
      </c>
      <c r="F184" s="21">
        <f>IFERROR(__xludf.DUMMYFUNCTION("""COMPUTED_VALUE"""),-0.11596245755540811)</f>
        <v>-0.1159624576</v>
      </c>
      <c r="G184" s="23">
        <f>IFERROR(__xludf.DUMMYFUNCTION("""COMPUTED_VALUE"""),0.046237668500607225)</f>
        <v>0.0462376685</v>
      </c>
      <c r="H184" s="4"/>
      <c r="I184" s="5" t="s">
        <v>3393</v>
      </c>
      <c r="J184" s="5" t="s">
        <v>3281</v>
      </c>
      <c r="K184" s="5">
        <v>87.0</v>
      </c>
      <c r="L184" s="5">
        <v>-1.159717</v>
      </c>
      <c r="M184" s="5">
        <v>0.423817</v>
      </c>
      <c r="N184" s="5">
        <v>-0.735899</v>
      </c>
      <c r="O184" s="5">
        <v>0.033609</v>
      </c>
    </row>
    <row r="185">
      <c r="A185" s="12" t="str">
        <f>IFERROR(__xludf.DUMMYFUNCTION("""COMPUTED_VALUE"""),"Ferdi Bedini")</f>
        <v>Ferdi Bedini</v>
      </c>
      <c r="B185" s="13" t="str">
        <f>IFERROR(__xludf.DUMMYFUNCTION("""COMPUTED_VALUE"""),"BERG")</f>
        <v>BERG</v>
      </c>
      <c r="C185" s="14">
        <f>IFERROR(__xludf.DUMMYFUNCTION("""COMPUTED_VALUE"""),11.0)</f>
        <v>11</v>
      </c>
      <c r="D185" s="15">
        <f>IFERROR(__xludf.DUMMYFUNCTION("""COMPUTED_VALUE"""),-0.03689127176740465)</f>
        <v>-0.03689127177</v>
      </c>
      <c r="E185" s="15">
        <f>IFERROR(__xludf.DUMMYFUNCTION("""COMPUTED_VALUE"""),-0.08758341516240269)</f>
        <v>-0.08758341516</v>
      </c>
      <c r="F185" s="15">
        <f>IFERROR(__xludf.DUMMYFUNCTION("""COMPUTED_VALUE"""),-0.12451688692980735)</f>
        <v>-0.1245168869</v>
      </c>
      <c r="G185" s="17">
        <f>IFERROR(__xludf.DUMMYFUNCTION("""COMPUTED_VALUE"""),0.0066361001867925595)</f>
        <v>0.006636100187</v>
      </c>
      <c r="H185" s="4"/>
      <c r="I185" s="5" t="s">
        <v>3394</v>
      </c>
      <c r="J185" s="5" t="s">
        <v>3278</v>
      </c>
      <c r="K185" s="24">
        <v>20.0</v>
      </c>
      <c r="L185" s="5">
        <v>-0.905808</v>
      </c>
      <c r="M185" s="5">
        <v>0.163242</v>
      </c>
      <c r="N185" s="5">
        <v>-0.742566</v>
      </c>
      <c r="O185" s="5">
        <v>0.007405</v>
      </c>
    </row>
    <row r="186">
      <c r="A186" s="18" t="str">
        <f>IFERROR(__xludf.DUMMYFUNCTION("""COMPUTED_VALUE"""),"Giovanni Tomassini")</f>
        <v>Giovanni Tomassini</v>
      </c>
      <c r="B186" s="19" t="str">
        <f>IFERROR(__xludf.DUMMYFUNCTION("""COMPUTED_VALUE"""),"NCM")</f>
        <v>NCM</v>
      </c>
      <c r="C186" s="20">
        <f>IFERROR(__xludf.DUMMYFUNCTION("""COMPUTED_VALUE"""),1148.0)</f>
        <v>1148</v>
      </c>
      <c r="D186" s="21">
        <f>IFERROR(__xludf.DUMMYFUNCTION("""COMPUTED_VALUE"""),0.4329257068843909)</f>
        <v>0.4329257069</v>
      </c>
      <c r="E186" s="21">
        <f>IFERROR(__xludf.DUMMYFUNCTION("""COMPUTED_VALUE"""),-0.5623318681220474)</f>
        <v>-0.5623318681</v>
      </c>
      <c r="F186" s="21">
        <f>IFERROR(__xludf.DUMMYFUNCTION("""COMPUTED_VALUE"""),-0.12941076123765652)</f>
        <v>-0.1294107612</v>
      </c>
      <c r="G186" s="23">
        <f>IFERROR(__xludf.DUMMYFUNCTION("""COMPUTED_VALUE"""),0.6620670833821779)</f>
        <v>0.6620670834</v>
      </c>
      <c r="H186" s="4"/>
      <c r="I186" s="5" t="s">
        <v>3395</v>
      </c>
      <c r="J186" s="5" t="s">
        <v>3233</v>
      </c>
      <c r="K186" s="5">
        <v>84.0</v>
      </c>
      <c r="L186" s="5">
        <v>0.266053</v>
      </c>
      <c r="M186" s="5">
        <v>-1.014186</v>
      </c>
      <c r="N186" s="5">
        <v>-0.748133</v>
      </c>
      <c r="O186" s="5">
        <v>0.031226</v>
      </c>
    </row>
    <row r="187">
      <c r="A187" s="12" t="str">
        <f>IFERROR(__xludf.DUMMYFUNCTION("""COMPUTED_VALUE"""),"Niccolo Lurini")</f>
        <v>Niccolo Lurini</v>
      </c>
      <c r="B187" s="13" t="str">
        <f>IFERROR(__xludf.DUMMYFUNCTION("""COMPUTED_VALUE"""),"SANA")</f>
        <v>SANA</v>
      </c>
      <c r="C187" s="14">
        <f>IFERROR(__xludf.DUMMYFUNCTION("""COMPUTED_VALUE"""),2.0)</f>
        <v>2</v>
      </c>
      <c r="D187" s="15">
        <f>IFERROR(__xludf.DUMMYFUNCTION("""COMPUTED_VALUE"""),-0.04483143740911266)</f>
        <v>-0.04483143741</v>
      </c>
      <c r="E187" s="15">
        <f>IFERROR(__xludf.DUMMYFUNCTION("""COMPUTED_VALUE"""),-0.09916995706018418)</f>
        <v>-0.09916995706</v>
      </c>
      <c r="F187" s="15">
        <f>IFERROR(__xludf.DUMMYFUNCTION("""COMPUTED_VALUE"""),-0.14402409446929684)</f>
        <v>-0.1440240945</v>
      </c>
      <c r="G187" s="17">
        <f>IFERROR(__xludf.DUMMYFUNCTION("""COMPUTED_VALUE"""),0.001151758156292251)</f>
        <v>0.001151758156</v>
      </c>
      <c r="H187" s="4"/>
      <c r="I187" s="5" t="s">
        <v>945</v>
      </c>
      <c r="J187" s="5" t="s">
        <v>3226</v>
      </c>
      <c r="K187" s="5">
        <v>68.0</v>
      </c>
      <c r="L187" s="5">
        <v>-0.892872</v>
      </c>
      <c r="M187" s="5">
        <v>0.119832</v>
      </c>
      <c r="N187" s="5">
        <v>-0.773039</v>
      </c>
      <c r="O187" s="5">
        <v>0.025346</v>
      </c>
    </row>
    <row r="188">
      <c r="A188" s="18" t="str">
        <f>IFERROR(__xludf.DUMMYFUNCTION("""COMPUTED_VALUE"""),"Alessandro Pinza")</f>
        <v>Alessandro Pinza</v>
      </c>
      <c r="B188" s="19" t="str">
        <f>IFERROR(__xludf.DUMMYFUNCTION("""COMPUTED_VALUE"""),"FOR")</f>
        <v>FOR</v>
      </c>
      <c r="C188" s="20">
        <f>IFERROR(__xludf.DUMMYFUNCTION("""COMPUTED_VALUE"""),2.0)</f>
        <v>2</v>
      </c>
      <c r="D188" s="21">
        <f>IFERROR(__xludf.DUMMYFUNCTION("""COMPUTED_VALUE"""),-0.10930352244831545)</f>
        <v>-0.1093035224</v>
      </c>
      <c r="E188" s="21">
        <f>IFERROR(__xludf.DUMMYFUNCTION("""COMPUTED_VALUE"""),-0.044020866876101565)</f>
        <v>-0.04402086688</v>
      </c>
      <c r="F188" s="21">
        <f>IFERROR(__xludf.DUMMYFUNCTION("""COMPUTED_VALUE"""),-0.15333868932441702)</f>
        <v>-0.1533386893</v>
      </c>
      <c r="G188" s="23">
        <f>IFERROR(__xludf.DUMMYFUNCTION("""COMPUTED_VALUE"""),0.001131007101799385)</f>
        <v>0.001131007102</v>
      </c>
      <c r="H188" s="4"/>
      <c r="I188" s="5" t="s">
        <v>1202</v>
      </c>
      <c r="J188" s="5" t="s">
        <v>3263</v>
      </c>
      <c r="K188" s="5">
        <v>31.0</v>
      </c>
      <c r="L188" s="5">
        <v>-0.773589</v>
      </c>
      <c r="M188" s="5">
        <v>-0.003118</v>
      </c>
      <c r="N188" s="5">
        <v>-0.776707</v>
      </c>
      <c r="O188" s="5">
        <v>0.011398</v>
      </c>
    </row>
    <row r="189">
      <c r="A189" s="12" t="str">
        <f>IFERROR(__xludf.DUMMYFUNCTION("""COMPUTED_VALUE"""),"Pietro Boniciolli")</f>
        <v>Pietro Boniciolli</v>
      </c>
      <c r="B189" s="13" t="str">
        <f>IFERROR(__xludf.DUMMYFUNCTION("""COMPUTED_VALUE"""),"BOL")</f>
        <v>BOL</v>
      </c>
      <c r="C189" s="14">
        <f>IFERROR(__xludf.DUMMYFUNCTION("""COMPUTED_VALUE"""),2.0)</f>
        <v>2</v>
      </c>
      <c r="D189" s="15">
        <f>IFERROR(__xludf.DUMMYFUNCTION("""COMPUTED_VALUE"""),-0.11039142245230234)</f>
        <v>-0.1103914225</v>
      </c>
      <c r="E189" s="15">
        <f>IFERROR(__xludf.DUMMYFUNCTION("""COMPUTED_VALUE"""),-0.04469363572281422)</f>
        <v>-0.04469363572</v>
      </c>
      <c r="F189" s="15">
        <f>IFERROR(__xludf.DUMMYFUNCTION("""COMPUTED_VALUE"""),-0.15512565817511656)</f>
        <v>-0.1551256582</v>
      </c>
      <c r="G189" s="17">
        <f>IFERROR(__xludf.DUMMYFUNCTION("""COMPUTED_VALUE"""),0.0011683978884136905)</f>
        <v>0.001168397888</v>
      </c>
      <c r="H189" s="4"/>
      <c r="I189" s="5" t="s">
        <v>3396</v>
      </c>
      <c r="J189" s="5" t="s">
        <v>3240</v>
      </c>
      <c r="K189" s="5">
        <v>21.0</v>
      </c>
      <c r="L189" s="5">
        <v>-0.653261</v>
      </c>
      <c r="M189" s="5">
        <v>-0.149143</v>
      </c>
      <c r="N189" s="5">
        <v>-0.802404</v>
      </c>
      <c r="O189" s="5">
        <v>0.007487</v>
      </c>
    </row>
    <row r="190">
      <c r="A190" s="18" t="str">
        <f>IFERROR(__xludf.DUMMYFUNCTION("""COMPUTED_VALUE"""),"Niccolo Lazzeri")</f>
        <v>Niccolo Lazzeri</v>
      </c>
      <c r="B190" s="19" t="str">
        <f>IFERROR(__xludf.DUMMYFUNCTION("""COMPUTED_VALUE"""),"NCM")</f>
        <v>NCM</v>
      </c>
      <c r="C190" s="20">
        <f>IFERROR(__xludf.DUMMYFUNCTION("""COMPUTED_VALUE"""),2.0)</f>
        <v>2</v>
      </c>
      <c r="D190" s="21">
        <f>IFERROR(__xludf.DUMMYFUNCTION("""COMPUTED_VALUE"""),-0.11738668179079886)</f>
        <v>-0.1173866818</v>
      </c>
      <c r="E190" s="21">
        <f>IFERROR(__xludf.DUMMYFUNCTION("""COMPUTED_VALUE"""),-0.049567659741902095)</f>
        <v>-0.04956765974</v>
      </c>
      <c r="F190" s="21">
        <f>IFERROR(__xludf.DUMMYFUNCTION("""COMPUTED_VALUE"""),-0.16697794153270096)</f>
        <v>-0.1669779415</v>
      </c>
      <c r="G190" s="23">
        <f>IFERROR(__xludf.DUMMYFUNCTION("""COMPUTED_VALUE"""),0.0011538547633739172)</f>
        <v>0.001153854763</v>
      </c>
      <c r="H190" s="4"/>
      <c r="I190" s="5" t="s">
        <v>3397</v>
      </c>
      <c r="J190" s="5" t="s">
        <v>3237</v>
      </c>
      <c r="K190" s="5">
        <v>909.0</v>
      </c>
      <c r="L190" s="5">
        <v>-0.035343</v>
      </c>
      <c r="M190" s="5">
        <v>-0.813236</v>
      </c>
      <c r="N190" s="5">
        <v>-0.848578</v>
      </c>
      <c r="O190" s="5">
        <v>0.353117</v>
      </c>
    </row>
    <row r="191">
      <c r="A191" s="12" t="str">
        <f>IFERROR(__xludf.DUMMYFUNCTION("""COMPUTED_VALUE"""),"Anthony Raffa")</f>
        <v>Anthony Raffa</v>
      </c>
      <c r="B191" s="13" t="str">
        <f>IFERROR(__xludf.DUMMYFUNCTION("""COMPUTED_VALUE"""),"GAGA")</f>
        <v>GAGA</v>
      </c>
      <c r="C191" s="14">
        <f>IFERROR(__xludf.DUMMYFUNCTION("""COMPUTED_VALUE"""),703.0)</f>
        <v>703</v>
      </c>
      <c r="D191" s="15">
        <f>IFERROR(__xludf.DUMMYFUNCTION("""COMPUTED_VALUE"""),2.2077804545424056)</f>
        <v>2.207780455</v>
      </c>
      <c r="E191" s="15">
        <f>IFERROR(__xludf.DUMMYFUNCTION("""COMPUTED_VALUE"""),-2.3750378411202333)</f>
        <v>-2.375037841</v>
      </c>
      <c r="F191" s="15">
        <f>IFERROR(__xludf.DUMMYFUNCTION("""COMPUTED_VALUE"""),-0.16727018657782758)</f>
        <v>-0.1672701866</v>
      </c>
      <c r="G191" s="17">
        <f>IFERROR(__xludf.DUMMYFUNCTION("""COMPUTED_VALUE"""),0.3770116225948168)</f>
        <v>0.3770116226</v>
      </c>
      <c r="H191" s="4"/>
      <c r="I191" s="5" t="s">
        <v>3398</v>
      </c>
      <c r="J191" s="5" t="s">
        <v>3240</v>
      </c>
      <c r="K191" s="5">
        <v>83.0</v>
      </c>
      <c r="L191" s="5">
        <v>-1.075652</v>
      </c>
      <c r="M191" s="5">
        <v>0.209736</v>
      </c>
      <c r="N191" s="5">
        <v>-0.865916</v>
      </c>
      <c r="O191" s="5">
        <v>0.028635</v>
      </c>
    </row>
    <row r="192">
      <c r="A192" s="18" t="str">
        <f>IFERROR(__xludf.DUMMYFUNCTION("""COMPUTED_VALUE"""),"Giorgio Pederzoli")</f>
        <v>Giorgio Pederzoli</v>
      </c>
      <c r="B192" s="19" t="str">
        <f>IFERROR(__xludf.DUMMYFUNCTION("""COMPUTED_VALUE"""),"BOL")</f>
        <v>BOL</v>
      </c>
      <c r="C192" s="20">
        <f>IFERROR(__xludf.DUMMYFUNCTION("""COMPUTED_VALUE"""),1.0)</f>
        <v>1</v>
      </c>
      <c r="D192" s="21">
        <f>IFERROR(__xludf.DUMMYFUNCTION("""COMPUTED_VALUE"""),-0.1291869701422695)</f>
        <v>-0.1291869701</v>
      </c>
      <c r="E192" s="21">
        <f>IFERROR(__xludf.DUMMYFUNCTION("""COMPUTED_VALUE"""),-0.03844269262587441)</f>
        <v>-0.03844269263</v>
      </c>
      <c r="F192" s="21">
        <f>IFERROR(__xludf.DUMMYFUNCTION("""COMPUTED_VALUE"""),-0.16764516276814392)</f>
        <v>-0.1676451628</v>
      </c>
      <c r="G192" s="23">
        <f>IFERROR(__xludf.DUMMYFUNCTION("""COMPUTED_VALUE"""),5.755722687190082E-4)</f>
        <v>0.0005755722687</v>
      </c>
      <c r="H192" s="4"/>
      <c r="I192" s="5" t="s">
        <v>3399</v>
      </c>
      <c r="J192" s="5" t="s">
        <v>3205</v>
      </c>
      <c r="K192" s="5">
        <v>65.0</v>
      </c>
      <c r="L192" s="5">
        <v>-0.342678</v>
      </c>
      <c r="M192" s="5">
        <v>-0.539997</v>
      </c>
      <c r="N192" s="5">
        <v>-0.882675</v>
      </c>
      <c r="O192" s="5">
        <v>0.02213</v>
      </c>
    </row>
    <row r="193">
      <c r="A193" s="12" t="str">
        <f>IFERROR(__xludf.DUMMYFUNCTION("""COMPUTED_VALUE"""),"Jamal Jones")</f>
        <v>Jamal Jones</v>
      </c>
      <c r="B193" s="13" t="str">
        <f>IFERROR(__xludf.DUMMYFUNCTION("""COMPUTED_VALUE"""),"STV")</f>
        <v>STV</v>
      </c>
      <c r="C193" s="14">
        <f>IFERROR(__xludf.DUMMYFUNCTION("""COMPUTED_VALUE"""),1152.0)</f>
        <v>1152</v>
      </c>
      <c r="D193" s="15">
        <f>IFERROR(__xludf.DUMMYFUNCTION("""COMPUTED_VALUE"""),-0.13393765856971268)</f>
        <v>-0.1339376586</v>
      </c>
      <c r="E193" s="15">
        <f>IFERROR(__xludf.DUMMYFUNCTION("""COMPUTED_VALUE"""),-0.03449052567670864)</f>
        <v>-0.03449052568</v>
      </c>
      <c r="F193" s="15">
        <f>IFERROR(__xludf.DUMMYFUNCTION("""COMPUTED_VALUE"""),-0.16845268424642132)</f>
        <v>-0.1684526842</v>
      </c>
      <c r="G193" s="17">
        <f>IFERROR(__xludf.DUMMYFUNCTION("""COMPUTED_VALUE"""),0.699287980797547)</f>
        <v>0.6992879808</v>
      </c>
      <c r="H193" s="4"/>
      <c r="I193" s="5" t="s">
        <v>3400</v>
      </c>
      <c r="J193" s="5" t="s">
        <v>3212</v>
      </c>
      <c r="K193" s="5">
        <v>162.0</v>
      </c>
      <c r="L193" s="5">
        <v>-2.121096</v>
      </c>
      <c r="M193" s="5">
        <v>1.234322</v>
      </c>
      <c r="N193" s="5">
        <v>-0.886774</v>
      </c>
      <c r="O193" s="5">
        <v>0.054607</v>
      </c>
    </row>
    <row r="194">
      <c r="A194" s="18" t="str">
        <f>IFERROR(__xludf.DUMMYFUNCTION("""COMPUTED_VALUE"""),"Stefano Monticelli")</f>
        <v>Stefano Monticelli</v>
      </c>
      <c r="B194" s="19" t="str">
        <f>IFERROR(__xludf.DUMMYFUNCTION("""COMPUTED_VALUE"""),"AMIC")</f>
        <v>AMIC</v>
      </c>
      <c r="C194" s="20">
        <f>IFERROR(__xludf.DUMMYFUNCTION("""COMPUTED_VALUE"""),1.0)</f>
        <v>1</v>
      </c>
      <c r="D194" s="21">
        <f>IFERROR(__xludf.DUMMYFUNCTION("""COMPUTED_VALUE"""),-0.131722678005286)</f>
        <v>-0.131722678</v>
      </c>
      <c r="E194" s="21">
        <f>IFERROR(__xludf.DUMMYFUNCTION("""COMPUTED_VALUE"""),-0.03861611631348339)</f>
        <v>-0.03861611631</v>
      </c>
      <c r="F194" s="21">
        <f>IFERROR(__xludf.DUMMYFUNCTION("""COMPUTED_VALUE"""),-0.1703572943187694)</f>
        <v>-0.1703572943</v>
      </c>
      <c r="G194" s="23">
        <f>IFERROR(__xludf.DUMMYFUNCTION("""COMPUTED_VALUE"""),5.720245346954592E-4)</f>
        <v>0.0005720245347</v>
      </c>
      <c r="H194" s="4"/>
      <c r="I194" s="5" t="s">
        <v>3401</v>
      </c>
      <c r="J194" s="5" t="s">
        <v>3331</v>
      </c>
      <c r="K194" s="5">
        <v>15.0</v>
      </c>
      <c r="L194" s="5">
        <v>-0.575761</v>
      </c>
      <c r="M194" s="5">
        <v>-0.313557</v>
      </c>
      <c r="N194" s="5">
        <v>-0.889318</v>
      </c>
      <c r="O194" s="5">
        <v>0.004955</v>
      </c>
    </row>
    <row r="195">
      <c r="A195" s="12" t="str">
        <f>IFERROR(__xludf.DUMMYFUNCTION("""COMPUTED_VALUE"""),"Jamal Olasewere")</f>
        <v>Jamal Olasewere</v>
      </c>
      <c r="B195" s="13" t="str">
        <f>IFERROR(__xludf.DUMMYFUNCTION("""COMPUTED_VALUE"""),"GAGA")</f>
        <v>GAGA</v>
      </c>
      <c r="C195" s="14">
        <f>IFERROR(__xludf.DUMMYFUNCTION("""COMPUTED_VALUE"""),404.5)</f>
        <v>404.5</v>
      </c>
      <c r="D195" s="15">
        <f>IFERROR(__xludf.DUMMYFUNCTION("""COMPUTED_VALUE"""),-1.3840809146560897)</f>
        <v>-1.384080915</v>
      </c>
      <c r="E195" s="15">
        <f>IFERROR(__xludf.DUMMYFUNCTION("""COMPUTED_VALUE"""),1.2136131387422233)</f>
        <v>1.213613139</v>
      </c>
      <c r="F195" s="15">
        <f>IFERROR(__xludf.DUMMYFUNCTION("""COMPUTED_VALUE"""),-0.1704844759138664)</f>
        <v>-0.1704844759</v>
      </c>
      <c r="G195" s="17">
        <f>IFERROR(__xludf.DUMMYFUNCTION("""COMPUTED_VALUE"""),0.21655805453309546)</f>
        <v>0.2165580545</v>
      </c>
      <c r="H195" s="4"/>
      <c r="I195" s="5" t="s">
        <v>3402</v>
      </c>
      <c r="J195" s="5" t="s">
        <v>2838</v>
      </c>
      <c r="K195" s="5">
        <v>18.0</v>
      </c>
      <c r="L195" s="5">
        <v>-0.525235</v>
      </c>
      <c r="M195" s="5">
        <v>-0.378052</v>
      </c>
      <c r="N195" s="5">
        <v>-0.903287</v>
      </c>
      <c r="O195" s="5">
        <v>0.00598</v>
      </c>
    </row>
    <row r="196">
      <c r="A196" s="18" t="str">
        <f>IFERROR(__xludf.DUMMYFUNCTION("""COMPUTED_VALUE"""),"Gabriele Berra")</f>
        <v>Gabriele Berra</v>
      </c>
      <c r="B196" s="19" t="str">
        <f>IFERROR(__xludf.DUMMYFUNCTION("""COMPUTED_VALUE"""),"LEGN")</f>
        <v>LEGN</v>
      </c>
      <c r="C196" s="20">
        <f>IFERROR(__xludf.DUMMYFUNCTION("""COMPUTED_VALUE"""),24.0)</f>
        <v>24</v>
      </c>
      <c r="D196" s="21">
        <f>IFERROR(__xludf.DUMMYFUNCTION("""COMPUTED_VALUE"""),0.14613359020757585)</f>
        <v>0.1461335902</v>
      </c>
      <c r="E196" s="21">
        <f>IFERROR(__xludf.DUMMYFUNCTION("""COMPUTED_VALUE"""),-0.31928622329484097)</f>
        <v>-0.3192862233</v>
      </c>
      <c r="F196" s="21">
        <f>IFERROR(__xludf.DUMMYFUNCTION("""COMPUTED_VALUE"""),-0.17319413308726514)</f>
        <v>-0.1731941331</v>
      </c>
      <c r="G196" s="23">
        <f>IFERROR(__xludf.DUMMYFUNCTION("""COMPUTED_VALUE"""),0.013357931169764255)</f>
        <v>0.01335793117</v>
      </c>
      <c r="H196" s="4"/>
      <c r="I196" s="5" t="s">
        <v>3403</v>
      </c>
      <c r="J196" s="5" t="s">
        <v>3220</v>
      </c>
      <c r="K196" s="5">
        <v>25.0</v>
      </c>
      <c r="L196" s="5">
        <v>-0.652833</v>
      </c>
      <c r="M196" s="5">
        <v>-0.290432</v>
      </c>
      <c r="N196" s="5">
        <v>-0.943265</v>
      </c>
      <c r="O196" s="5">
        <v>0.008143</v>
      </c>
    </row>
    <row r="197">
      <c r="A197" s="12" t="str">
        <f>IFERROR(__xludf.DUMMYFUNCTION("""COMPUTED_VALUE"""),"Rocco Marino")</f>
        <v>Rocco Marino</v>
      </c>
      <c r="B197" s="13" t="str">
        <f>IFERROR(__xludf.DUMMYFUNCTION("""COMPUTED_VALUE"""),"VRC")</f>
        <v>VRC</v>
      </c>
      <c r="C197" s="14">
        <f>IFERROR(__xludf.DUMMYFUNCTION("""COMPUTED_VALUE"""),2.0)</f>
        <v>2</v>
      </c>
      <c r="D197" s="15">
        <f>IFERROR(__xludf.DUMMYFUNCTION("""COMPUTED_VALUE"""),-0.12188536835379982)</f>
        <v>-0.1218853684</v>
      </c>
      <c r="E197" s="15">
        <f>IFERROR(__xludf.DUMMYFUNCTION("""COMPUTED_VALUE"""),-0.05423351445002401)</f>
        <v>-0.05423351445</v>
      </c>
      <c r="F197" s="15">
        <f>IFERROR(__xludf.DUMMYFUNCTION("""COMPUTED_VALUE"""),-0.17614028280382382)</f>
        <v>-0.1761402828</v>
      </c>
      <c r="G197" s="17">
        <f>IFERROR(__xludf.DUMMYFUNCTION("""COMPUTED_VALUE"""),0.001148633297058405)</f>
        <v>0.001148633297</v>
      </c>
      <c r="H197" s="4"/>
      <c r="I197" s="5" t="s">
        <v>3404</v>
      </c>
      <c r="J197" s="5" t="s">
        <v>644</v>
      </c>
      <c r="K197" s="24">
        <v>20.0</v>
      </c>
      <c r="L197" s="5">
        <v>-0.394647</v>
      </c>
      <c r="M197" s="5">
        <v>-0.565924</v>
      </c>
      <c r="N197" s="5">
        <v>-0.960571</v>
      </c>
      <c r="O197" s="5">
        <v>0.00628</v>
      </c>
    </row>
    <row r="198">
      <c r="A198" s="18" t="str">
        <f>IFERROR(__xludf.DUMMYFUNCTION("""COMPUTED_VALUE"""),"Giovanni Scialabba")</f>
        <v>Giovanni Scialabba</v>
      </c>
      <c r="B198" s="19" t="str">
        <f>IFERROR(__xludf.DUMMYFUNCTION("""COMPUTED_VALUE"""),"VRC")</f>
        <v>VRC</v>
      </c>
      <c r="C198" s="20">
        <f>IFERROR(__xludf.DUMMYFUNCTION("""COMPUTED_VALUE"""),2.0)</f>
        <v>2</v>
      </c>
      <c r="D198" s="21">
        <f>IFERROR(__xludf.DUMMYFUNCTION("""COMPUTED_VALUE"""),-0.14304558618809007)</f>
        <v>-0.1430455862</v>
      </c>
      <c r="E198" s="21">
        <f>IFERROR(__xludf.DUMMYFUNCTION("""COMPUTED_VALUE"""),-0.034489648929474696)</f>
        <v>-0.03448964893</v>
      </c>
      <c r="F198" s="21">
        <f>IFERROR(__xludf.DUMMYFUNCTION("""COMPUTED_VALUE"""),-0.17754363511756477)</f>
        <v>-0.1775436351</v>
      </c>
      <c r="G198" s="23">
        <f>IFERROR(__xludf.DUMMYFUNCTION("""COMPUTED_VALUE"""),0.0011347659576239968)</f>
        <v>0.001134765958</v>
      </c>
      <c r="H198" s="4"/>
      <c r="I198" s="5" t="s">
        <v>3405</v>
      </c>
      <c r="J198" s="5" t="s">
        <v>3223</v>
      </c>
      <c r="K198" s="24">
        <v>78.0</v>
      </c>
      <c r="L198" s="5">
        <v>-0.988511</v>
      </c>
      <c r="M198" s="5">
        <v>0.027867</v>
      </c>
      <c r="N198" s="5">
        <v>-0.960644</v>
      </c>
      <c r="O198" s="5">
        <v>0.024607</v>
      </c>
    </row>
    <row r="199">
      <c r="A199" s="12" t="str">
        <f>IFERROR(__xludf.DUMMYFUNCTION("""COMPUTED_VALUE"""),"Francesco Guerra")</f>
        <v>Francesco Guerra</v>
      </c>
      <c r="B199" s="13" t="str">
        <f>IFERROR(__xludf.DUMMYFUNCTION("""COMPUTED_VALUE"""),"LAT")</f>
        <v>LAT</v>
      </c>
      <c r="C199" s="14">
        <f>IFERROR(__xludf.DUMMYFUNCTION("""COMPUTED_VALUE"""),1.0)</f>
        <v>1</v>
      </c>
      <c r="D199" s="15">
        <f>IFERROR(__xludf.DUMMYFUNCTION("""COMPUTED_VALUE"""),-0.13575268906345198)</f>
        <v>-0.1357526891</v>
      </c>
      <c r="E199" s="15">
        <f>IFERROR(__xludf.DUMMYFUNCTION("""COMPUTED_VALUE"""),-0.04302985778063161)</f>
        <v>-0.04302985778</v>
      </c>
      <c r="F199" s="15">
        <f>IFERROR(__xludf.DUMMYFUNCTION("""COMPUTED_VALUE"""),-0.1788094468440836)</f>
        <v>-0.1788094468</v>
      </c>
      <c r="G199" s="17">
        <f>IFERROR(__xludf.DUMMYFUNCTION("""COMPUTED_VALUE"""),6.185785603093505E-4)</f>
        <v>0.0006185785603</v>
      </c>
      <c r="H199" s="4"/>
      <c r="I199" s="5" t="s">
        <v>3406</v>
      </c>
      <c r="J199" s="5" t="s">
        <v>3240</v>
      </c>
      <c r="K199" s="5">
        <v>16.0</v>
      </c>
      <c r="L199" s="5">
        <v>-0.562825</v>
      </c>
      <c r="M199" s="5">
        <v>-0.422769</v>
      </c>
      <c r="N199" s="5">
        <v>-0.985595</v>
      </c>
      <c r="O199" s="5">
        <v>0.004826</v>
      </c>
    </row>
    <row r="200">
      <c r="A200" s="18" t="str">
        <f>IFERROR(__xludf.DUMMYFUNCTION("""COMPUTED_VALUE"""),"Giuseppe Angellotti")</f>
        <v>Giuseppe Angellotti</v>
      </c>
      <c r="B200" s="19" t="str">
        <f>IFERROR(__xludf.DUMMYFUNCTION("""COMPUTED_VALUE"""),"POD")</f>
        <v>POD</v>
      </c>
      <c r="C200" s="20">
        <f>IFERROR(__xludf.DUMMYFUNCTION("""COMPUTED_VALUE"""),2.0)</f>
        <v>2</v>
      </c>
      <c r="D200" s="21">
        <f>IFERROR(__xludf.DUMMYFUNCTION("""COMPUTED_VALUE"""),-0.1233479195627721)</f>
        <v>-0.1233479196</v>
      </c>
      <c r="E200" s="21">
        <f>IFERROR(__xludf.DUMMYFUNCTION("""COMPUTED_VALUE"""),-0.057668153997368014)</f>
        <v>-0.057668154</v>
      </c>
      <c r="F200" s="21">
        <f>IFERROR(__xludf.DUMMYFUNCTION("""COMPUTED_VALUE"""),-0.1810597735601401)</f>
        <v>-0.1810597736</v>
      </c>
      <c r="G200" s="23">
        <f>IFERROR(__xludf.DUMMYFUNCTION("""COMPUTED_VALUE"""),0.0011594161079678243)</f>
        <v>0.001159416108</v>
      </c>
      <c r="H200" s="4"/>
      <c r="I200" s="5" t="s">
        <v>3407</v>
      </c>
      <c r="J200" s="5" t="s">
        <v>3233</v>
      </c>
      <c r="K200" s="5">
        <v>13.0</v>
      </c>
      <c r="L200" s="5">
        <v>-0.628658</v>
      </c>
      <c r="M200" s="5">
        <v>-0.364033</v>
      </c>
      <c r="N200" s="5">
        <v>-0.992691</v>
      </c>
      <c r="O200" s="5">
        <v>0.0039</v>
      </c>
    </row>
    <row r="201">
      <c r="A201" s="12" t="str">
        <f>IFERROR(__xludf.DUMMYFUNCTION("""COMPUTED_VALUE"""),"Simone Mentonelli")</f>
        <v>Simone Mentonelli</v>
      </c>
      <c r="B201" s="13" t="str">
        <f>IFERROR(__xludf.DUMMYFUNCTION("""COMPUTED_VALUE"""),"JES")</f>
        <v>JES</v>
      </c>
      <c r="C201" s="14">
        <f>IFERROR(__xludf.DUMMYFUNCTION("""COMPUTED_VALUE"""),2.0)</f>
        <v>2</v>
      </c>
      <c r="D201" s="15">
        <f>IFERROR(__xludf.DUMMYFUNCTION("""COMPUTED_VALUE"""),-0.0660091515511978)</f>
        <v>-0.06600915155</v>
      </c>
      <c r="E201" s="15">
        <f>IFERROR(__xludf.DUMMYFUNCTION("""COMPUTED_VALUE"""),-0.11562593091695103)</f>
        <v>-0.1156259309</v>
      </c>
      <c r="F201" s="15">
        <f>IFERROR(__xludf.DUMMYFUNCTION("""COMPUTED_VALUE"""),-0.18165458246814883)</f>
        <v>-0.1816545825</v>
      </c>
      <c r="G201" s="17">
        <f>IFERROR(__xludf.DUMMYFUNCTION("""COMPUTED_VALUE"""),0.0011819672848864)</f>
        <v>0.001181967285</v>
      </c>
      <c r="H201" s="4"/>
      <c r="I201" s="5" t="s">
        <v>3408</v>
      </c>
      <c r="J201" s="5" t="s">
        <v>3215</v>
      </c>
      <c r="K201" s="5">
        <v>21.0</v>
      </c>
      <c r="L201" s="5">
        <v>-0.599524</v>
      </c>
      <c r="M201" s="5">
        <v>-0.411439</v>
      </c>
      <c r="N201" s="5">
        <v>-1.010962</v>
      </c>
      <c r="O201" s="5">
        <v>0.006157</v>
      </c>
    </row>
    <row r="202">
      <c r="A202" s="18" t="str">
        <f>IFERROR(__xludf.DUMMYFUNCTION("""COMPUTED_VALUE"""),"Daniel Ohenhen Osasenaga")</f>
        <v>Daniel Ohenhen Osasenaga</v>
      </c>
      <c r="B202" s="19" t="str">
        <f>IFERROR(__xludf.DUMMYFUNCTION("""COMPUTED_VALUE"""),"AMIC")</f>
        <v>AMIC</v>
      </c>
      <c r="C202" s="20">
        <f>IFERROR(__xludf.DUMMYFUNCTION("""COMPUTED_VALUE"""),1.0)</f>
        <v>1</v>
      </c>
      <c r="D202" s="21">
        <f>IFERROR(__xludf.DUMMYFUNCTION("""COMPUTED_VALUE"""),-0.14339742442698436)</f>
        <v>-0.1433974244</v>
      </c>
      <c r="E202" s="21">
        <f>IFERROR(__xludf.DUMMYFUNCTION("""COMPUTED_VALUE"""),-0.0434372008110573)</f>
        <v>-0.04343720081</v>
      </c>
      <c r="F202" s="21">
        <f>IFERROR(__xludf.DUMMYFUNCTION("""COMPUTED_VALUE"""),-0.18685152523804166)</f>
        <v>-0.1868515252</v>
      </c>
      <c r="G202" s="23">
        <f>IFERROR(__xludf.DUMMYFUNCTION("""COMPUTED_VALUE"""),5.654345104320334E-4)</f>
        <v>0.0005654345104</v>
      </c>
      <c r="H202" s="4"/>
      <c r="I202" s="5" t="s">
        <v>3409</v>
      </c>
      <c r="J202" s="5" t="s">
        <v>3281</v>
      </c>
      <c r="K202" s="5">
        <v>147.0</v>
      </c>
      <c r="L202" s="5">
        <v>-2.057113</v>
      </c>
      <c r="M202" s="5">
        <v>1.019109</v>
      </c>
      <c r="N202" s="5">
        <v>-1.038004</v>
      </c>
      <c r="O202" s="5">
        <v>0.04297</v>
      </c>
    </row>
    <row r="203">
      <c r="A203" s="12" t="str">
        <f>IFERROR(__xludf.DUMMYFUNCTION("""COMPUTED_VALUE"""),"Giuseppe Altavilla")</f>
        <v>Giuseppe Altavilla</v>
      </c>
      <c r="B203" s="13" t="str">
        <f>IFERROR(__xludf.DUMMYFUNCTION("""COMPUTED_VALUE"""),"POD")</f>
        <v>POD</v>
      </c>
      <c r="C203" s="14">
        <f>IFERROR(__xludf.DUMMYFUNCTION("""COMPUTED_VALUE"""),10.0)</f>
        <v>10</v>
      </c>
      <c r="D203" s="15">
        <f>IFERROR(__xludf.DUMMYFUNCTION("""COMPUTED_VALUE"""),-0.07115216027247169)</f>
        <v>-0.07115216027</v>
      </c>
      <c r="E203" s="15">
        <f>IFERROR(__xludf.DUMMYFUNCTION("""COMPUTED_VALUE"""),-0.1179021970082659)</f>
        <v>-0.117902197</v>
      </c>
      <c r="F203" s="15">
        <f>IFERROR(__xludf.DUMMYFUNCTION("""COMPUTED_VALUE"""),-0.1890990572807376)</f>
        <v>-0.1890990573</v>
      </c>
      <c r="G203" s="17">
        <f>IFERROR(__xludf.DUMMYFUNCTION("""COMPUTED_VALUE"""),0.005598624539017286)</f>
        <v>0.005598624539</v>
      </c>
      <c r="H203" s="4"/>
      <c r="I203" s="5" t="s">
        <v>3410</v>
      </c>
      <c r="J203" s="5" t="s">
        <v>3263</v>
      </c>
      <c r="K203" s="5">
        <v>344.0</v>
      </c>
      <c r="L203" s="5">
        <v>-1.929005</v>
      </c>
      <c r="M203" s="5">
        <v>0.861375</v>
      </c>
      <c r="N203" s="5">
        <v>-1.06763</v>
      </c>
      <c r="O203" s="5">
        <v>0.096483</v>
      </c>
    </row>
    <row r="204">
      <c r="A204" s="18" t="str">
        <f>IFERROR(__xludf.DUMMYFUNCTION("""COMPUTED_VALUE"""),"Daniele Constanzelli")</f>
        <v>Daniele Constanzelli</v>
      </c>
      <c r="B204" s="19" t="str">
        <f>IFERROR(__xludf.DUMMYFUNCTION("""COMPUTED_VALUE"""),"MAN")</f>
        <v>MAN</v>
      </c>
      <c r="C204" s="20">
        <f>IFERROR(__xludf.DUMMYFUNCTION("""COMPUTED_VALUE"""),5.0)</f>
        <v>5</v>
      </c>
      <c r="D204" s="21">
        <f>IFERROR(__xludf.DUMMYFUNCTION("""COMPUTED_VALUE"""),-0.10209811638103478)</f>
        <v>-0.1020981164</v>
      </c>
      <c r="E204" s="21">
        <f>IFERROR(__xludf.DUMMYFUNCTION("""COMPUTED_VALUE"""),-0.08921267231024778)</f>
        <v>-0.08921267231</v>
      </c>
      <c r="F204" s="21">
        <f>IFERROR(__xludf.DUMMYFUNCTION("""COMPUTED_VALUE"""),-0.19134578869128255)</f>
        <v>-0.1913457887</v>
      </c>
      <c r="G204" s="23">
        <f>IFERROR(__xludf.DUMMYFUNCTION("""COMPUTED_VALUE"""),0.0028879048902082285)</f>
        <v>0.00288790489</v>
      </c>
      <c r="H204" s="4"/>
      <c r="I204" s="5" t="s">
        <v>3411</v>
      </c>
      <c r="J204" s="5" t="s">
        <v>3233</v>
      </c>
      <c r="K204" s="5">
        <v>192.0</v>
      </c>
      <c r="L204" s="5">
        <v>-2.585039</v>
      </c>
      <c r="M204" s="5">
        <v>1.512624</v>
      </c>
      <c r="N204" s="5">
        <v>-1.072415</v>
      </c>
      <c r="O204" s="5">
        <v>0.052552</v>
      </c>
    </row>
    <row r="205">
      <c r="A205" s="12" t="str">
        <f>IFERROR(__xludf.DUMMYFUNCTION("""COMPUTED_VALUE"""),"Leonardo Berrettoni")</f>
        <v>Leonardo Berrettoni</v>
      </c>
      <c r="B205" s="13" t="str">
        <f>IFERROR(__xludf.DUMMYFUNCTION("""COMPUTED_VALUE"""),"RIET")</f>
        <v>RIET</v>
      </c>
      <c r="C205" s="14">
        <f>IFERROR(__xludf.DUMMYFUNCTION("""COMPUTED_VALUE"""),2.0)</f>
        <v>2</v>
      </c>
      <c r="D205" s="15">
        <f>IFERROR(__xludf.DUMMYFUNCTION("""COMPUTED_VALUE"""),-0.15872948695087857)</f>
        <v>-0.158729487</v>
      </c>
      <c r="E205" s="15">
        <f>IFERROR(__xludf.DUMMYFUNCTION("""COMPUTED_VALUE"""),-0.043275880581445186)</f>
        <v>-0.04327588058</v>
      </c>
      <c r="F205" s="15">
        <f>IFERROR(__xludf.DUMMYFUNCTION("""COMPUTED_VALUE"""),-0.20204676753232376)</f>
        <v>-0.2020467675</v>
      </c>
      <c r="G205" s="17">
        <f>IFERROR(__xludf.DUMMYFUNCTION("""COMPUTED_VALUE"""),0.0012677008351528322)</f>
        <v>0.001267700835</v>
      </c>
      <c r="H205" s="4"/>
      <c r="I205" s="5" t="s">
        <v>3412</v>
      </c>
      <c r="J205" s="5" t="s">
        <v>3251</v>
      </c>
      <c r="K205" s="5">
        <v>26.0</v>
      </c>
      <c r="L205" s="5">
        <v>-1.060091</v>
      </c>
      <c r="M205" s="5">
        <v>-0.034929</v>
      </c>
      <c r="N205" s="5">
        <v>-1.095019</v>
      </c>
      <c r="O205" s="5">
        <v>0.007176</v>
      </c>
    </row>
    <row r="206">
      <c r="A206" s="18" t="str">
        <f>IFERROR(__xludf.DUMMYFUNCTION("""COMPUTED_VALUE"""),"Antonio Crescenzi")</f>
        <v>Antonio Crescenzi</v>
      </c>
      <c r="B206" s="19" t="str">
        <f>IFERROR(__xludf.DUMMYFUNCTION("""COMPUTED_VALUE"""),"COUR")</f>
        <v>COUR</v>
      </c>
      <c r="C206" s="20">
        <f>IFERROR(__xludf.DUMMYFUNCTION("""COMPUTED_VALUE"""),14.0)</f>
        <v>14</v>
      </c>
      <c r="D206" s="21">
        <f>IFERROR(__xludf.DUMMYFUNCTION("""COMPUTED_VALUE"""),-0.26591838120257844)</f>
        <v>-0.2659183812</v>
      </c>
      <c r="E206" s="21">
        <f>IFERROR(__xludf.DUMMYFUNCTION("""COMPUTED_VALUE"""),0.05346098282486763)</f>
        <v>0.05346098282</v>
      </c>
      <c r="F206" s="21">
        <f>IFERROR(__xludf.DUMMYFUNCTION("""COMPUTED_VALUE"""),-0.2124914983777108)</f>
        <v>-0.2124914984</v>
      </c>
      <c r="G206" s="23">
        <f>IFERROR(__xludf.DUMMYFUNCTION("""COMPUTED_VALUE"""),0.008884161485592571)</f>
        <v>0.008884161486</v>
      </c>
      <c r="H206" s="4"/>
      <c r="I206" s="5" t="s">
        <v>3413</v>
      </c>
      <c r="J206" s="5" t="s">
        <v>3240</v>
      </c>
      <c r="K206" s="24">
        <v>25.0</v>
      </c>
      <c r="L206" s="5">
        <v>-0.565951</v>
      </c>
      <c r="M206" s="5">
        <v>-0.576498</v>
      </c>
      <c r="N206" s="5">
        <v>-1.142449</v>
      </c>
      <c r="O206" s="5">
        <v>0.006642</v>
      </c>
    </row>
    <row r="207">
      <c r="A207" s="12" t="str">
        <f>IFERROR(__xludf.DUMMYFUNCTION("""COMPUTED_VALUE"""),"Francesco Ciarpella")</f>
        <v>Francesco Ciarpella</v>
      </c>
      <c r="B207" s="13" t="str">
        <f>IFERROR(__xludf.DUMMYFUNCTION("""COMPUTED_VALUE"""),"POD")</f>
        <v>POD</v>
      </c>
      <c r="C207" s="14">
        <f>IFERROR(__xludf.DUMMYFUNCTION("""COMPUTED_VALUE"""),1.0)</f>
        <v>1</v>
      </c>
      <c r="D207" s="15">
        <f>IFERROR(__xludf.DUMMYFUNCTION("""COMPUTED_VALUE"""),-0.16084601740935822)</f>
        <v>-0.1608460174</v>
      </c>
      <c r="E207" s="15">
        <f>IFERROR(__xludf.DUMMYFUNCTION("""COMPUTED_VALUE"""),-0.05180736980009737)</f>
        <v>-0.0518073698</v>
      </c>
      <c r="F207" s="15">
        <f>IFERROR(__xludf.DUMMYFUNCTION("""COMPUTED_VALUE"""),-0.2126890872094556)</f>
        <v>-0.2126890872</v>
      </c>
      <c r="G207" s="17">
        <f>IFERROR(__xludf.DUMMYFUNCTION("""COMPUTED_VALUE"""),5.838575332604856E-4)</f>
        <v>0.0005838575333</v>
      </c>
      <c r="H207" s="4"/>
      <c r="I207" s="5" t="s">
        <v>3414</v>
      </c>
      <c r="J207" s="5" t="s">
        <v>3331</v>
      </c>
      <c r="K207" s="24">
        <v>783.0</v>
      </c>
      <c r="L207" s="5">
        <v>0.206832</v>
      </c>
      <c r="M207" s="5">
        <v>-1.352003</v>
      </c>
      <c r="N207" s="5">
        <v>-1.145171</v>
      </c>
      <c r="O207" s="5">
        <v>0.203098</v>
      </c>
    </row>
    <row r="208">
      <c r="A208" s="18" t="str">
        <f>IFERROR(__xludf.DUMMYFUNCTION("""COMPUTED_VALUE"""),"Andrea Benevelli")</f>
        <v>Andrea Benevelli</v>
      </c>
      <c r="B208" s="19" t="str">
        <f>IFERROR(__xludf.DUMMYFUNCTION("""COMPUTED_VALUE"""),"AMIC")</f>
        <v>AMIC</v>
      </c>
      <c r="C208" s="20">
        <f>IFERROR(__xludf.DUMMYFUNCTION("""COMPUTED_VALUE"""),591.0)</f>
        <v>591</v>
      </c>
      <c r="D208" s="21">
        <f>IFERROR(__xludf.DUMMYFUNCTION("""COMPUTED_VALUE"""),-0.8222404093928198)</f>
        <v>-0.8222404094</v>
      </c>
      <c r="E208" s="21">
        <f>IFERROR(__xludf.DUMMYFUNCTION("""COMPUTED_VALUE"""),0.6045845550121712)</f>
        <v>0.604584555</v>
      </c>
      <c r="F208" s="21">
        <f>IFERROR(__xludf.DUMMYFUNCTION("""COMPUTED_VALUE"""),-0.21769765438064856)</f>
        <v>-0.2176976544</v>
      </c>
      <c r="G208" s="23">
        <f>IFERROR(__xludf.DUMMYFUNCTION("""COMPUTED_VALUE"""),0.3187105277401241)</f>
        <v>0.3187105277</v>
      </c>
      <c r="H208" s="4"/>
      <c r="I208" s="5" t="s">
        <v>3415</v>
      </c>
      <c r="J208" s="5" t="s">
        <v>3205</v>
      </c>
      <c r="K208" s="5">
        <v>454.0</v>
      </c>
      <c r="L208" s="5">
        <v>-0.006266</v>
      </c>
      <c r="M208" s="5">
        <v>-1.15705</v>
      </c>
      <c r="N208" s="5">
        <v>-1.163316</v>
      </c>
      <c r="O208" s="5">
        <v>0.11529</v>
      </c>
    </row>
    <row r="209">
      <c r="A209" s="12" t="str">
        <f>IFERROR(__xludf.DUMMYFUNCTION("""COMPUTED_VALUE"""),"Giuseppe Magro")</f>
        <v>Giuseppe Magro</v>
      </c>
      <c r="B209" s="13" t="str">
        <f>IFERROR(__xludf.DUMMYFUNCTION("""COMPUTED_VALUE"""),"MON")</f>
        <v>MON</v>
      </c>
      <c r="C209" s="14">
        <f>IFERROR(__xludf.DUMMYFUNCTION("""COMPUTED_VALUE"""),3.0)</f>
        <v>3</v>
      </c>
      <c r="D209" s="15">
        <f>IFERROR(__xludf.DUMMYFUNCTION("""COMPUTED_VALUE"""),-0.17153890378836792)</f>
        <v>-0.1715389038</v>
      </c>
      <c r="E209" s="15">
        <f>IFERROR(__xludf.DUMMYFUNCTION("""COMPUTED_VALUE"""),-0.05091311469463769)</f>
        <v>-0.05091311469</v>
      </c>
      <c r="F209" s="15">
        <f>IFERROR(__xludf.DUMMYFUNCTION("""COMPUTED_VALUE"""),-0.2224742184830056)</f>
        <v>-0.2224742185</v>
      </c>
      <c r="G209" s="17">
        <f>IFERROR(__xludf.DUMMYFUNCTION("""COMPUTED_VALUE"""),0.0016418507351144268)</f>
        <v>0.001641850735</v>
      </c>
      <c r="H209" s="4"/>
      <c r="I209" s="5" t="s">
        <v>3416</v>
      </c>
      <c r="J209" s="5" t="s">
        <v>3263</v>
      </c>
      <c r="K209" s="5">
        <v>82.0</v>
      </c>
      <c r="L209" s="5">
        <v>-0.768175</v>
      </c>
      <c r="M209" s="5">
        <v>-0.433616</v>
      </c>
      <c r="N209" s="5">
        <v>-1.201791</v>
      </c>
      <c r="O209" s="5">
        <v>0.0196</v>
      </c>
    </row>
    <row r="210">
      <c r="A210" s="18" t="str">
        <f>IFERROR(__xludf.DUMMYFUNCTION("""COMPUTED_VALUE"""),"Alessandro Palmucci")</f>
        <v>Alessandro Palmucci</v>
      </c>
      <c r="B210" s="19" t="str">
        <f>IFERROR(__xludf.DUMMYFUNCTION("""COMPUTED_VALUE"""),"ROS")</f>
        <v>ROS</v>
      </c>
      <c r="C210" s="20">
        <f>IFERROR(__xludf.DUMMYFUNCTION("""COMPUTED_VALUE"""),4.0)</f>
        <v>4</v>
      </c>
      <c r="D210" s="21">
        <f>IFERROR(__xludf.DUMMYFUNCTION("""COMPUTED_VALUE"""),-0.1514077218264946)</f>
        <v>-0.1514077218</v>
      </c>
      <c r="E210" s="21">
        <f>IFERROR(__xludf.DUMMYFUNCTION("""COMPUTED_VALUE"""),-0.07166612123459737)</f>
        <v>-0.07166612123</v>
      </c>
      <c r="F210" s="21">
        <f>IFERROR(__xludf.DUMMYFUNCTION("""COMPUTED_VALUE"""),-0.22309014306109196)</f>
        <v>-0.2230901431</v>
      </c>
      <c r="G210" s="23">
        <f>IFERROR(__xludf.DUMMYFUNCTION("""COMPUTED_VALUE"""),0.002174271691455004)</f>
        <v>0.002174271691</v>
      </c>
      <c r="H210" s="4"/>
      <c r="I210" s="5" t="s">
        <v>3417</v>
      </c>
      <c r="J210" s="5" t="s">
        <v>2838</v>
      </c>
      <c r="K210" s="5">
        <v>329.0</v>
      </c>
      <c r="L210" s="5">
        <v>1.609448</v>
      </c>
      <c r="M210" s="5">
        <v>-2.82442</v>
      </c>
      <c r="N210" s="5">
        <v>-1.214972</v>
      </c>
      <c r="O210" s="5">
        <v>0.077351</v>
      </c>
    </row>
    <row r="211">
      <c r="A211" s="12" t="str">
        <f>IFERROR(__xludf.DUMMYFUNCTION("""COMPUTED_VALUE"""),"Luca Borghetti")</f>
        <v>Luca Borghetti</v>
      </c>
      <c r="B211" s="13" t="str">
        <f>IFERROR(__xludf.DUMMYFUNCTION("""COMPUTED_VALUE"""),"GAGA")</f>
        <v>GAGA</v>
      </c>
      <c r="C211" s="14">
        <f>IFERROR(__xludf.DUMMYFUNCTION("""COMPUTED_VALUE"""),4.0)</f>
        <v>4</v>
      </c>
      <c r="D211" s="15">
        <f>IFERROR(__xludf.DUMMYFUNCTION("""COMPUTED_VALUE"""),-0.14765838580414908)</f>
        <v>-0.1476583858</v>
      </c>
      <c r="E211" s="15">
        <f>IFERROR(__xludf.DUMMYFUNCTION("""COMPUTED_VALUE"""),-0.07558297957947399)</f>
        <v>-0.07558297958</v>
      </c>
      <c r="F211" s="15">
        <f>IFERROR(__xludf.DUMMYFUNCTION("""COMPUTED_VALUE"""),-0.22328176538362307)</f>
        <v>-0.2232817654</v>
      </c>
      <c r="G211" s="17">
        <f>IFERROR(__xludf.DUMMYFUNCTION("""COMPUTED_VALUE"""),0.002119928013062463)</f>
        <v>0.002119928013</v>
      </c>
      <c r="H211" s="4"/>
      <c r="I211" s="5" t="s">
        <v>3418</v>
      </c>
      <c r="J211" s="5" t="s">
        <v>3203</v>
      </c>
      <c r="K211" s="5">
        <v>258.0</v>
      </c>
      <c r="L211" s="5">
        <v>-0.418633</v>
      </c>
      <c r="M211" s="5">
        <v>-0.810679</v>
      </c>
      <c r="N211" s="5">
        <v>-1.229311</v>
      </c>
      <c r="O211" s="5">
        <v>0.060202</v>
      </c>
    </row>
    <row r="212">
      <c r="A212" s="18" t="str">
        <f>IFERROR(__xludf.DUMMYFUNCTION("""COMPUTED_VALUE"""),"Lorenzo Penna")</f>
        <v>Lorenzo Penna</v>
      </c>
      <c r="B212" s="19" t="str">
        <f>IFERROR(__xludf.DUMMYFUNCTION("""COMPUTED_VALUE"""),"IMOL")</f>
        <v>IMOL</v>
      </c>
      <c r="C212" s="20">
        <f>IFERROR(__xludf.DUMMYFUNCTION("""COMPUTED_VALUE"""),863.0)</f>
        <v>863</v>
      </c>
      <c r="D212" s="21">
        <f>IFERROR(__xludf.DUMMYFUNCTION("""COMPUTED_VALUE"""),-2.0040712343573652)</f>
        <v>-2.004071234</v>
      </c>
      <c r="E212" s="21">
        <f>IFERROR(__xludf.DUMMYFUNCTION("""COMPUTED_VALUE"""),1.7754899583223878)</f>
        <v>1.775489958</v>
      </c>
      <c r="F212" s="21">
        <f>IFERROR(__xludf.DUMMYFUNCTION("""COMPUTED_VALUE"""),-0.22859657603497757)</f>
        <v>-0.228596576</v>
      </c>
      <c r="G212" s="23">
        <f>IFERROR(__xludf.DUMMYFUNCTION("""COMPUTED_VALUE"""),0.46608882282982145)</f>
        <v>0.4660888228</v>
      </c>
      <c r="H212" s="4"/>
      <c r="I212" s="5" t="s">
        <v>3419</v>
      </c>
      <c r="J212" s="5" t="s">
        <v>3220</v>
      </c>
      <c r="K212" s="5">
        <v>316.0</v>
      </c>
      <c r="L212" s="5">
        <v>-0.122936</v>
      </c>
      <c r="M212" s="5">
        <v>-1.133769</v>
      </c>
      <c r="N212" s="5">
        <v>-1.256705</v>
      </c>
      <c r="O212" s="5">
        <v>0.071994</v>
      </c>
    </row>
    <row r="213">
      <c r="A213" s="12" t="str">
        <f>IFERROR(__xludf.DUMMYFUNCTION("""COMPUTED_VALUE"""),"Matt Carlino")</f>
        <v>Matt Carlino</v>
      </c>
      <c r="B213" s="13" t="str">
        <f>IFERROR(__xludf.DUMMYFUNCTION("""COMPUTED_VALUE"""),"ROS")</f>
        <v>ROS</v>
      </c>
      <c r="C213" s="14">
        <f>IFERROR(__xludf.DUMMYFUNCTION("""COMPUTED_VALUE"""),637.0)</f>
        <v>637</v>
      </c>
      <c r="D213" s="15">
        <f>IFERROR(__xludf.DUMMYFUNCTION("""COMPUTED_VALUE"""),1.3896006768516695)</f>
        <v>1.389600677</v>
      </c>
      <c r="E213" s="15">
        <f>IFERROR(__xludf.DUMMYFUNCTION("""COMPUTED_VALUE"""),-1.619258782072701)</f>
        <v>-1.619258782</v>
      </c>
      <c r="F213" s="15">
        <f>IFERROR(__xludf.DUMMYFUNCTION("""COMPUTED_VALUE"""),-0.22969630522103146)</f>
        <v>-0.2296963052</v>
      </c>
      <c r="G213" s="17">
        <f>IFERROR(__xludf.DUMMYFUNCTION("""COMPUTED_VALUE"""),0.3424175503413226)</f>
        <v>0.3424175503</v>
      </c>
      <c r="H213" s="4"/>
      <c r="I213" s="5" t="s">
        <v>3420</v>
      </c>
      <c r="J213" s="5" t="s">
        <v>3215</v>
      </c>
      <c r="K213" s="5">
        <v>63.0</v>
      </c>
      <c r="L213" s="5">
        <v>-0.9899</v>
      </c>
      <c r="M213" s="5">
        <v>-0.271581</v>
      </c>
      <c r="N213" s="5">
        <v>-1.261481</v>
      </c>
      <c r="O213" s="5">
        <v>0.01415</v>
      </c>
    </row>
    <row r="214">
      <c r="A214" s="18" t="str">
        <f>IFERROR(__xludf.DUMMYFUNCTION("""COMPUTED_VALUE"""),"Marcello PIccoli")</f>
        <v>Marcello PIccoli</v>
      </c>
      <c r="B214" s="19" t="str">
        <f>IFERROR(__xludf.DUMMYFUNCTION("""COMPUTED_VALUE"""),"BERG")</f>
        <v>BERG</v>
      </c>
      <c r="C214" s="20">
        <f>IFERROR(__xludf.DUMMYFUNCTION("""COMPUTED_VALUE"""),3.0)</f>
        <v>3</v>
      </c>
      <c r="D214" s="21">
        <f>IFERROR(__xludf.DUMMYFUNCTION("""COMPUTED_VALUE"""),-0.1870477916351283)</f>
        <v>-0.1870477916</v>
      </c>
      <c r="E214" s="21">
        <f>IFERROR(__xludf.DUMMYFUNCTION("""COMPUTED_VALUE"""),-0.04425203781627655)</f>
        <v>-0.04425203782</v>
      </c>
      <c r="F214" s="21">
        <f>IFERROR(__xludf.DUMMYFUNCTION("""COMPUTED_VALUE"""),-0.23131462945140485)</f>
        <v>-0.2313146295</v>
      </c>
      <c r="G214" s="23">
        <f>IFERROR(__xludf.DUMMYFUNCTION("""COMPUTED_VALUE"""),0.001710731723205574)</f>
        <v>0.001710731723</v>
      </c>
      <c r="H214" s="4"/>
      <c r="I214" s="5" t="s">
        <v>3421</v>
      </c>
      <c r="J214" s="5" t="s">
        <v>3223</v>
      </c>
      <c r="K214" s="5">
        <v>514.0</v>
      </c>
      <c r="L214" s="5">
        <v>-2.397411</v>
      </c>
      <c r="M214" s="5">
        <v>1.109743</v>
      </c>
      <c r="N214" s="5">
        <v>-1.287668</v>
      </c>
      <c r="O214" s="5">
        <v>0.111319</v>
      </c>
    </row>
    <row r="215">
      <c r="A215" s="12" t="str">
        <f>IFERROR(__xludf.DUMMYFUNCTION("""COMPUTED_VALUE"""),"Erik Rush")</f>
        <v>Erik Rush</v>
      </c>
      <c r="B215" s="13" t="str">
        <f>IFERROR(__xludf.DUMMYFUNCTION("""COMPUTED_VALUE"""),"FER")</f>
        <v>FER</v>
      </c>
      <c r="C215" s="14">
        <f>IFERROR(__xludf.DUMMYFUNCTION("""COMPUTED_VALUE"""),967.0)</f>
        <v>967</v>
      </c>
      <c r="D215" s="15">
        <f>IFERROR(__xludf.DUMMYFUNCTION("""COMPUTED_VALUE"""),-1.8111902772992665)</f>
        <v>-1.811190277</v>
      </c>
      <c r="E215" s="15">
        <f>IFERROR(__xludf.DUMMYFUNCTION("""COMPUTED_VALUE"""),1.5776729950285793)</f>
        <v>1.577672995</v>
      </c>
      <c r="F215" s="15">
        <f>IFERROR(__xludf.DUMMYFUNCTION("""COMPUTED_VALUE"""),-0.23352718227068733)</f>
        <v>-0.2335271823</v>
      </c>
      <c r="G215" s="17">
        <f>IFERROR(__xludf.DUMMYFUNCTION("""COMPUTED_VALUE"""),0.5283741009458612)</f>
        <v>0.5283741009</v>
      </c>
      <c r="H215" s="4"/>
      <c r="I215" s="5" t="s">
        <v>3422</v>
      </c>
      <c r="J215" s="5" t="s">
        <v>3229</v>
      </c>
      <c r="K215" s="5">
        <v>25.0</v>
      </c>
      <c r="L215" s="5">
        <v>-0.86279</v>
      </c>
      <c r="M215" s="5">
        <v>-0.43882</v>
      </c>
      <c r="N215" s="5">
        <v>-1.301609</v>
      </c>
      <c r="O215" s="5">
        <v>0.005517</v>
      </c>
    </row>
    <row r="216">
      <c r="A216" s="18" t="str">
        <f>IFERROR(__xludf.DUMMYFUNCTION("""COMPUTED_VALUE"""),"William Zanardi")</f>
        <v>William Zanardi</v>
      </c>
      <c r="B216" s="19" t="str">
        <f>IFERROR(__xludf.DUMMYFUNCTION("""COMPUTED_VALUE"""),"GAGA")</f>
        <v>GAGA</v>
      </c>
      <c r="C216" s="20">
        <f>IFERROR(__xludf.DUMMYFUNCTION("""COMPUTED_VALUE"""),2.0)</f>
        <v>2</v>
      </c>
      <c r="D216" s="21">
        <f>IFERROR(__xludf.DUMMYFUNCTION("""COMPUTED_VALUE"""),-0.07690248056205265)</f>
        <v>-0.07690248056</v>
      </c>
      <c r="E216" s="21">
        <f>IFERROR(__xludf.DUMMYFUNCTION("""COMPUTED_VALUE"""),-0.15761742733461884)</f>
        <v>-0.1576174273</v>
      </c>
      <c r="F216" s="21">
        <f>IFERROR(__xludf.DUMMYFUNCTION("""COMPUTED_VALUE"""),-0.23452060789667148)</f>
        <v>-0.2345206079</v>
      </c>
      <c r="G216" s="23">
        <f>IFERROR(__xludf.DUMMYFUNCTION("""COMPUTED_VALUE"""),0.0010338868556400752)</f>
        <v>0.001033886856</v>
      </c>
      <c r="H216" s="4"/>
      <c r="I216" s="5" t="s">
        <v>1182</v>
      </c>
      <c r="J216" s="5" t="s">
        <v>3217</v>
      </c>
      <c r="K216" s="5">
        <v>714.0</v>
      </c>
      <c r="L216" s="5">
        <v>-0.609627</v>
      </c>
      <c r="M216" s="5">
        <v>-0.764987</v>
      </c>
      <c r="N216" s="5">
        <v>-1.374615</v>
      </c>
      <c r="O216" s="5">
        <v>0.134407</v>
      </c>
    </row>
    <row r="217">
      <c r="A217" s="12" t="str">
        <f>IFERROR(__xludf.DUMMYFUNCTION("""COMPUTED_VALUE"""),"Francesco Gallera Malvolti")</f>
        <v>Francesco Gallera Malvolti</v>
      </c>
      <c r="B217" s="13" t="str">
        <f>IFERROR(__xludf.DUMMYFUNCTION("""COMPUTED_VALUE"""),"FOR")</f>
        <v>FOR</v>
      </c>
      <c r="C217" s="14">
        <f>IFERROR(__xludf.DUMMYFUNCTION("""COMPUTED_VALUE"""),20.0)</f>
        <v>20</v>
      </c>
      <c r="D217" s="15">
        <f>IFERROR(__xludf.DUMMYFUNCTION("""COMPUTED_VALUE"""),-0.2632101091183634)</f>
        <v>-0.2632101091</v>
      </c>
      <c r="E217" s="15">
        <f>IFERROR(__xludf.DUMMYFUNCTION("""COMPUTED_VALUE"""),0.013099284866623597)</f>
        <v>0.01309928487</v>
      </c>
      <c r="F217" s="15">
        <f>IFERROR(__xludf.DUMMYFUNCTION("""COMPUTED_VALUE"""),-0.2501397242517398)</f>
        <v>-0.2501397243</v>
      </c>
      <c r="G217" s="17">
        <f>IFERROR(__xludf.DUMMYFUNCTION("""COMPUTED_VALUE"""),0.010610598905956017)</f>
        <v>0.01061059891</v>
      </c>
      <c r="H217" s="4"/>
      <c r="I217" s="5" t="s">
        <v>3423</v>
      </c>
      <c r="J217" s="5" t="s">
        <v>3207</v>
      </c>
      <c r="K217" s="5">
        <v>437.0</v>
      </c>
      <c r="L217" s="5">
        <v>-2.8372</v>
      </c>
      <c r="M217" s="5">
        <v>1.431985</v>
      </c>
      <c r="N217" s="5">
        <v>-1.405215</v>
      </c>
      <c r="O217" s="5">
        <v>0.077575</v>
      </c>
    </row>
    <row r="218">
      <c r="A218" s="18" t="str">
        <f>IFERROR(__xludf.DUMMYFUNCTION("""COMPUTED_VALUE"""),"Lorenzo Torresani")</f>
        <v>Lorenzo Torresani</v>
      </c>
      <c r="B218" s="19" t="str">
        <f>IFERROR(__xludf.DUMMYFUNCTION("""COMPUTED_VALUE"""),"LEON")</f>
        <v>LEON</v>
      </c>
      <c r="C218" s="20">
        <f>IFERROR(__xludf.DUMMYFUNCTION("""COMPUTED_VALUE"""),5.0)</f>
        <v>5</v>
      </c>
      <c r="D218" s="21">
        <f>IFERROR(__xludf.DUMMYFUNCTION("""COMPUTED_VALUE"""),-0.27746064053237485)</f>
        <v>-0.2774606405</v>
      </c>
      <c r="E218" s="21">
        <f>IFERROR(__xludf.DUMMYFUNCTION("""COMPUTED_VALUE"""),0.01927767509497323)</f>
        <v>0.01927767509</v>
      </c>
      <c r="F218" s="21">
        <f>IFERROR(__xludf.DUMMYFUNCTION("""COMPUTED_VALUE"""),-0.2581873654374016)</f>
        <v>-0.2581873654</v>
      </c>
      <c r="G218" s="23">
        <f>IFERROR(__xludf.DUMMYFUNCTION("""COMPUTED_VALUE"""),0.0030672113276938137)</f>
        <v>0.003067211328</v>
      </c>
      <c r="H218" s="4"/>
      <c r="I218" s="5" t="s">
        <v>3424</v>
      </c>
      <c r="J218" s="5" t="s">
        <v>3233</v>
      </c>
      <c r="K218" s="5">
        <v>45.0</v>
      </c>
      <c r="L218" s="5">
        <v>-1.134274</v>
      </c>
      <c r="M218" s="5">
        <v>-0.288334</v>
      </c>
      <c r="N218" s="5">
        <v>-1.422608</v>
      </c>
      <c r="O218" s="5">
        <v>0.007696</v>
      </c>
    </row>
    <row r="219">
      <c r="A219" s="12" t="str">
        <f>IFERROR(__xludf.DUMMYFUNCTION("""COMPUTED_VALUE"""),"Paolo Rotondo")</f>
        <v>Paolo Rotondo</v>
      </c>
      <c r="B219" s="13" t="str">
        <f>IFERROR(__xludf.DUMMYFUNCTION("""COMPUTED_VALUE"""),"MON")</f>
        <v>MON</v>
      </c>
      <c r="C219" s="14">
        <f>IFERROR(__xludf.DUMMYFUNCTION("""COMPUTED_VALUE"""),52.0)</f>
        <v>52</v>
      </c>
      <c r="D219" s="15">
        <f>IFERROR(__xludf.DUMMYFUNCTION("""COMPUTED_VALUE"""),-0.2253056766093917)</f>
        <v>-0.2253056766</v>
      </c>
      <c r="E219" s="15">
        <f>IFERROR(__xludf.DUMMYFUNCTION("""COMPUTED_VALUE"""),-0.04986205780058799)</f>
        <v>-0.0498620578</v>
      </c>
      <c r="F219" s="15">
        <f>IFERROR(__xludf.DUMMYFUNCTION("""COMPUTED_VALUE"""),-0.2751781344099797)</f>
        <v>-0.2751781344</v>
      </c>
      <c r="G219" s="17">
        <f>IFERROR(__xludf.DUMMYFUNCTION("""COMPUTED_VALUE"""),0.02725194920710976)</f>
        <v>0.02725194921</v>
      </c>
      <c r="H219" s="4"/>
      <c r="I219" s="5" t="s">
        <v>3425</v>
      </c>
      <c r="J219" s="5" t="s">
        <v>3205</v>
      </c>
      <c r="K219" s="5">
        <v>102.0</v>
      </c>
      <c r="L219" s="5">
        <v>0.466139</v>
      </c>
      <c r="M219" s="5">
        <v>-1.903523</v>
      </c>
      <c r="N219" s="5">
        <v>-1.437385</v>
      </c>
      <c r="O219" s="5">
        <v>0.017406</v>
      </c>
    </row>
    <row r="220">
      <c r="A220" s="18" t="str">
        <f>IFERROR(__xludf.DUMMYFUNCTION("""COMPUTED_VALUE"""),"Matteo Cavallo")</f>
        <v>Matteo Cavallo</v>
      </c>
      <c r="B220" s="19" t="str">
        <f>IFERROR(__xludf.DUMMYFUNCTION("""COMPUTED_VALUE"""),"LAT")</f>
        <v>LAT</v>
      </c>
      <c r="C220" s="20">
        <f>IFERROR(__xludf.DUMMYFUNCTION("""COMPUTED_VALUE"""),26.0)</f>
        <v>26</v>
      </c>
      <c r="D220" s="21">
        <f>IFERROR(__xludf.DUMMYFUNCTION("""COMPUTED_VALUE"""),-0.0847528593305426)</f>
        <v>-0.08475285933</v>
      </c>
      <c r="E220" s="21">
        <f>IFERROR(__xludf.DUMMYFUNCTION("""COMPUTED_VALUE"""),-0.19405549783636095)</f>
        <v>-0.1940554978</v>
      </c>
      <c r="F220" s="21">
        <f>IFERROR(__xludf.DUMMYFUNCTION("""COMPUTED_VALUE"""),-0.27884515716690356)</f>
        <v>-0.2788451572</v>
      </c>
      <c r="G220" s="23">
        <f>IFERROR(__xludf.DUMMYFUNCTION("""COMPUTED_VALUE"""),0.014575438398117127)</f>
        <v>0.0145754384</v>
      </c>
      <c r="H220" s="4"/>
      <c r="I220" s="5" t="s">
        <v>3426</v>
      </c>
      <c r="J220" s="5" t="s">
        <v>3205</v>
      </c>
      <c r="K220" s="5">
        <v>555.0</v>
      </c>
      <c r="L220" s="5">
        <v>0.185051</v>
      </c>
      <c r="M220" s="5">
        <v>-1.643163</v>
      </c>
      <c r="N220" s="5">
        <v>-1.458112</v>
      </c>
      <c r="O220" s="5">
        <v>0.091154</v>
      </c>
    </row>
    <row r="221">
      <c r="A221" s="12" t="str">
        <f>IFERROR(__xludf.DUMMYFUNCTION("""COMPUTED_VALUE"""),"Antonio Gallo")</f>
        <v>Antonio Gallo</v>
      </c>
      <c r="B221" s="13" t="str">
        <f>IFERROR(__xludf.DUMMYFUNCTION("""COMPUTED_VALUE"""),"COUR")</f>
        <v>COUR</v>
      </c>
      <c r="C221" s="14">
        <f>IFERROR(__xludf.DUMMYFUNCTION("""COMPUTED_VALUE"""),34.0)</f>
        <v>34</v>
      </c>
      <c r="D221" s="15">
        <f>IFERROR(__xludf.DUMMYFUNCTION("""COMPUTED_VALUE"""),0.12441107758975495)</f>
        <v>0.1244110776</v>
      </c>
      <c r="E221" s="15">
        <f>IFERROR(__xludf.DUMMYFUNCTION("""COMPUTED_VALUE"""),-0.4056974339092469)</f>
        <v>-0.4056974339</v>
      </c>
      <c r="F221" s="15">
        <f>IFERROR(__xludf.DUMMYFUNCTION("""COMPUTED_VALUE"""),-0.28131505631949194)</f>
        <v>-0.2813150563</v>
      </c>
      <c r="G221" s="17">
        <f>IFERROR(__xludf.DUMMYFUNCTION("""COMPUTED_VALUE"""),0.02069417184101001)</f>
        <v>0.02069417184</v>
      </c>
      <c r="H221" s="4"/>
      <c r="I221" s="5" t="s">
        <v>3427</v>
      </c>
      <c r="J221" s="5" t="s">
        <v>2201</v>
      </c>
      <c r="K221" s="5">
        <v>185.0</v>
      </c>
      <c r="L221" s="5">
        <v>-2.143103</v>
      </c>
      <c r="M221" s="5">
        <v>0.673756</v>
      </c>
      <c r="N221" s="5">
        <v>-1.469347</v>
      </c>
      <c r="O221" s="5">
        <v>0.030047</v>
      </c>
    </row>
    <row r="222">
      <c r="A222" s="18" t="str">
        <f>IFERROR(__xludf.DUMMYFUNCTION("""COMPUTED_VALUE"""),"Tommaso Rossi")</f>
        <v>Tommaso Rossi</v>
      </c>
      <c r="B222" s="19" t="str">
        <f>IFERROR(__xludf.DUMMYFUNCTION("""COMPUTED_VALUE"""),"IMOL")</f>
        <v>IMOL</v>
      </c>
      <c r="C222" s="20">
        <f>IFERROR(__xludf.DUMMYFUNCTION("""COMPUTED_VALUE"""),40.0)</f>
        <v>40</v>
      </c>
      <c r="D222" s="21">
        <f>IFERROR(__xludf.DUMMYFUNCTION("""COMPUTED_VALUE"""),-0.38827040746393)</f>
        <v>-0.3882704075</v>
      </c>
      <c r="E222" s="21">
        <f>IFERROR(__xludf.DUMMYFUNCTION("""COMPUTED_VALUE"""),0.10532698926407022)</f>
        <v>0.1053269893</v>
      </c>
      <c r="F222" s="21">
        <f>IFERROR(__xludf.DUMMYFUNCTION("""COMPUTED_VALUE"""),-0.28295401819985977)</f>
        <v>-0.2829540182</v>
      </c>
      <c r="G222" s="23">
        <f>IFERROR(__xludf.DUMMYFUNCTION("""COMPUTED_VALUE"""),0.02095018514390415)</f>
        <v>0.02095018514</v>
      </c>
      <c r="H222" s="4"/>
      <c r="I222" s="5" t="s">
        <v>3428</v>
      </c>
      <c r="J222" s="5" t="s">
        <v>644</v>
      </c>
      <c r="K222" s="5">
        <v>670.0</v>
      </c>
      <c r="L222" s="5">
        <v>-0.946641</v>
      </c>
      <c r="M222" s="5">
        <v>-0.529658</v>
      </c>
      <c r="N222" s="5">
        <v>-1.476299</v>
      </c>
      <c r="O222" s="5">
        <v>0.106569</v>
      </c>
    </row>
    <row r="223">
      <c r="A223" s="12" t="str">
        <f>IFERROR(__xludf.DUMMYFUNCTION("""COMPUTED_VALUE"""),"Ludovico Deangeli")</f>
        <v>Ludovico Deangeli</v>
      </c>
      <c r="B223" s="13" t="str">
        <f>IFERROR(__xludf.DUMMYFUNCTION("""COMPUTED_VALUE"""),"TRIE")</f>
        <v>TRIE</v>
      </c>
      <c r="C223" s="14">
        <f>IFERROR(__xludf.DUMMYFUNCTION("""COMPUTED_VALUE"""),8.0)</f>
        <v>8</v>
      </c>
      <c r="D223" s="15">
        <f>IFERROR(__xludf.DUMMYFUNCTION("""COMPUTED_VALUE"""),-0.2379745916487953)</f>
        <v>-0.2379745916</v>
      </c>
      <c r="E223" s="15">
        <f>IFERROR(__xludf.DUMMYFUNCTION("""COMPUTED_VALUE"""),-0.04532142301392273)</f>
        <v>-0.04532142301</v>
      </c>
      <c r="F223" s="15">
        <f>IFERROR(__xludf.DUMMYFUNCTION("""COMPUTED_VALUE"""),-0.28332901466271804)</f>
        <v>-0.2833290147</v>
      </c>
      <c r="G223" s="17">
        <f>IFERROR(__xludf.DUMMYFUNCTION("""COMPUTED_VALUE"""),0.00426812886766697)</f>
        <v>0.004268128868</v>
      </c>
      <c r="H223" s="4"/>
      <c r="I223" s="5" t="s">
        <v>3429</v>
      </c>
      <c r="J223" s="5" t="s">
        <v>3331</v>
      </c>
      <c r="K223" s="5">
        <v>437.0</v>
      </c>
      <c r="L223" s="5">
        <v>-0.929777</v>
      </c>
      <c r="M223" s="5">
        <v>-0.558018</v>
      </c>
      <c r="N223" s="5">
        <v>-1.487795</v>
      </c>
      <c r="O223" s="5">
        <v>0.067921</v>
      </c>
    </row>
    <row r="224">
      <c r="A224" s="18" t="str">
        <f>IFERROR(__xludf.DUMMYFUNCTION("""COMPUTED_VALUE"""),"Demian Filloy")</f>
        <v>Demian Filloy</v>
      </c>
      <c r="B224" s="19" t="str">
        <f>IFERROR(__xludf.DUMMYFUNCTION("""COMPUTED_VALUE"""),"ROM")</f>
        <v>ROM</v>
      </c>
      <c r="C224" s="20">
        <f>IFERROR(__xludf.DUMMYFUNCTION("""COMPUTED_VALUE"""),81.0)</f>
        <v>81</v>
      </c>
      <c r="D224" s="21">
        <f>IFERROR(__xludf.DUMMYFUNCTION("""COMPUTED_VALUE"""),-0.4204194370610148)</f>
        <v>-0.4204194371</v>
      </c>
      <c r="E224" s="21">
        <f>IFERROR(__xludf.DUMMYFUNCTION("""COMPUTED_VALUE"""),0.13399575653611553)</f>
        <v>0.1339957565</v>
      </c>
      <c r="F224" s="21">
        <f>IFERROR(__xludf.DUMMYFUNCTION("""COMPUTED_VALUE"""),-0.28645338052489927)</f>
        <v>-0.2864533805</v>
      </c>
      <c r="G224" s="23">
        <f>IFERROR(__xludf.DUMMYFUNCTION("""COMPUTED_VALUE"""),0.04170620833410897)</f>
        <v>0.04170620833</v>
      </c>
      <c r="H224" s="4"/>
      <c r="I224" s="5" t="s">
        <v>942</v>
      </c>
      <c r="J224" s="5" t="s">
        <v>3237</v>
      </c>
      <c r="K224" s="5">
        <v>692.0</v>
      </c>
      <c r="L224" s="5">
        <v>0.18515</v>
      </c>
      <c r="M224" s="5">
        <v>-1.711086</v>
      </c>
      <c r="N224" s="5">
        <v>-1.525936</v>
      </c>
      <c r="O224" s="5">
        <v>0.110743</v>
      </c>
    </row>
    <row r="225">
      <c r="A225" s="12" t="str">
        <f>IFERROR(__xludf.DUMMYFUNCTION("""COMPUTED_VALUE"""),"Yankiel Moreno")</f>
        <v>Yankiel Moreno</v>
      </c>
      <c r="B225" s="13" t="str">
        <f>IFERROR(__xludf.DUMMYFUNCTION("""COMPUTED_VALUE"""),"FER")</f>
        <v>FER</v>
      </c>
      <c r="C225" s="14">
        <f>IFERROR(__xludf.DUMMYFUNCTION("""COMPUTED_VALUE"""),1166.0)</f>
        <v>1166</v>
      </c>
      <c r="D225" s="15">
        <f>IFERROR(__xludf.DUMMYFUNCTION("""COMPUTED_VALUE"""),-1.2245148976529836)</f>
        <v>-1.224514898</v>
      </c>
      <c r="E225" s="15">
        <f>IFERROR(__xludf.DUMMYFUNCTION("""COMPUTED_VALUE"""),0.9326390681308324)</f>
        <v>0.9326390681</v>
      </c>
      <c r="F225" s="15">
        <f>IFERROR(__xludf.DUMMYFUNCTION("""COMPUTED_VALUE"""),-0.2918941295221512)</f>
        <v>-0.2918941295</v>
      </c>
      <c r="G225" s="17">
        <f>IFERROR(__xludf.DUMMYFUNCTION("""COMPUTED_VALUE"""),0.6160645059278658)</f>
        <v>0.6160645059</v>
      </c>
      <c r="H225" s="4"/>
      <c r="I225" s="5" t="s">
        <v>3430</v>
      </c>
      <c r="J225" s="5" t="s">
        <v>3283</v>
      </c>
      <c r="K225" s="5">
        <v>181.0</v>
      </c>
      <c r="L225" s="5">
        <v>-0.180683</v>
      </c>
      <c r="M225" s="5">
        <v>-1.368194</v>
      </c>
      <c r="N225" s="5">
        <v>-1.548877</v>
      </c>
      <c r="O225" s="5">
        <v>0.024862</v>
      </c>
    </row>
    <row r="226">
      <c r="A226" s="18" t="str">
        <f>IFERROR(__xludf.DUMMYFUNCTION("""COMPUTED_VALUE"""),"Matteo Schina")</f>
        <v>Matteo Schina</v>
      </c>
      <c r="B226" s="19" t="str">
        <f>IFERROR(__xludf.DUMMYFUNCTION("""COMPUTED_VALUE"""),"TRIE")</f>
        <v>TRIE</v>
      </c>
      <c r="C226" s="20">
        <f>IFERROR(__xludf.DUMMYFUNCTION("""COMPUTED_VALUE"""),51.0)</f>
        <v>51</v>
      </c>
      <c r="D226" s="21">
        <f>IFERROR(__xludf.DUMMYFUNCTION("""COMPUTED_VALUE"""),-0.3062229462971779)</f>
        <v>-0.3062229463</v>
      </c>
      <c r="E226" s="21">
        <f>IFERROR(__xludf.DUMMYFUNCTION("""COMPUTED_VALUE"""),0.013506876048030447)</f>
        <v>0.01350687605</v>
      </c>
      <c r="F226" s="21">
        <f>IFERROR(__xludf.DUMMYFUNCTION("""COMPUTED_VALUE"""),-0.29272457024914744)</f>
        <v>-0.2927245702</v>
      </c>
      <c r="G226" s="23">
        <f>IFERROR(__xludf.DUMMYFUNCTION("""COMPUTED_VALUE"""),0.026859677911136203)</f>
        <v>0.02685967791</v>
      </c>
      <c r="H226" s="4"/>
      <c r="I226" s="5" t="s">
        <v>3431</v>
      </c>
      <c r="J226" s="5" t="s">
        <v>3226</v>
      </c>
      <c r="K226" s="5">
        <v>416.0</v>
      </c>
      <c r="L226" s="5">
        <v>-0.941768</v>
      </c>
      <c r="M226" s="5">
        <v>-0.635026</v>
      </c>
      <c r="N226" s="5">
        <v>-1.576794</v>
      </c>
      <c r="O226" s="5">
        <v>0.053669</v>
      </c>
    </row>
    <row r="227">
      <c r="A227" s="12" t="str">
        <f>IFERROR(__xludf.DUMMYFUNCTION("""COMPUTED_VALUE"""),"Valerio Amoroso")</f>
        <v>Valerio Amoroso</v>
      </c>
      <c r="B227" s="13" t="str">
        <f>IFERROR(__xludf.DUMMYFUNCTION("""COMPUTED_VALUE"""),"POD")</f>
        <v>POD</v>
      </c>
      <c r="C227" s="14">
        <f>IFERROR(__xludf.DUMMYFUNCTION("""COMPUTED_VALUE"""),1229.0)</f>
        <v>1229</v>
      </c>
      <c r="D227" s="15">
        <f>IFERROR(__xludf.DUMMYFUNCTION("""COMPUTED_VALUE"""),-0.4531229833824944)</f>
        <v>-0.4531229834</v>
      </c>
      <c r="E227" s="15">
        <f>IFERROR(__xludf.DUMMYFUNCTION("""COMPUTED_VALUE"""),0.14559428036548103)</f>
        <v>0.1455942804</v>
      </c>
      <c r="F227" s="15">
        <f>IFERROR(__xludf.DUMMYFUNCTION("""COMPUTED_VALUE"""),-0.3075725030170134)</f>
        <v>-0.307572503</v>
      </c>
      <c r="G227" s="17">
        <f>IFERROR(__xludf.DUMMYFUNCTION("""COMPUTED_VALUE"""),0.6379652941171204)</f>
        <v>0.6379652941</v>
      </c>
      <c r="H227" s="4"/>
      <c r="I227" s="5" t="s">
        <v>3432</v>
      </c>
      <c r="J227" s="5" t="s">
        <v>2201</v>
      </c>
      <c r="K227" s="24">
        <v>221.0</v>
      </c>
      <c r="L227" s="5">
        <v>-3.002004</v>
      </c>
      <c r="M227" s="5">
        <v>1.420141</v>
      </c>
      <c r="N227" s="5">
        <v>-1.581863</v>
      </c>
      <c r="O227" s="5">
        <v>0.028184</v>
      </c>
    </row>
    <row r="228">
      <c r="A228" s="18" t="str">
        <f>IFERROR(__xludf.DUMMYFUNCTION("""COMPUTED_VALUE"""),"Umberto Livelli")</f>
        <v>Umberto Livelli</v>
      </c>
      <c r="B228" s="19" t="str">
        <f>IFERROR(__xludf.DUMMYFUNCTION("""COMPUTED_VALUE"""),"CAS")</f>
        <v>CAS</v>
      </c>
      <c r="C228" s="20">
        <f>IFERROR(__xludf.DUMMYFUNCTION("""COMPUTED_VALUE"""),2.0)</f>
        <v>2</v>
      </c>
      <c r="D228" s="21">
        <f>IFERROR(__xludf.DUMMYFUNCTION("""COMPUTED_VALUE"""),-0.1986695299561395)</f>
        <v>-0.19866953</v>
      </c>
      <c r="E228" s="21">
        <f>IFERROR(__xludf.DUMMYFUNCTION("""COMPUTED_VALUE"""),-0.10957030027972592)</f>
        <v>-0.1095703003</v>
      </c>
      <c r="F228" s="21">
        <f>IFERROR(__xludf.DUMMYFUNCTION("""COMPUTED_VALUE"""),-0.30826313023586543)</f>
        <v>-0.3082631302</v>
      </c>
      <c r="G228" s="23">
        <f>IFERROR(__xludf.DUMMYFUNCTION("""COMPUTED_VALUE"""),0.001097286667540869)</f>
        <v>0.001097286668</v>
      </c>
      <c r="H228" s="4"/>
      <c r="I228" s="5" t="s">
        <v>949</v>
      </c>
      <c r="J228" s="5" t="s">
        <v>3217</v>
      </c>
      <c r="K228" s="5">
        <v>173.0</v>
      </c>
      <c r="L228" s="5">
        <v>-2.031342</v>
      </c>
      <c r="M228" s="5">
        <v>0.427901</v>
      </c>
      <c r="N228" s="5">
        <v>-1.603441</v>
      </c>
      <c r="O228" s="5">
        <v>0.020636</v>
      </c>
    </row>
    <row r="229">
      <c r="A229" s="12" t="str">
        <f>IFERROR(__xludf.DUMMYFUNCTION("""COMPUTED_VALUE"""),"Simone Barbante")</f>
        <v>Simone Barbante</v>
      </c>
      <c r="B229" s="13" t="str">
        <f>IFERROR(__xludf.DUMMYFUNCTION("""COMPUTED_VALUE"""),"TREV")</f>
        <v>TREV</v>
      </c>
      <c r="C229" s="14">
        <f>IFERROR(__xludf.DUMMYFUNCTION("""COMPUTED_VALUE"""),39.0)</f>
        <v>39</v>
      </c>
      <c r="D229" s="15">
        <f>IFERROR(__xludf.DUMMYFUNCTION("""COMPUTED_VALUE"""),-0.17442855270887206)</f>
        <v>-0.1744285527</v>
      </c>
      <c r="E229" s="15">
        <f>IFERROR(__xludf.DUMMYFUNCTION("""COMPUTED_VALUE"""),-0.13784412086443945)</f>
        <v>-0.1378441209</v>
      </c>
      <c r="F229" s="15">
        <f>IFERROR(__xludf.DUMMYFUNCTION("""COMPUTED_VALUE"""),-0.3123151735733115)</f>
        <v>-0.3123151736</v>
      </c>
      <c r="G229" s="17">
        <f>IFERROR(__xludf.DUMMYFUNCTION("""COMPUTED_VALUE"""),0.040220199262446785)</f>
        <v>0.04022019926</v>
      </c>
      <c r="H229" s="4"/>
      <c r="I229" s="5" t="s">
        <v>3433</v>
      </c>
      <c r="J229" s="5" t="s">
        <v>3283</v>
      </c>
      <c r="K229" s="24">
        <v>381.0</v>
      </c>
      <c r="L229" s="5">
        <v>0.651514</v>
      </c>
      <c r="M229" s="5">
        <v>-2.266925</v>
      </c>
      <c r="N229" s="5">
        <v>-1.615411</v>
      </c>
      <c r="O229" s="5">
        <v>0.044529</v>
      </c>
    </row>
    <row r="230">
      <c r="A230" s="18" t="str">
        <f>IFERROR(__xludf.DUMMYFUNCTION("""COMPUTED_VALUE"""),"Antonio Valentini")</f>
        <v>Antonio Valentini</v>
      </c>
      <c r="B230" s="19" t="str">
        <f>IFERROR(__xludf.DUMMYFUNCTION("""COMPUTED_VALUE"""),"JES")</f>
        <v>JES</v>
      </c>
      <c r="C230" s="20">
        <f>IFERROR(__xludf.DUMMYFUNCTION("""COMPUTED_VALUE"""),20.0)</f>
        <v>20</v>
      </c>
      <c r="D230" s="21">
        <f>IFERROR(__xludf.DUMMYFUNCTION("""COMPUTED_VALUE"""),-0.46495396182904347)</f>
        <v>-0.4649539618</v>
      </c>
      <c r="E230" s="21">
        <f>IFERROR(__xludf.DUMMYFUNCTION("""COMPUTED_VALUE"""),0.15251354899877187)</f>
        <v>0.152513549</v>
      </c>
      <c r="F230" s="21">
        <f>IFERROR(__xludf.DUMMYFUNCTION("""COMPUTED_VALUE"""),-0.3124433128302716)</f>
        <v>-0.3124433128</v>
      </c>
      <c r="G230" s="23">
        <f>IFERROR(__xludf.DUMMYFUNCTION("""COMPUTED_VALUE"""),0.01079144117216549)</f>
        <v>0.01079144117</v>
      </c>
      <c r="H230" s="4"/>
      <c r="I230" s="5" t="s">
        <v>3434</v>
      </c>
      <c r="J230" s="5" t="s">
        <v>3215</v>
      </c>
      <c r="K230" s="24">
        <v>46.0</v>
      </c>
      <c r="L230" s="5">
        <v>-1.436566</v>
      </c>
      <c r="M230" s="5">
        <v>-0.185182</v>
      </c>
      <c r="N230" s="5">
        <v>-1.621747</v>
      </c>
      <c r="O230" s="5">
        <v>0.005283</v>
      </c>
    </row>
    <row r="231">
      <c r="A231" s="12" t="str">
        <f>IFERROR(__xludf.DUMMYFUNCTION("""COMPUTED_VALUE"""),"Stefan Milic")</f>
        <v>Stefan Milic</v>
      </c>
      <c r="B231" s="13" t="str">
        <f>IFERROR(__xludf.DUMMYFUNCTION("""COMPUTED_VALUE"""),"TRIE")</f>
        <v>TRIE</v>
      </c>
      <c r="C231" s="14">
        <f>IFERROR(__xludf.DUMMYFUNCTION("""COMPUTED_VALUE"""),3.0)</f>
        <v>3</v>
      </c>
      <c r="D231" s="15">
        <f>IFERROR(__xludf.DUMMYFUNCTION("""COMPUTED_VALUE"""),-0.3318943243512889)</f>
        <v>-0.3318943244</v>
      </c>
      <c r="E231" s="15">
        <f>IFERROR(__xludf.DUMMYFUNCTION("""COMPUTED_VALUE"""),0.017655511784814285)</f>
        <v>0.01765551178</v>
      </c>
      <c r="F231" s="15">
        <f>IFERROR(__xludf.DUMMYFUNCTION("""COMPUTED_VALUE"""),-0.3142580125664746)</f>
        <v>-0.3142580126</v>
      </c>
      <c r="G231" s="17">
        <f>IFERROR(__xludf.DUMMYFUNCTION("""COMPUTED_VALUE"""),0.0015787594501067098)</f>
        <v>0.00157875945</v>
      </c>
      <c r="H231" s="4"/>
      <c r="I231" s="5" t="s">
        <v>3435</v>
      </c>
      <c r="J231" s="5" t="s">
        <v>3229</v>
      </c>
      <c r="K231" s="5">
        <v>63.0</v>
      </c>
      <c r="L231" s="5">
        <v>-0.136159</v>
      </c>
      <c r="M231" s="5">
        <v>-1.506286</v>
      </c>
      <c r="N231" s="5">
        <v>-1.642445</v>
      </c>
      <c r="O231" s="5">
        <v>0.007152</v>
      </c>
    </row>
    <row r="232">
      <c r="A232" s="18" t="str">
        <f>IFERROR(__xludf.DUMMYFUNCTION("""COMPUTED_VALUE"""),"Paolo Tosi")</f>
        <v>Paolo Tosi</v>
      </c>
      <c r="B232" s="19" t="str">
        <f>IFERROR(__xludf.DUMMYFUNCTION("""COMPUTED_VALUE"""),"LEGN")</f>
        <v>LEGN</v>
      </c>
      <c r="C232" s="20">
        <f>IFERROR(__xludf.DUMMYFUNCTION("""COMPUTED_VALUE"""),8.0)</f>
        <v>8</v>
      </c>
      <c r="D232" s="21">
        <f>IFERROR(__xludf.DUMMYFUNCTION("""COMPUTED_VALUE"""),-0.3551343034543243)</f>
        <v>-0.3551343035</v>
      </c>
      <c r="E232" s="21">
        <f>IFERROR(__xludf.DUMMYFUNCTION("""COMPUTED_VALUE"""),0.029101477505511942)</f>
        <v>0.02910147751</v>
      </c>
      <c r="F232" s="21">
        <f>IFERROR(__xludf.DUMMYFUNCTION("""COMPUTED_VALUE"""),-0.32603702594881234)</f>
        <v>-0.3260370259</v>
      </c>
      <c r="G232" s="23">
        <f>IFERROR(__xludf.DUMMYFUNCTION("""COMPUTED_VALUE"""),0.0040716295918040825)</f>
        <v>0.004071629592</v>
      </c>
      <c r="H232" s="4"/>
      <c r="I232" s="5" t="s">
        <v>3436</v>
      </c>
      <c r="J232" s="5" t="s">
        <v>3237</v>
      </c>
      <c r="K232" s="5">
        <v>260.0</v>
      </c>
      <c r="L232" s="5">
        <v>0.831814</v>
      </c>
      <c r="M232" s="5">
        <v>-2.486188</v>
      </c>
      <c r="N232" s="5">
        <v>-1.654373</v>
      </c>
      <c r="O232" s="5">
        <v>0.03033</v>
      </c>
    </row>
    <row r="233">
      <c r="A233" s="12" t="str">
        <f>IFERROR(__xludf.DUMMYFUNCTION("""COMPUTED_VALUE"""),"Matteo Babich")</f>
        <v>Matteo Babich</v>
      </c>
      <c r="B233" s="13" t="str">
        <f>IFERROR(__xludf.DUMMYFUNCTION("""COMPUTED_VALUE"""),"TRIE")</f>
        <v>TRIE</v>
      </c>
      <c r="C233" s="14">
        <f>IFERROR(__xludf.DUMMYFUNCTION("""COMPUTED_VALUE"""),7.0)</f>
        <v>7</v>
      </c>
      <c r="D233" s="15">
        <f>IFERROR(__xludf.DUMMYFUNCTION("""COMPUTED_VALUE"""),-0.3110882848760426)</f>
        <v>-0.3110882849</v>
      </c>
      <c r="E233" s="15">
        <f>IFERROR(__xludf.DUMMYFUNCTION("""COMPUTED_VALUE"""),-0.016862470680643296)</f>
        <v>-0.01686247068</v>
      </c>
      <c r="F233" s="15">
        <f>IFERROR(__xludf.DUMMYFUNCTION("""COMPUTED_VALUE"""),-0.3279937555566859)</f>
        <v>-0.3279937556</v>
      </c>
      <c r="G233" s="17">
        <f>IFERROR(__xludf.DUMMYFUNCTION("""COMPUTED_VALUE"""),0.003652321021085932)</f>
        <v>0.003652321021</v>
      </c>
      <c r="H233" s="4"/>
      <c r="I233" s="5" t="s">
        <v>3437</v>
      </c>
      <c r="J233" s="5" t="s">
        <v>3207</v>
      </c>
      <c r="K233" s="24">
        <v>86.0</v>
      </c>
      <c r="L233" s="5">
        <v>-0.88667</v>
      </c>
      <c r="M233" s="5">
        <v>-0.805056</v>
      </c>
      <c r="N233" s="5">
        <v>-1.691726</v>
      </c>
      <c r="O233" s="5">
        <v>0.007924</v>
      </c>
    </row>
    <row r="234">
      <c r="A234" s="18" t="str">
        <f>IFERROR(__xludf.DUMMYFUNCTION("""COMPUTED_VALUE"""),"Marco Murabito")</f>
        <v>Marco Murabito</v>
      </c>
      <c r="B234" s="19" t="str">
        <f>IFERROR(__xludf.DUMMYFUNCTION("""COMPUTED_VALUE"""),"BOL")</f>
        <v>BOL</v>
      </c>
      <c r="C234" s="20">
        <f>IFERROR(__xludf.DUMMYFUNCTION("""COMPUTED_VALUE"""),3.0)</f>
        <v>3</v>
      </c>
      <c r="D234" s="21">
        <f>IFERROR(__xludf.DUMMYFUNCTION("""COMPUTED_VALUE"""),-0.2529690804155564)</f>
        <v>-0.2529690804</v>
      </c>
      <c r="E234" s="21">
        <f>IFERROR(__xludf.DUMMYFUNCTION("""COMPUTED_VALUE"""),-0.08870682803569126)</f>
        <v>-0.08870682804</v>
      </c>
      <c r="F234" s="21">
        <f>IFERROR(__xludf.DUMMYFUNCTION("""COMPUTED_VALUE"""),-0.34169390845124764)</f>
        <v>-0.3416939085</v>
      </c>
      <c r="G234" s="23">
        <f>IFERROR(__xludf.DUMMYFUNCTION("""COMPUTED_VALUE"""),0.0015386191007098144)</f>
        <v>0.001538619101</v>
      </c>
      <c r="H234" s="4"/>
      <c r="I234" s="5" t="s">
        <v>3438</v>
      </c>
      <c r="J234" s="5" t="s">
        <v>3278</v>
      </c>
      <c r="K234" s="5">
        <v>322.0</v>
      </c>
      <c r="L234" s="5">
        <v>-1.33954</v>
      </c>
      <c r="M234" s="5">
        <v>-0.361065</v>
      </c>
      <c r="N234" s="5">
        <v>-1.700604</v>
      </c>
      <c r="O234" s="5">
        <v>0.029141</v>
      </c>
    </row>
    <row r="235">
      <c r="A235" s="12" t="str">
        <f>IFERROR(__xludf.DUMMYFUNCTION("""COMPUTED_VALUE"""),"Massimiliano Cai")</f>
        <v>Massimiliano Cai</v>
      </c>
      <c r="B235" s="13" t="str">
        <f>IFERROR(__xludf.DUMMYFUNCTION("""COMPUTED_VALUE"""),"IMOL")</f>
        <v>IMOL</v>
      </c>
      <c r="C235" s="14">
        <f>IFERROR(__xludf.DUMMYFUNCTION("""COMPUTED_VALUE"""),10.0)</f>
        <v>10</v>
      </c>
      <c r="D235" s="15">
        <f>IFERROR(__xludf.DUMMYFUNCTION("""COMPUTED_VALUE"""),-0.33617925444241337)</f>
        <v>-0.3361792544</v>
      </c>
      <c r="E235" s="15">
        <f>IFERROR(__xludf.DUMMYFUNCTION("""COMPUTED_VALUE"""),-0.008198362324015449)</f>
        <v>-0.008198362324</v>
      </c>
      <c r="F235" s="15">
        <f>IFERROR(__xludf.DUMMYFUNCTION("""COMPUTED_VALUE"""),-0.3444165167664288)</f>
        <v>-0.3444165168</v>
      </c>
      <c r="G235" s="17">
        <f>IFERROR(__xludf.DUMMYFUNCTION("""COMPUTED_VALUE"""),0.005086410619614546)</f>
        <v>0.00508641062</v>
      </c>
      <c r="H235" s="4"/>
      <c r="I235" s="5" t="s">
        <v>3439</v>
      </c>
      <c r="J235" s="5" t="s">
        <v>2201</v>
      </c>
      <c r="K235" s="5">
        <v>437.0</v>
      </c>
      <c r="L235" s="5">
        <v>-4.366636</v>
      </c>
      <c r="M235" s="5">
        <v>2.600493</v>
      </c>
      <c r="N235" s="5">
        <v>-1.766143</v>
      </c>
      <c r="O235" s="5">
        <v>0.031204</v>
      </c>
    </row>
    <row r="236">
      <c r="A236" s="18" t="str">
        <f>IFERROR(__xludf.DUMMYFUNCTION("""COMPUTED_VALUE"""),"Alessandro Cecchetti")</f>
        <v>Alessandro Cecchetti</v>
      </c>
      <c r="B236" s="19" t="str">
        <f>IFERROR(__xludf.DUMMYFUNCTION("""COMPUTED_VALUE"""),"LEON")</f>
        <v>LEON</v>
      </c>
      <c r="C236" s="20">
        <f>IFERROR(__xludf.DUMMYFUNCTION("""COMPUTED_VALUE"""),9.0)</f>
        <v>9</v>
      </c>
      <c r="D236" s="21">
        <f>IFERROR(__xludf.DUMMYFUNCTION("""COMPUTED_VALUE"""),-0.24056511905953082)</f>
        <v>-0.2405651191</v>
      </c>
      <c r="E236" s="21">
        <f>IFERROR(__xludf.DUMMYFUNCTION("""COMPUTED_VALUE"""),-0.1084517101515397)</f>
        <v>-0.1084517102</v>
      </c>
      <c r="F236" s="21">
        <f>IFERROR(__xludf.DUMMYFUNCTION("""COMPUTED_VALUE"""),-0.3490533292110705)</f>
        <v>-0.3490533292</v>
      </c>
      <c r="G236" s="23">
        <f>IFERROR(__xludf.DUMMYFUNCTION("""COMPUTED_VALUE"""),0.005261957960215638)</f>
        <v>0.00526195796</v>
      </c>
      <c r="H236" s="4"/>
      <c r="I236" s="5" t="s">
        <v>3440</v>
      </c>
      <c r="J236" s="5" t="s">
        <v>3223</v>
      </c>
      <c r="K236" s="5">
        <v>592.0</v>
      </c>
      <c r="L236" s="5">
        <v>-1.651993</v>
      </c>
      <c r="M236" s="5">
        <v>-0.152759</v>
      </c>
      <c r="N236" s="5">
        <v>-1.804752</v>
      </c>
      <c r="O236" s="5">
        <v>0.035141</v>
      </c>
    </row>
    <row r="237">
      <c r="A237" s="12" t="str">
        <f>IFERROR(__xludf.DUMMYFUNCTION("""COMPUTED_VALUE"""),"Babacar Kouyate")</f>
        <v>Babacar Kouyate</v>
      </c>
      <c r="B237" s="13" t="str">
        <f>IFERROR(__xludf.DUMMYFUNCTION("""COMPUTED_VALUE"""),"JES")</f>
        <v>JES</v>
      </c>
      <c r="C237" s="14">
        <f>IFERROR(__xludf.DUMMYFUNCTION("""COMPUTED_VALUE"""),5.0)</f>
        <v>5</v>
      </c>
      <c r="D237" s="15">
        <f>IFERROR(__xludf.DUMMYFUNCTION("""COMPUTED_VALUE"""),-0.26046288199058154)</f>
        <v>-0.260462882</v>
      </c>
      <c r="E237" s="15">
        <f>IFERROR(__xludf.DUMMYFUNCTION("""COMPUTED_VALUE"""),-0.09909408796748817)</f>
        <v>-0.09909408797</v>
      </c>
      <c r="F237" s="15">
        <f>IFERROR(__xludf.DUMMYFUNCTION("""COMPUTED_VALUE"""),-0.3595811699580697)</f>
        <v>-0.35958117</v>
      </c>
      <c r="G237" s="17">
        <f>IFERROR(__xludf.DUMMYFUNCTION("""COMPUTED_VALUE"""),0.002645997273842175)</f>
        <v>0.002645997274</v>
      </c>
      <c r="H237" s="4"/>
      <c r="I237" s="5" t="s">
        <v>3441</v>
      </c>
      <c r="J237" s="5" t="s">
        <v>3251</v>
      </c>
      <c r="K237" s="5">
        <v>330.0</v>
      </c>
      <c r="L237" s="5">
        <v>-0.562051</v>
      </c>
      <c r="M237" s="5">
        <v>-1.260419</v>
      </c>
      <c r="N237" s="5">
        <v>-1.82247</v>
      </c>
      <c r="O237" s="5">
        <v>0.017776</v>
      </c>
    </row>
    <row r="238">
      <c r="A238" s="18" t="str">
        <f>IFERROR(__xludf.DUMMYFUNCTION("""COMPUTED_VALUE"""),"Marco Allegretti")</f>
        <v>Marco Allegretti</v>
      </c>
      <c r="B238" s="19" t="str">
        <f>IFERROR(__xludf.DUMMYFUNCTION("""COMPUTED_VALUE"""),"CAGL")</f>
        <v>CAGL</v>
      </c>
      <c r="C238" s="20">
        <f>IFERROR(__xludf.DUMMYFUNCTION("""COMPUTED_VALUE"""),729.0)</f>
        <v>729</v>
      </c>
      <c r="D238" s="21">
        <f>IFERROR(__xludf.DUMMYFUNCTION("""COMPUTED_VALUE"""),1.2369250699382395)</f>
        <v>1.23692507</v>
      </c>
      <c r="E238" s="21">
        <f>IFERROR(__xludf.DUMMYFUNCTION("""COMPUTED_VALUE"""),-1.6084603018026769)</f>
        <v>-1.608460302</v>
      </c>
      <c r="F238" s="21">
        <f>IFERROR(__xludf.DUMMYFUNCTION("""COMPUTED_VALUE"""),-0.37158013186443734)</f>
        <v>-0.3715801319</v>
      </c>
      <c r="G238" s="23">
        <f>IFERROR(__xludf.DUMMYFUNCTION("""COMPUTED_VALUE"""),0.3604693764307737)</f>
        <v>0.3604693764</v>
      </c>
      <c r="H238" s="4"/>
      <c r="I238" s="5" t="s">
        <v>3442</v>
      </c>
      <c r="J238" s="5" t="s">
        <v>644</v>
      </c>
      <c r="K238" s="5">
        <v>59.0</v>
      </c>
      <c r="L238" s="5">
        <v>-1.276908</v>
      </c>
      <c r="M238" s="5">
        <v>-0.549891</v>
      </c>
      <c r="N238" s="5">
        <v>-1.826799</v>
      </c>
      <c r="O238" s="5">
        <v>0.003123</v>
      </c>
    </row>
    <row r="239">
      <c r="A239" s="12" t="str">
        <f>IFERROR(__xludf.DUMMYFUNCTION("""COMPUTED_VALUE"""),"Davide Gugielmi")</f>
        <v>Davide Gugielmi</v>
      </c>
      <c r="B239" s="13" t="str">
        <f>IFERROR(__xludf.DUMMYFUNCTION("""COMPUTED_VALUE"""),"STV")</f>
        <v>STV</v>
      </c>
      <c r="C239" s="14">
        <f>IFERROR(__xludf.DUMMYFUNCTION("""COMPUTED_VALUE"""),5.0)</f>
        <v>5</v>
      </c>
      <c r="D239" s="15">
        <f>IFERROR(__xludf.DUMMYFUNCTION("""COMPUTED_VALUE"""),-0.2605320874332056)</f>
        <v>-0.2605320874</v>
      </c>
      <c r="E239" s="15">
        <f>IFERROR(__xludf.DUMMYFUNCTION("""COMPUTED_VALUE"""),-0.11623333442884741)</f>
        <v>-0.1162333344</v>
      </c>
      <c r="F239" s="15">
        <f>IFERROR(__xludf.DUMMYFUNCTION("""COMPUTED_VALUE"""),-0.376792121862053)</f>
        <v>-0.3767921219</v>
      </c>
      <c r="G239" s="17">
        <f>IFERROR(__xludf.DUMMYFUNCTION("""COMPUTED_VALUE"""),0.0027164652110344602)</f>
        <v>0.002716465211</v>
      </c>
      <c r="H239" s="4"/>
      <c r="I239" s="5" t="s">
        <v>3443</v>
      </c>
      <c r="J239" s="5" t="s">
        <v>3229</v>
      </c>
      <c r="K239" s="24">
        <v>249.0</v>
      </c>
      <c r="L239" s="5">
        <v>-1.095146</v>
      </c>
      <c r="M239" s="5">
        <v>-0.732315</v>
      </c>
      <c r="N239" s="5">
        <v>-1.827461</v>
      </c>
      <c r="O239" s="5">
        <v>0.013564</v>
      </c>
    </row>
    <row r="240">
      <c r="A240" s="18" t="str">
        <f>IFERROR(__xludf.DUMMYFUNCTION("""COMPUTED_VALUE"""),"Valerio Alessandrini")</f>
        <v>Valerio Alessandrini</v>
      </c>
      <c r="B240" s="19" t="str">
        <f>IFERROR(__xludf.DUMMYFUNCTION("""COMPUTED_VALUE"""),"ROS")</f>
        <v>ROS</v>
      </c>
      <c r="C240" s="20">
        <f>IFERROR(__xludf.DUMMYFUNCTION("""COMPUTED_VALUE"""),8.0)</f>
        <v>8</v>
      </c>
      <c r="D240" s="21">
        <f>IFERROR(__xludf.DUMMYFUNCTION("""COMPUTED_VALUE"""),-0.2210581281644489)</f>
        <v>-0.2210581282</v>
      </c>
      <c r="E240" s="21">
        <f>IFERROR(__xludf.DUMMYFUNCTION("""COMPUTED_VALUE"""),-0.1779531963209952)</f>
        <v>-0.1779531963</v>
      </c>
      <c r="F240" s="21">
        <f>IFERROR(__xludf.DUMMYFUNCTION("""COMPUTED_VALUE"""),-0.3990564244854441)</f>
        <v>-0.3990564245</v>
      </c>
      <c r="G240" s="23">
        <f>IFERROR(__xludf.DUMMYFUNCTION("""COMPUTED_VALUE"""),0.003933638185644099)</f>
        <v>0.003933638186</v>
      </c>
      <c r="H240" s="4"/>
      <c r="I240" s="5" t="s">
        <v>3444</v>
      </c>
      <c r="J240" s="5" t="s">
        <v>3237</v>
      </c>
      <c r="K240" s="5">
        <v>55.0</v>
      </c>
      <c r="L240" s="5">
        <v>-0.950707</v>
      </c>
      <c r="M240" s="5">
        <v>-0.877893</v>
      </c>
      <c r="N240" s="5">
        <v>-1.828601</v>
      </c>
      <c r="O240" s="5">
        <v>0.003204</v>
      </c>
    </row>
    <row r="241">
      <c r="A241" s="12" t="str">
        <f>IFERROR(__xludf.DUMMYFUNCTION("""COMPUTED_VALUE"""),"Andrea Latorre")</f>
        <v>Andrea Latorre</v>
      </c>
      <c r="B241" s="13" t="str">
        <f>IFERROR(__xludf.DUMMYFUNCTION("""COMPUTED_VALUE"""),"AMIC")</f>
        <v>AMIC</v>
      </c>
      <c r="C241" s="14">
        <f>IFERROR(__xludf.DUMMYFUNCTION("""COMPUTED_VALUE"""),119.5)</f>
        <v>119.5</v>
      </c>
      <c r="D241" s="15">
        <f>IFERROR(__xludf.DUMMYFUNCTION("""COMPUTED_VALUE"""),-1.615417348366097)</f>
        <v>-1.615417348</v>
      </c>
      <c r="E241" s="15">
        <f>IFERROR(__xludf.DUMMYFUNCTION("""COMPUTED_VALUE"""),1.2161908234781027)</f>
        <v>1.216190823</v>
      </c>
      <c r="F241" s="15">
        <f>IFERROR(__xludf.DUMMYFUNCTION("""COMPUTED_VALUE"""),-0.3992503248879942)</f>
        <v>-0.3992503249</v>
      </c>
      <c r="G241" s="17">
        <f>IFERROR(__xludf.DUMMYFUNCTION("""COMPUTED_VALUE"""),0.05789492360862279)</f>
        <v>0.05789492361</v>
      </c>
      <c r="H241" s="4"/>
      <c r="I241" s="5" t="s">
        <v>3445</v>
      </c>
      <c r="J241" s="5" t="s">
        <v>3251</v>
      </c>
      <c r="K241" s="24">
        <v>640.0</v>
      </c>
      <c r="L241" s="5">
        <v>-0.974066</v>
      </c>
      <c r="M241" s="5">
        <v>-0.880508</v>
      </c>
      <c r="N241" s="5">
        <v>-1.854575</v>
      </c>
      <c r="O241" s="5">
        <v>0.028258</v>
      </c>
    </row>
    <row r="242">
      <c r="A242" s="18" t="str">
        <f>IFERROR(__xludf.DUMMYFUNCTION("""COMPUTED_VALUE"""),"Francesco Biraghi")</f>
        <v>Francesco Biraghi</v>
      </c>
      <c r="B242" s="19" t="str">
        <f>IFERROR(__xludf.DUMMYFUNCTION("""COMPUTED_VALUE"""),"LEGN")</f>
        <v>LEGN</v>
      </c>
      <c r="C242" s="20">
        <f>IFERROR(__xludf.DUMMYFUNCTION("""COMPUTED_VALUE"""),6.0)</f>
        <v>6</v>
      </c>
      <c r="D242" s="21">
        <f>IFERROR(__xludf.DUMMYFUNCTION("""COMPUTED_VALUE"""),-0.3085382978836277)</f>
        <v>-0.3085382979</v>
      </c>
      <c r="E242" s="21">
        <f>IFERROR(__xludf.DUMMYFUNCTION("""COMPUTED_VALUE"""),-0.09141310361345124)</f>
        <v>-0.09141310361</v>
      </c>
      <c r="F242" s="21">
        <f>IFERROR(__xludf.DUMMYFUNCTION("""COMPUTED_VALUE"""),-0.39999260149707894)</f>
        <v>-0.3999926015</v>
      </c>
      <c r="G242" s="23">
        <f>IFERROR(__xludf.DUMMYFUNCTION("""COMPUTED_VALUE"""),0.0029569981123200957)</f>
        <v>0.002956998112</v>
      </c>
      <c r="H242" s="4"/>
      <c r="I242" s="5" t="s">
        <v>3446</v>
      </c>
      <c r="J242" s="5" t="s">
        <v>644</v>
      </c>
      <c r="K242" s="5">
        <v>330.0</v>
      </c>
      <c r="L242" s="5">
        <v>-0.058871</v>
      </c>
      <c r="M242" s="5">
        <v>-1.79851</v>
      </c>
      <c r="N242" s="5">
        <v>-1.857381</v>
      </c>
      <c r="O242" s="5">
        <v>0.014288</v>
      </c>
    </row>
    <row r="243">
      <c r="A243" s="12" t="str">
        <f>IFERROR(__xludf.DUMMYFUNCTION("""COMPUTED_VALUE"""),"Mattia Melchiorri")</f>
        <v>Mattia Melchiorri</v>
      </c>
      <c r="B243" s="13" t="str">
        <f>IFERROR(__xludf.DUMMYFUNCTION("""COMPUTED_VALUE"""),"RIET")</f>
        <v>RIET</v>
      </c>
      <c r="C243" s="14">
        <f>IFERROR(__xludf.DUMMYFUNCTION("""COMPUTED_VALUE"""),4.0)</f>
        <v>4</v>
      </c>
      <c r="D243" s="15">
        <f>IFERROR(__xludf.DUMMYFUNCTION("""COMPUTED_VALUE"""),-0.26409760169834345)</f>
        <v>-0.2640976017</v>
      </c>
      <c r="E243" s="15">
        <f>IFERROR(__xludf.DUMMYFUNCTION("""COMPUTED_VALUE"""),-0.13723203155514876)</f>
        <v>-0.1372320316</v>
      </c>
      <c r="F243" s="15">
        <f>IFERROR(__xludf.DUMMYFUNCTION("""COMPUTED_VALUE"""),-0.4013494332534922)</f>
        <v>-0.4013494333</v>
      </c>
      <c r="G243" s="17">
        <f>IFERROR(__xludf.DUMMYFUNCTION("""COMPUTED_VALUE"""),0.0022005313891342118)</f>
        <v>0.002200531389</v>
      </c>
      <c r="H243" s="4"/>
      <c r="I243" s="5" t="s">
        <v>3447</v>
      </c>
      <c r="J243" s="5" t="s">
        <v>2201</v>
      </c>
      <c r="K243" s="5">
        <v>423.0</v>
      </c>
      <c r="L243" s="5">
        <v>-1.121156</v>
      </c>
      <c r="M243" s="5">
        <v>-0.743679</v>
      </c>
      <c r="N243" s="5">
        <v>-1.864835</v>
      </c>
      <c r="O243" s="5">
        <v>0.017453</v>
      </c>
    </row>
    <row r="244">
      <c r="A244" s="18" t="str">
        <f>IFERROR(__xludf.DUMMYFUNCTION("""COMPUTED_VALUE"""),"Andrea Danna")</f>
        <v>Andrea Danna</v>
      </c>
      <c r="B244" s="19" t="str">
        <f>IFERROR(__xludf.DUMMYFUNCTION("""COMPUTED_VALUE"""),"BEI")</f>
        <v>BEI</v>
      </c>
      <c r="C244" s="20">
        <f>IFERROR(__xludf.DUMMYFUNCTION("""COMPUTED_VALUE"""),8.0)</f>
        <v>8</v>
      </c>
      <c r="D244" s="21">
        <f>IFERROR(__xludf.DUMMYFUNCTION("""COMPUTED_VALUE"""),-0.29585913129839786)</f>
        <v>-0.2958591313</v>
      </c>
      <c r="E244" s="21">
        <f>IFERROR(__xludf.DUMMYFUNCTION("""COMPUTED_VALUE"""),-0.10776776374848214)</f>
        <v>-0.1077677637</v>
      </c>
      <c r="F244" s="21">
        <f>IFERROR(__xludf.DUMMYFUNCTION("""COMPUTED_VALUE"""),-0.40366029504688)</f>
        <v>-0.403660295</v>
      </c>
      <c r="G244" s="23">
        <f>IFERROR(__xludf.DUMMYFUNCTION("""COMPUTED_VALUE"""),0.003912649528698729)</f>
        <v>0.003912649529</v>
      </c>
      <c r="H244" s="4"/>
      <c r="I244" s="5" t="s">
        <v>3448</v>
      </c>
      <c r="J244" s="5" t="s">
        <v>3203</v>
      </c>
      <c r="K244" s="5">
        <v>497.0</v>
      </c>
      <c r="L244" s="5">
        <v>-2.529456</v>
      </c>
      <c r="M244" s="5">
        <v>0.654112</v>
      </c>
      <c r="N244" s="5">
        <v>-1.875344</v>
      </c>
      <c r="O244" s="5">
        <v>0.018802</v>
      </c>
    </row>
    <row r="245">
      <c r="A245" s="12" t="str">
        <f>IFERROR(__xludf.DUMMYFUNCTION("""COMPUTED_VALUE"""),"Lorenzo Maspero")</f>
        <v>Lorenzo Maspero</v>
      </c>
      <c r="B245" s="13" t="str">
        <f>IFERROR(__xludf.DUMMYFUNCTION("""COMPUTED_VALUE"""),"POD")</f>
        <v>POD</v>
      </c>
      <c r="C245" s="14">
        <f>IFERROR(__xludf.DUMMYFUNCTION("""COMPUTED_VALUE"""),666.0)</f>
        <v>666</v>
      </c>
      <c r="D245" s="15">
        <f>IFERROR(__xludf.DUMMYFUNCTION("""COMPUTED_VALUE"""),0.6640765103799264)</f>
        <v>0.6640765104</v>
      </c>
      <c r="E245" s="15">
        <f>IFERROR(__xludf.DUMMYFUNCTION("""COMPUTED_VALUE"""),-1.1035835664119757)</f>
        <v>-1.103583566</v>
      </c>
      <c r="F245" s="15">
        <f>IFERROR(__xludf.DUMMYFUNCTION("""COMPUTED_VALUE"""),-0.4395274560320492)</f>
        <v>-0.439527456</v>
      </c>
      <c r="G245" s="17">
        <f>IFERROR(__xludf.DUMMYFUNCTION("""COMPUTED_VALUE"""),0.3187597193228592)</f>
        <v>0.3187597193</v>
      </c>
      <c r="H245" s="4"/>
      <c r="I245" s="5" t="s">
        <v>3449</v>
      </c>
      <c r="J245" s="5" t="s">
        <v>3233</v>
      </c>
      <c r="K245" s="5">
        <v>897.0</v>
      </c>
      <c r="L245" s="5">
        <v>0.349784</v>
      </c>
      <c r="M245" s="5">
        <v>-2.246134</v>
      </c>
      <c r="N245" s="5">
        <v>-1.896351</v>
      </c>
      <c r="O245" s="5">
        <v>0.027471</v>
      </c>
    </row>
    <row r="246">
      <c r="A246" s="18" t="str">
        <f>IFERROR(__xludf.DUMMYFUNCTION("""COMPUTED_VALUE"""),"Modu Diouf")</f>
        <v>Modu Diouf</v>
      </c>
      <c r="B246" s="19" t="str">
        <f>IFERROR(__xludf.DUMMYFUNCTION("""COMPUTED_VALUE"""),"CAS")</f>
        <v>CAS</v>
      </c>
      <c r="C246" s="20">
        <f>IFERROR(__xludf.DUMMYFUNCTION("""COMPUTED_VALUE"""),38.0)</f>
        <v>38</v>
      </c>
      <c r="D246" s="21">
        <f>IFERROR(__xludf.DUMMYFUNCTION("""COMPUTED_VALUE"""),-0.8075640648845828)</f>
        <v>-0.8075640649</v>
      </c>
      <c r="E246" s="21">
        <f>IFERROR(__xludf.DUMMYFUNCTION("""COMPUTED_VALUE"""),0.3667492204350918)</f>
        <v>0.3667492204</v>
      </c>
      <c r="F246" s="21">
        <f>IFERROR(__xludf.DUMMYFUNCTION("""COMPUTED_VALUE"""),-0.44084684444949096)</f>
        <v>-0.4408468444</v>
      </c>
      <c r="G246" s="23">
        <f>IFERROR(__xludf.DUMMYFUNCTION("""COMPUTED_VALUE"""),0.01883852062458786)</f>
        <v>0.01883852062</v>
      </c>
      <c r="H246" s="4"/>
      <c r="I246" s="5" t="s">
        <v>3450</v>
      </c>
      <c r="J246" s="5" t="s">
        <v>3220</v>
      </c>
      <c r="K246" s="5">
        <v>180.0</v>
      </c>
      <c r="L246" s="5">
        <v>-1.034085</v>
      </c>
      <c r="M246" s="5">
        <v>-0.930863</v>
      </c>
      <c r="N246" s="5">
        <v>-1.964947</v>
      </c>
      <c r="O246" s="5">
        <v>0.001937</v>
      </c>
    </row>
    <row r="247">
      <c r="A247" s="12" t="str">
        <f>IFERROR(__xludf.DUMMYFUNCTION("""COMPUTED_VALUE"""),"Raphael Chiti")</f>
        <v>Raphael Chiti</v>
      </c>
      <c r="B247" s="13" t="str">
        <f>IFERROR(__xludf.DUMMYFUNCTION("""COMPUTED_VALUE"""),"AMIC")</f>
        <v>AMIC</v>
      </c>
      <c r="C247" s="14">
        <f>IFERROR(__xludf.DUMMYFUNCTION("""COMPUTED_VALUE"""),7.0)</f>
        <v>7</v>
      </c>
      <c r="D247" s="15">
        <f>IFERROR(__xludf.DUMMYFUNCTION("""COMPUTED_VALUE"""),-0.39261943327589693)</f>
        <v>-0.3926194333</v>
      </c>
      <c r="E247" s="15">
        <f>IFERROR(__xludf.DUMMYFUNCTION("""COMPUTED_VALUE"""),-0.05128112744520439)</f>
        <v>-0.05128112745</v>
      </c>
      <c r="F247" s="15">
        <f>IFERROR(__xludf.DUMMYFUNCTION("""COMPUTED_VALUE"""),-0.4439364607211013)</f>
        <v>-0.4439364607</v>
      </c>
      <c r="G247" s="17">
        <f>IFERROR(__xludf.DUMMYFUNCTION("""COMPUTED_VALUE"""),0.003331207552141219)</f>
        <v>0.003331207552</v>
      </c>
      <c r="H247" s="4"/>
      <c r="I247" s="5" t="s">
        <v>3451</v>
      </c>
      <c r="J247" s="5" t="s">
        <v>3220</v>
      </c>
      <c r="K247" s="5">
        <v>323.0</v>
      </c>
      <c r="L247" s="5">
        <v>-2.154155</v>
      </c>
      <c r="M247" s="5">
        <v>0.157415</v>
      </c>
      <c r="N247" s="5">
        <v>-1.996739</v>
      </c>
      <c r="O247" s="5">
        <v>3.24E-4</v>
      </c>
    </row>
    <row r="248">
      <c r="A248" s="18" t="str">
        <f>IFERROR(__xludf.DUMMYFUNCTION("""COMPUTED_VALUE"""),"Nicholas Dessi")</f>
        <v>Nicholas Dessi</v>
      </c>
      <c r="B248" s="19" t="str">
        <f>IFERROR(__xludf.DUMMYFUNCTION("""COMPUTED_VALUE"""),"TREV")</f>
        <v>TREV</v>
      </c>
      <c r="C248" s="20">
        <f>IFERROR(__xludf.DUMMYFUNCTION("""COMPUTED_VALUE"""),14.0)</f>
        <v>14</v>
      </c>
      <c r="D248" s="21">
        <f>IFERROR(__xludf.DUMMYFUNCTION("""COMPUTED_VALUE"""),-0.28750304392908366)</f>
        <v>-0.2875030439</v>
      </c>
      <c r="E248" s="21">
        <f>IFERROR(__xludf.DUMMYFUNCTION("""COMPUTED_VALUE"""),-0.18870553712360655)</f>
        <v>-0.1887055371</v>
      </c>
      <c r="F248" s="21">
        <f>IFERROR(__xludf.DUMMYFUNCTION("""COMPUTED_VALUE"""),-0.4762412810526902)</f>
        <v>-0.4762412811</v>
      </c>
      <c r="G248" s="23">
        <f>IFERROR(__xludf.DUMMYFUNCTION("""COMPUTED_VALUE"""),0.013054569845034433)</f>
        <v>0.01305456985</v>
      </c>
      <c r="H248" s="4"/>
      <c r="I248" s="5" t="s">
        <v>3452</v>
      </c>
      <c r="J248" s="5" t="s">
        <v>2201</v>
      </c>
      <c r="K248" s="5">
        <v>49.0</v>
      </c>
      <c r="L248" s="5">
        <v>-1.453442</v>
      </c>
      <c r="M248" s="5">
        <v>-0.549813</v>
      </c>
      <c r="N248" s="5">
        <v>-2.003254</v>
      </c>
      <c r="O248" s="5">
        <v>-4.9E-5</v>
      </c>
    </row>
    <row r="249">
      <c r="A249" s="12" t="str">
        <f>IFERROR(__xludf.DUMMYFUNCTION("""COMPUTED_VALUE"""),"Andrea Ibba")</f>
        <v>Andrea Ibba</v>
      </c>
      <c r="B249" s="13" t="str">
        <f>IFERROR(__xludf.DUMMYFUNCTION("""COMPUTED_VALUE"""),"CAGL")</f>
        <v>CAGL</v>
      </c>
      <c r="C249" s="14">
        <f>IFERROR(__xludf.DUMMYFUNCTION("""COMPUTED_VALUE"""),4.0)</f>
        <v>4</v>
      </c>
      <c r="D249" s="15">
        <f>IFERROR(__xludf.DUMMYFUNCTION("""COMPUTED_VALUE"""),-0.4042128873989694)</f>
        <v>-0.4042128874</v>
      </c>
      <c r="E249" s="15">
        <f>IFERROR(__xludf.DUMMYFUNCTION("""COMPUTED_VALUE"""),-0.10507692488649913)</f>
        <v>-0.1050769249</v>
      </c>
      <c r="F249" s="15">
        <f>IFERROR(__xludf.DUMMYFUNCTION("""COMPUTED_VALUE"""),-0.5093156122854685)</f>
        <v>-0.5093156123</v>
      </c>
      <c r="G249" s="17">
        <f>IFERROR(__xludf.DUMMYFUNCTION("""COMPUTED_VALUE"""),0.0018361646040455802)</f>
        <v>0.001836164604</v>
      </c>
      <c r="H249" s="4"/>
      <c r="I249" s="5" t="s">
        <v>3453</v>
      </c>
      <c r="J249" s="5" t="s">
        <v>3226</v>
      </c>
      <c r="K249" s="5">
        <v>297.0</v>
      </c>
      <c r="L249" s="5">
        <v>-3.100941</v>
      </c>
      <c r="M249" s="5">
        <v>1.097519</v>
      </c>
      <c r="N249" s="5">
        <v>-2.003422</v>
      </c>
      <c r="O249" s="5">
        <v>-3.1E-4</v>
      </c>
    </row>
    <row r="250">
      <c r="A250" s="18" t="str">
        <f>IFERROR(__xludf.DUMMYFUNCTION("""COMPUTED_VALUE"""),"Francesco Oboe")</f>
        <v>Francesco Oboe</v>
      </c>
      <c r="B250" s="19" t="str">
        <f>IFERROR(__xludf.DUMMYFUNCTION("""COMPUTED_VALUE"""),"STV")</f>
        <v>STV</v>
      </c>
      <c r="C250" s="20">
        <f>IFERROR(__xludf.DUMMYFUNCTION("""COMPUTED_VALUE"""),18.0)</f>
        <v>18</v>
      </c>
      <c r="D250" s="21">
        <f>IFERROR(__xludf.DUMMYFUNCTION("""COMPUTED_VALUE"""),-0.3974265955724527)</f>
        <v>-0.3974265956</v>
      </c>
      <c r="E250" s="21">
        <f>IFERROR(__xludf.DUMMYFUNCTION("""COMPUTED_VALUE"""),-0.11845564892383302)</f>
        <v>-0.1184556489</v>
      </c>
      <c r="F250" s="21">
        <f>IFERROR(__xludf.DUMMYFUNCTION("""COMPUTED_VALUE"""),-0.5158993444962857)</f>
        <v>-0.5158993445</v>
      </c>
      <c r="G250" s="23">
        <f>IFERROR(__xludf.DUMMYFUNCTION("""COMPUTED_VALUE"""),0.008870418493461065)</f>
        <v>0.008870418493</v>
      </c>
      <c r="H250" s="4"/>
      <c r="I250" s="5" t="s">
        <v>3454</v>
      </c>
      <c r="J250" s="5" t="s">
        <v>3203</v>
      </c>
      <c r="K250" s="5">
        <v>362.0</v>
      </c>
      <c r="L250" s="5">
        <v>-0.113415</v>
      </c>
      <c r="M250" s="5">
        <v>-1.974144</v>
      </c>
      <c r="N250" s="5">
        <v>-2.087559</v>
      </c>
      <c r="O250" s="5">
        <v>-0.009598</v>
      </c>
    </row>
    <row r="251">
      <c r="A251" s="12" t="str">
        <f>IFERROR(__xludf.DUMMYFUNCTION("""COMPUTED_VALUE"""),"Fabio D'eustachio")</f>
        <v>Fabio D'eustachio</v>
      </c>
      <c r="B251" s="13" t="str">
        <f>IFERROR(__xludf.DUMMYFUNCTION("""COMPUTED_VALUE"""),"ROS")</f>
        <v>ROS</v>
      </c>
      <c r="C251" s="14">
        <f>IFERROR(__xludf.DUMMYFUNCTION("""COMPUTED_VALUE"""),14.0)</f>
        <v>14</v>
      </c>
      <c r="D251" s="15">
        <f>IFERROR(__xludf.DUMMYFUNCTION("""COMPUTED_VALUE"""),-0.2628253168824632)</f>
        <v>-0.2628253169</v>
      </c>
      <c r="E251" s="15">
        <f>IFERROR(__xludf.DUMMYFUNCTION("""COMPUTED_VALUE"""),-0.25478132254743757)</f>
        <v>-0.2547813225</v>
      </c>
      <c r="F251" s="15">
        <f>IFERROR(__xludf.DUMMYFUNCTION("""COMPUTED_VALUE"""),-0.5176402394299008)</f>
        <v>-0.5176402394</v>
      </c>
      <c r="G251" s="17">
        <f>IFERROR(__xludf.DUMMYFUNCTION("""COMPUTED_VALUE"""),0.006334491604487821)</f>
        <v>0.006334491604</v>
      </c>
      <c r="H251" s="4"/>
      <c r="I251" s="5" t="s">
        <v>3455</v>
      </c>
      <c r="J251" s="5" t="s">
        <v>644</v>
      </c>
      <c r="K251" s="24">
        <v>106.0</v>
      </c>
      <c r="L251" s="5">
        <v>-0.683731</v>
      </c>
      <c r="M251" s="5">
        <v>-1.408786</v>
      </c>
      <c r="N251" s="5">
        <v>-2.092517</v>
      </c>
      <c r="O251" s="5">
        <v>-0.002983</v>
      </c>
    </row>
    <row r="252">
      <c r="A252" s="18" t="str">
        <f>IFERROR(__xludf.DUMMYFUNCTION("""COMPUTED_VALUE"""),"Lorenzo Saccaggi")</f>
        <v>Lorenzo Saccaggi</v>
      </c>
      <c r="B252" s="19" t="str">
        <f>IFERROR(__xludf.DUMMYFUNCTION("""COMPUTED_VALUE"""),"SANA")</f>
        <v>SANA</v>
      </c>
      <c r="C252" s="20">
        <f>IFERROR(__xludf.DUMMYFUNCTION("""COMPUTED_VALUE"""),935.0)</f>
        <v>935</v>
      </c>
      <c r="D252" s="21">
        <f>IFERROR(__xludf.DUMMYFUNCTION("""COMPUTED_VALUE"""),0.04045413262285685)</f>
        <v>0.04045413262</v>
      </c>
      <c r="E252" s="21">
        <f>IFERROR(__xludf.DUMMYFUNCTION("""COMPUTED_VALUE"""),-0.560949310565986)</f>
        <v>-0.5609493106</v>
      </c>
      <c r="F252" s="21">
        <f>IFERROR(__xludf.DUMMYFUNCTION("""COMPUTED_VALUE"""),-0.5205047779431291)</f>
        <v>-0.5205047779</v>
      </c>
      <c r="G252" s="23">
        <f>IFERROR(__xludf.DUMMYFUNCTION("""COMPUTED_VALUE"""),0.4207741674188603)</f>
        <v>0.4207741674</v>
      </c>
      <c r="H252" s="4"/>
      <c r="I252" s="5" t="s">
        <v>3456</v>
      </c>
      <c r="J252" s="5" t="s">
        <v>3256</v>
      </c>
      <c r="K252" s="5">
        <v>69.0</v>
      </c>
      <c r="L252" s="5">
        <v>-0.936564</v>
      </c>
      <c r="M252" s="5">
        <v>-1.15913</v>
      </c>
      <c r="N252" s="5">
        <v>-2.095694</v>
      </c>
      <c r="O252" s="5">
        <v>-0.002001</v>
      </c>
    </row>
    <row r="253">
      <c r="A253" s="12" t="str">
        <f>IFERROR(__xludf.DUMMYFUNCTION("""COMPUTED_VALUE"""),"Simon Zollo")</f>
        <v>Simon Zollo</v>
      </c>
      <c r="B253" s="13" t="str">
        <f>IFERROR(__xludf.DUMMYFUNCTION("""COMPUTED_VALUE"""),"COUR")</f>
        <v>COUR</v>
      </c>
      <c r="C253" s="14">
        <f>IFERROR(__xludf.DUMMYFUNCTION("""COMPUTED_VALUE"""),19.0)</f>
        <v>19</v>
      </c>
      <c r="D253" s="15">
        <f>IFERROR(__xludf.DUMMYFUNCTION("""COMPUTED_VALUE"""),-0.5167987399746177)</f>
        <v>-0.51679874</v>
      </c>
      <c r="E253" s="15">
        <f>IFERROR(__xludf.DUMMYFUNCTION("""COMPUTED_VALUE"""),-0.041666336101080406)</f>
        <v>-0.0416663361</v>
      </c>
      <c r="F253" s="15">
        <f>IFERROR(__xludf.DUMMYFUNCTION("""COMPUTED_VALUE"""),-0.5584654760756981)</f>
        <v>-0.5584654761</v>
      </c>
      <c r="G253" s="17">
        <f>IFERROR(__xludf.DUMMYFUNCTION("""COMPUTED_VALUE"""),0.00968649635847742)</f>
        <v>0.009686496358</v>
      </c>
      <c r="H253" s="4"/>
      <c r="I253" s="5" t="s">
        <v>3457</v>
      </c>
      <c r="J253" s="5" t="s">
        <v>3281</v>
      </c>
      <c r="K253" s="5">
        <v>43.0</v>
      </c>
      <c r="L253" s="5">
        <v>-1.930465</v>
      </c>
      <c r="M253" s="5">
        <v>-0.176145</v>
      </c>
      <c r="N253" s="5">
        <v>-2.10661</v>
      </c>
      <c r="O253" s="5">
        <v>-0.001381</v>
      </c>
    </row>
    <row r="254">
      <c r="A254" s="18" t="str">
        <f>IFERROR(__xludf.DUMMYFUNCTION("""COMPUTED_VALUE"""),"Gherardo Sabatini")</f>
        <v>Gherardo Sabatini</v>
      </c>
      <c r="B254" s="19" t="str">
        <f>IFERROR(__xludf.DUMMYFUNCTION("""COMPUTED_VALUE"""),"TREV")</f>
        <v>TREV</v>
      </c>
      <c r="C254" s="20">
        <f>IFERROR(__xludf.DUMMYFUNCTION("""COMPUTED_VALUE"""),877.0)</f>
        <v>877</v>
      </c>
      <c r="D254" s="21">
        <f>IFERROR(__xludf.DUMMYFUNCTION("""COMPUTED_VALUE"""),-1.1524800780756026)</f>
        <v>-1.152480078</v>
      </c>
      <c r="E254" s="21">
        <f>IFERROR(__xludf.DUMMYFUNCTION("""COMPUTED_VALUE"""),0.5910996952943883)</f>
        <v>0.5910996953</v>
      </c>
      <c r="F254" s="21">
        <f>IFERROR(__xludf.DUMMYFUNCTION("""COMPUTED_VALUE"""),-0.5613901827812142)</f>
        <v>-0.5613901828</v>
      </c>
      <c r="G254" s="23">
        <f>IFERROR(__xludf.DUMMYFUNCTION("""COMPUTED_VALUE"""),0.7701534233316363)</f>
        <v>0.7701534233</v>
      </c>
      <c r="H254" s="4"/>
      <c r="I254" s="5" t="s">
        <v>3458</v>
      </c>
      <c r="J254" s="5" t="s">
        <v>3237</v>
      </c>
      <c r="K254" s="24">
        <v>132.0</v>
      </c>
      <c r="L254" s="5">
        <v>-1.785034</v>
      </c>
      <c r="M254" s="5">
        <v>-0.333231</v>
      </c>
      <c r="N254" s="5">
        <v>-2.118266</v>
      </c>
      <c r="O254" s="5">
        <v>-0.005283</v>
      </c>
    </row>
    <row r="255">
      <c r="A255" s="12" t="str">
        <f>IFERROR(__xludf.DUMMYFUNCTION("""COMPUTED_VALUE"""),"Lorenzo Ambrosin")</f>
        <v>Lorenzo Ambrosin</v>
      </c>
      <c r="B255" s="13" t="str">
        <f>IFERROR(__xludf.DUMMYFUNCTION("""COMPUTED_VALUE"""),"MON")</f>
        <v>MON</v>
      </c>
      <c r="C255" s="14">
        <f>IFERROR(__xludf.DUMMYFUNCTION("""COMPUTED_VALUE"""),842.0)</f>
        <v>842</v>
      </c>
      <c r="D255" s="15">
        <f>IFERROR(__xludf.DUMMYFUNCTION("""COMPUTED_VALUE"""),0.8116919566673545)</f>
        <v>0.8116919567</v>
      </c>
      <c r="E255" s="15">
        <f>IFERROR(__xludf.DUMMYFUNCTION("""COMPUTED_VALUE"""),-1.4014939602878131)</f>
        <v>-1.40149396</v>
      </c>
      <c r="F255" s="15">
        <f>IFERROR(__xludf.DUMMYFUNCTION("""COMPUTED_VALUE"""),-0.5898463036204588)</f>
        <v>-0.5898463036</v>
      </c>
      <c r="G255" s="17">
        <f>IFERROR(__xludf.DUMMYFUNCTION("""COMPUTED_VALUE"""),0.3606750465034693)</f>
        <v>0.3606750465</v>
      </c>
      <c r="H255" s="4"/>
      <c r="I255" s="5" t="s">
        <v>1137</v>
      </c>
      <c r="J255" s="5" t="s">
        <v>3233</v>
      </c>
      <c r="K255" s="5">
        <v>224.0</v>
      </c>
      <c r="L255" s="5">
        <v>-1.490313</v>
      </c>
      <c r="M255" s="5">
        <v>-0.629871</v>
      </c>
      <c r="N255" s="5">
        <v>-2.120184</v>
      </c>
      <c r="O255" s="5">
        <v>-0.007963</v>
      </c>
    </row>
    <row r="256">
      <c r="A256" s="18" t="str">
        <f>IFERROR(__xludf.DUMMYFUNCTION("""COMPUTED_VALUE"""),"Celis Taflaj")</f>
        <v>Celis Taflaj</v>
      </c>
      <c r="B256" s="19" t="str">
        <f>IFERROR(__xludf.DUMMYFUNCTION("""COMPUTED_VALUE"""),"VRC")</f>
        <v>VRC</v>
      </c>
      <c r="C256" s="20">
        <f>IFERROR(__xludf.DUMMYFUNCTION("""COMPUTED_VALUE"""),131.0)</f>
        <v>131</v>
      </c>
      <c r="D256" s="21">
        <f>IFERROR(__xludf.DUMMYFUNCTION("""COMPUTED_VALUE"""),-0.9128124755900486)</f>
        <v>-0.9128124756</v>
      </c>
      <c r="E256" s="21">
        <f>IFERROR(__xludf.DUMMYFUNCTION("""COMPUTED_VALUE"""),0.3156626528299789)</f>
        <v>0.3156626528</v>
      </c>
      <c r="F256" s="21">
        <f>IFERROR(__xludf.DUMMYFUNCTION("""COMPUTED_VALUE"""),-0.5971554227600697)</f>
        <v>-0.5971554228</v>
      </c>
      <c r="G256" s="23">
        <f>IFERROR(__xludf.DUMMYFUNCTION("""COMPUTED_VALUE"""),0.056795778683443175)</f>
        <v>0.05679577868</v>
      </c>
      <c r="H256" s="4"/>
      <c r="I256" s="5" t="s">
        <v>3459</v>
      </c>
      <c r="J256" s="5" t="s">
        <v>3331</v>
      </c>
      <c r="K256" s="5">
        <v>83.0</v>
      </c>
      <c r="L256" s="5">
        <v>-2.144994</v>
      </c>
      <c r="M256" s="5">
        <v>0.007608</v>
      </c>
      <c r="N256" s="5">
        <v>-2.137385</v>
      </c>
      <c r="O256" s="5">
        <v>-0.00344</v>
      </c>
    </row>
    <row r="257">
      <c r="A257" s="12" t="str">
        <f>IFERROR(__xludf.DUMMYFUNCTION("""COMPUTED_VALUE"""),"Quinton Stephens")</f>
        <v>Quinton Stephens</v>
      </c>
      <c r="B257" s="13" t="str">
        <f>IFERROR(__xludf.DUMMYFUNCTION("""COMPUTED_VALUE"""),"SCAF")</f>
        <v>SCAF</v>
      </c>
      <c r="C257" s="14">
        <f>IFERROR(__xludf.DUMMYFUNCTION("""COMPUTED_VALUE"""),122.0)</f>
        <v>122</v>
      </c>
      <c r="D257" s="15">
        <f>IFERROR(__xludf.DUMMYFUNCTION("""COMPUTED_VALUE"""),-0.3653250324653429)</f>
        <v>-0.3653250325</v>
      </c>
      <c r="E257" s="15">
        <f>IFERROR(__xludf.DUMMYFUNCTION("""COMPUTED_VALUE"""),-0.2595384828179571)</f>
        <v>-0.2595384828</v>
      </c>
      <c r="F257" s="15">
        <f>IFERROR(__xludf.DUMMYFUNCTION("""COMPUTED_VALUE"""),-0.6248695152833)</f>
        <v>-0.6248695153</v>
      </c>
      <c r="G257" s="17">
        <f>IFERROR(__xludf.DUMMYFUNCTION("""COMPUTED_VALUE"""),0.05382592071328685)</f>
        <v>0.05382592071</v>
      </c>
      <c r="H257" s="4"/>
      <c r="I257" s="5" t="s">
        <v>3460</v>
      </c>
      <c r="J257" s="5" t="s">
        <v>3240</v>
      </c>
      <c r="K257" s="5">
        <v>254.0</v>
      </c>
      <c r="L257" s="5">
        <v>-0.369819</v>
      </c>
      <c r="M257" s="5">
        <v>-1.77254</v>
      </c>
      <c r="N257" s="5">
        <v>-2.14236</v>
      </c>
      <c r="O257" s="5">
        <v>-0.011031</v>
      </c>
    </row>
    <row r="258">
      <c r="A258" s="18" t="str">
        <f>IFERROR(__xludf.DUMMYFUNCTION("""COMPUTED_VALUE"""),"Andy Ogide")</f>
        <v>Andy Ogide</v>
      </c>
      <c r="B258" s="19" t="str">
        <f>IFERROR(__xludf.DUMMYFUNCTION("""COMPUTED_VALUE"""),"ROS")</f>
        <v>ROS</v>
      </c>
      <c r="C258" s="20">
        <f>IFERROR(__xludf.DUMMYFUNCTION("""COMPUTED_VALUE"""),802.0)</f>
        <v>802</v>
      </c>
      <c r="D258" s="21">
        <f>IFERROR(__xludf.DUMMYFUNCTION("""COMPUTED_VALUE"""),0.8509231981468668)</f>
        <v>0.8509231981</v>
      </c>
      <c r="E258" s="21">
        <f>IFERROR(__xludf.DUMMYFUNCTION("""COMPUTED_VALUE"""),-1.4879289152438926)</f>
        <v>-1.487928915</v>
      </c>
      <c r="F258" s="21">
        <f>IFERROR(__xludf.DUMMYFUNCTION("""COMPUTED_VALUE"""),-0.6370227170970258)</f>
        <v>-0.6370227171</v>
      </c>
      <c r="G258" s="23">
        <f>IFERROR(__xludf.DUMMYFUNCTION("""COMPUTED_VALUE"""),0.33189872681556076)</f>
        <v>0.3318987268</v>
      </c>
      <c r="H258" s="4"/>
      <c r="I258" s="5" t="s">
        <v>3461</v>
      </c>
      <c r="J258" s="5" t="s">
        <v>3203</v>
      </c>
      <c r="K258" s="5">
        <v>48.0</v>
      </c>
      <c r="L258" s="5">
        <v>-1.828336</v>
      </c>
      <c r="M258" s="5">
        <v>-0.326061</v>
      </c>
      <c r="N258" s="5">
        <v>-2.154397</v>
      </c>
      <c r="O258" s="5">
        <v>-0.002247</v>
      </c>
    </row>
    <row r="259">
      <c r="A259" s="12" t="str">
        <f>IFERROR(__xludf.DUMMYFUNCTION("""COMPUTED_VALUE"""),"Federico Maiocco")</f>
        <v>Federico Maiocco</v>
      </c>
      <c r="B259" s="13" t="str">
        <f>IFERROR(__xludf.DUMMYFUNCTION("""COMPUTED_VALUE"""),"LEGN")</f>
        <v>LEGN</v>
      </c>
      <c r="C259" s="14">
        <f>IFERROR(__xludf.DUMMYFUNCTION("""COMPUTED_VALUE"""),658.0)</f>
        <v>658</v>
      </c>
      <c r="D259" s="15">
        <f>IFERROR(__xludf.DUMMYFUNCTION("""COMPUTED_VALUE"""),-1.9556399220893146)</f>
        <v>-1.955639922</v>
      </c>
      <c r="E259" s="15">
        <f>IFERROR(__xludf.DUMMYFUNCTION("""COMPUTED_VALUE"""),1.3136802285845308)</f>
        <v>1.313680229</v>
      </c>
      <c r="F259" s="15">
        <f>IFERROR(__xludf.DUMMYFUNCTION("""COMPUTED_VALUE"""),-0.6419817935047839)</f>
        <v>-0.6419817935</v>
      </c>
      <c r="G259" s="17">
        <f>IFERROR(__xludf.DUMMYFUNCTION("""COMPUTED_VALUE"""),0.2714257570256523)</f>
        <v>0.271425757</v>
      </c>
      <c r="H259" s="4"/>
      <c r="I259" s="5" t="s">
        <v>1247</v>
      </c>
      <c r="J259" s="5" t="s">
        <v>3263</v>
      </c>
      <c r="K259" s="5">
        <v>376.0</v>
      </c>
      <c r="L259" s="5">
        <v>-2.387322</v>
      </c>
      <c r="M259" s="5">
        <v>0.227415</v>
      </c>
      <c r="N259" s="5">
        <v>-2.159907</v>
      </c>
      <c r="O259" s="5">
        <v>-0.018052</v>
      </c>
    </row>
    <row r="260">
      <c r="A260" s="18" t="str">
        <f>IFERROR(__xludf.DUMMYFUNCTION("""COMPUTED_VALUE"""),"Davide Toffali")</f>
        <v>Davide Toffali</v>
      </c>
      <c r="B260" s="19" t="str">
        <f>IFERROR(__xludf.DUMMYFUNCTION("""COMPUTED_VALUE"""),"IMOL")</f>
        <v>IMOL</v>
      </c>
      <c r="C260" s="20">
        <f>IFERROR(__xludf.DUMMYFUNCTION("""COMPUTED_VALUE"""),127.0)</f>
        <v>127</v>
      </c>
      <c r="D260" s="21">
        <f>IFERROR(__xludf.DUMMYFUNCTION("""COMPUTED_VALUE"""),-0.5827560168145709)</f>
        <v>-0.5827560168</v>
      </c>
      <c r="E260" s="21">
        <f>IFERROR(__xludf.DUMMYFUNCTION("""COMPUTED_VALUE"""),-0.07399425410505137)</f>
        <v>-0.07399425411</v>
      </c>
      <c r="F260" s="21">
        <f>IFERROR(__xludf.DUMMYFUNCTION("""COMPUTED_VALUE"""),-0.6567550709196223)</f>
        <v>-0.6567550709</v>
      </c>
      <c r="G260" s="23">
        <f>IFERROR(__xludf.DUMMYFUNCTION("""COMPUTED_VALUE"""),0.052014588412563414)</f>
        <v>0.05201458841</v>
      </c>
      <c r="H260" s="4"/>
      <c r="I260" s="5" t="s">
        <v>3462</v>
      </c>
      <c r="J260" s="5" t="s">
        <v>3205</v>
      </c>
      <c r="K260" s="5">
        <v>710.0</v>
      </c>
      <c r="L260" s="5">
        <v>-0.51303</v>
      </c>
      <c r="M260" s="5">
        <v>-1.676971</v>
      </c>
      <c r="N260" s="5">
        <v>-2.190001</v>
      </c>
      <c r="O260" s="5">
        <v>-0.040923</v>
      </c>
    </row>
    <row r="261">
      <c r="A261" s="12" t="str">
        <f>IFERROR(__xludf.DUMMYFUNCTION("""COMPUTED_VALUE"""),"David Brkic")</f>
        <v>David Brkic</v>
      </c>
      <c r="B261" s="13" t="str">
        <f>IFERROR(__xludf.DUMMYFUNCTION("""COMPUTED_VALUE"""),"LEON")</f>
        <v>LEON</v>
      </c>
      <c r="C261" s="14">
        <f>IFERROR(__xludf.DUMMYFUNCTION("""COMPUTED_VALUE"""),513.0)</f>
        <v>513</v>
      </c>
      <c r="D261" s="15">
        <f>IFERROR(__xludf.DUMMYFUNCTION("""COMPUTED_VALUE"""),0.09814133063772537)</f>
        <v>0.09814133064</v>
      </c>
      <c r="E261" s="15">
        <f>IFERROR(__xludf.DUMMYFUNCTION("""COMPUTED_VALUE"""),-0.7825950122716366)</f>
        <v>-0.7825950123</v>
      </c>
      <c r="F261" s="15">
        <f>IFERROR(__xludf.DUMMYFUNCTION("""COMPUTED_VALUE"""),-0.6844933816339113)</f>
        <v>-0.6844933816</v>
      </c>
      <c r="G261" s="17">
        <f>IFERROR(__xludf.DUMMYFUNCTION("""COMPUTED_VALUE"""),0.23737328877075917)</f>
        <v>0.2373732888</v>
      </c>
      <c r="H261" s="4"/>
      <c r="I261" s="5" t="s">
        <v>3463</v>
      </c>
      <c r="J261" s="5" t="s">
        <v>3263</v>
      </c>
      <c r="K261" s="24">
        <v>107.0</v>
      </c>
      <c r="L261" s="5">
        <v>-2.387557</v>
      </c>
      <c r="M261" s="5">
        <v>0.175784</v>
      </c>
      <c r="N261" s="5">
        <v>-2.211773</v>
      </c>
      <c r="O261" s="5">
        <v>-0.006791</v>
      </c>
    </row>
    <row r="262">
      <c r="A262" s="18" t="str">
        <f>IFERROR(__xludf.DUMMYFUNCTION("""COMPUTED_VALUE"""),"Matteo Fallucca")</f>
        <v>Matteo Fallucca</v>
      </c>
      <c r="B262" s="19" t="str">
        <f>IFERROR(__xludf.DUMMYFUNCTION("""COMPUTED_VALUE"""),"FOR")</f>
        <v>FOR</v>
      </c>
      <c r="C262" s="20">
        <f>IFERROR(__xludf.DUMMYFUNCTION("""COMPUTED_VALUE"""),519.0)</f>
        <v>519</v>
      </c>
      <c r="D262" s="21">
        <f>IFERROR(__xludf.DUMMYFUNCTION("""COMPUTED_VALUE"""),0.0032699696935891195)</f>
        <v>0.003269969694</v>
      </c>
      <c r="E262" s="21">
        <f>IFERROR(__xludf.DUMMYFUNCTION("""COMPUTED_VALUE"""),-0.6881919019369319)</f>
        <v>-0.6881919019</v>
      </c>
      <c r="F262" s="21">
        <f>IFERROR(__xludf.DUMMYFUNCTION("""COMPUTED_VALUE"""),-0.6849526322433428)</f>
        <v>-0.6849526322</v>
      </c>
      <c r="G262" s="23">
        <f>IFERROR(__xludf.DUMMYFUNCTION("""COMPUTED_VALUE"""),0.20639320268062034)</f>
        <v>0.2063932027</v>
      </c>
      <c r="H262" s="4"/>
      <c r="I262" s="5" t="s">
        <v>3464</v>
      </c>
      <c r="J262" s="5" t="s">
        <v>3251</v>
      </c>
      <c r="K262" s="5">
        <v>492.0</v>
      </c>
      <c r="L262" s="5">
        <v>-1.739502</v>
      </c>
      <c r="M262" s="5">
        <v>-0.476302</v>
      </c>
      <c r="N262" s="5">
        <v>-2.215804</v>
      </c>
      <c r="O262" s="5">
        <v>-0.032236</v>
      </c>
    </row>
    <row r="263">
      <c r="A263" s="12" t="str">
        <f>IFERROR(__xludf.DUMMYFUNCTION("""COMPUTED_VALUE"""),"Simone Tomasini")</f>
        <v>Simone Tomasini</v>
      </c>
      <c r="B263" s="13" t="str">
        <f>IFERROR(__xludf.DUMMYFUNCTION("""COMPUTED_VALUE"""),"LEGN")</f>
        <v>LEGN</v>
      </c>
      <c r="C263" s="14">
        <f>IFERROR(__xludf.DUMMYFUNCTION("""COMPUTED_VALUE"""),628.0)</f>
        <v>628</v>
      </c>
      <c r="D263" s="15">
        <f>IFERROR(__xludf.DUMMYFUNCTION("""COMPUTED_VALUE"""),0.07272264588168298)</f>
        <v>0.07272264588</v>
      </c>
      <c r="E263" s="15">
        <f>IFERROR(__xludf.DUMMYFUNCTION("""COMPUTED_VALUE"""),-0.7808684646454712)</f>
        <v>-0.7808684646</v>
      </c>
      <c r="F263" s="15">
        <f>IFERROR(__xludf.DUMMYFUNCTION("""COMPUTED_VALUE"""),-0.7081505187637882)</f>
        <v>-0.7081505188</v>
      </c>
      <c r="G263" s="17">
        <f>IFERROR(__xludf.DUMMYFUNCTION("""COMPUTED_VALUE"""),0.24641324716188914)</f>
        <v>0.2464132472</v>
      </c>
      <c r="H263" s="4"/>
      <c r="I263" s="5" t="s">
        <v>3465</v>
      </c>
      <c r="J263" s="5" t="s">
        <v>3278</v>
      </c>
      <c r="K263" s="5">
        <v>121.0</v>
      </c>
      <c r="L263" s="5">
        <v>-1.645214</v>
      </c>
      <c r="M263" s="5">
        <v>-0.588362</v>
      </c>
      <c r="N263" s="5">
        <v>-2.233576</v>
      </c>
      <c r="O263" s="5">
        <v>-0.008542</v>
      </c>
    </row>
    <row r="264">
      <c r="A264" s="18" t="str">
        <f>IFERROR(__xludf.DUMMYFUNCTION("""COMPUTED_VALUE"""),"Marco Spanghero")</f>
        <v>Marco Spanghero</v>
      </c>
      <c r="B264" s="19" t="str">
        <f>IFERROR(__xludf.DUMMYFUNCTION("""COMPUTED_VALUE"""),"TORT")</f>
        <v>TORT</v>
      </c>
      <c r="C264" s="20">
        <f>IFERROR(__xludf.DUMMYFUNCTION("""COMPUTED_VALUE"""),900.0)</f>
        <v>900</v>
      </c>
      <c r="D264" s="21">
        <f>IFERROR(__xludf.DUMMYFUNCTION("""COMPUTED_VALUE"""),0.7526330485252916)</f>
        <v>0.7526330485</v>
      </c>
      <c r="E264" s="21">
        <f>IFERROR(__xludf.DUMMYFUNCTION("""COMPUTED_VALUE"""),-1.4651233149255283)</f>
        <v>-1.465123315</v>
      </c>
      <c r="F264" s="21">
        <f>IFERROR(__xludf.DUMMYFUNCTION("""COMPUTED_VALUE"""),-0.7124969664002366)</f>
        <v>-0.7124969664</v>
      </c>
      <c r="G264" s="23">
        <f>IFERROR(__xludf.DUMMYFUNCTION("""COMPUTED_VALUE"""),0.3999012504369316)</f>
        <v>0.3999012504</v>
      </c>
      <c r="H264" s="4"/>
      <c r="I264" s="5" t="s">
        <v>3466</v>
      </c>
      <c r="J264" s="5" t="s">
        <v>3283</v>
      </c>
      <c r="K264" s="5">
        <v>51.0</v>
      </c>
      <c r="L264" s="5">
        <v>-1.663396</v>
      </c>
      <c r="M264" s="5">
        <v>-0.616178</v>
      </c>
      <c r="N264" s="5">
        <v>-2.279573</v>
      </c>
      <c r="O264" s="5">
        <v>-0.004366</v>
      </c>
    </row>
    <row r="265">
      <c r="A265" s="12" t="str">
        <f>IFERROR(__xludf.DUMMYFUNCTION("""COMPUTED_VALUE"""),"Alessandro Amici")</f>
        <v>Alessandro Amici</v>
      </c>
      <c r="B265" s="13" t="str">
        <f>IFERROR(__xludf.DUMMYFUNCTION("""COMPUTED_VALUE"""),"BOL")</f>
        <v>BOL</v>
      </c>
      <c r="C265" s="14">
        <f>IFERROR(__xludf.DUMMYFUNCTION("""COMPUTED_VALUE"""),613.0)</f>
        <v>613</v>
      </c>
      <c r="D265" s="15">
        <f>IFERROR(__xludf.DUMMYFUNCTION("""COMPUTED_VALUE"""),-1.8148899412707518)</f>
        <v>-1.814889941</v>
      </c>
      <c r="E265" s="15">
        <f>IFERROR(__xludf.DUMMYFUNCTION("""COMPUTED_VALUE"""),1.1018128218047385)</f>
        <v>1.101812822</v>
      </c>
      <c r="F265" s="15">
        <f>IFERROR(__xludf.DUMMYFUNCTION("""COMPUTED_VALUE"""),-0.7131212194660133)</f>
        <v>-0.7131212195</v>
      </c>
      <c r="G265" s="17">
        <f>IFERROR(__xludf.DUMMYFUNCTION("""COMPUTED_VALUE"""),0.24116375022659395)</f>
        <v>0.2411637502</v>
      </c>
      <c r="H265" s="4"/>
      <c r="I265" s="5" t="s">
        <v>3467</v>
      </c>
      <c r="J265" s="5" t="s">
        <v>2201</v>
      </c>
      <c r="K265" s="5">
        <v>342.0</v>
      </c>
      <c r="L265" s="5">
        <v>-2.2531</v>
      </c>
      <c r="M265" s="5">
        <v>-0.045533</v>
      </c>
      <c r="N265" s="5">
        <v>-2.298633</v>
      </c>
      <c r="O265" s="5">
        <v>-0.031201</v>
      </c>
    </row>
    <row r="266">
      <c r="A266" s="18" t="str">
        <f>IFERROR(__xludf.DUMMYFUNCTION("""COMPUTED_VALUE"""),"Eugenio Rota")</f>
        <v>Eugenio Rota</v>
      </c>
      <c r="B266" s="19" t="str">
        <f>IFERROR(__xludf.DUMMYFUNCTION("""COMPUTED_VALUE"""),"TREV")</f>
        <v>TREV</v>
      </c>
      <c r="C266" s="20">
        <f>IFERROR(__xludf.DUMMYFUNCTION("""COMPUTED_VALUE"""),41.0)</f>
        <v>41</v>
      </c>
      <c r="D266" s="21">
        <f>IFERROR(__xludf.DUMMYFUNCTION("""COMPUTED_VALUE"""),-0.20386605264228266)</f>
        <v>-0.2038660526</v>
      </c>
      <c r="E266" s="21">
        <f>IFERROR(__xludf.DUMMYFUNCTION("""COMPUTED_VALUE"""),-0.5332392592119681)</f>
        <v>-0.5332392592</v>
      </c>
      <c r="F266" s="21">
        <f>IFERROR(__xludf.DUMMYFUNCTION("""COMPUTED_VALUE"""),-0.7371158118542508)</f>
        <v>-0.7371158119</v>
      </c>
      <c r="G266" s="23">
        <f>IFERROR(__xludf.DUMMYFUNCTION("""COMPUTED_VALUE"""),0.03161700634320096)</f>
        <v>0.03161700634</v>
      </c>
      <c r="H266" s="4"/>
      <c r="I266" s="5" t="s">
        <v>3468</v>
      </c>
      <c r="J266" s="5" t="s">
        <v>3240</v>
      </c>
      <c r="K266" s="5">
        <v>77.0</v>
      </c>
      <c r="L266" s="5">
        <v>-1.962044</v>
      </c>
      <c r="M266" s="5">
        <v>-0.3436</v>
      </c>
      <c r="N266" s="5">
        <v>-2.305644</v>
      </c>
      <c r="O266" s="5">
        <v>-0.00713</v>
      </c>
    </row>
    <row r="267">
      <c r="A267" s="12" t="str">
        <f>IFERROR(__xludf.DUMMYFUNCTION("""COMPUTED_VALUE"""),"Matija Jovovic")</f>
        <v>Matija Jovovic</v>
      </c>
      <c r="B267" s="13" t="str">
        <f>IFERROR(__xludf.DUMMYFUNCTION("""COMPUTED_VALUE"""),"LAT")</f>
        <v>LAT</v>
      </c>
      <c r="C267" s="14">
        <f>IFERROR(__xludf.DUMMYFUNCTION("""COMPUTED_VALUE"""),15.0)</f>
        <v>15</v>
      </c>
      <c r="D267" s="15">
        <f>IFERROR(__xludf.DUMMYFUNCTION("""COMPUTED_VALUE"""),-0.4407540509113094)</f>
        <v>-0.4407540509</v>
      </c>
      <c r="E267" s="15">
        <f>IFERROR(__xludf.DUMMYFUNCTION("""COMPUTED_VALUE"""),-0.3107896665508979)</f>
        <v>-0.3107896666</v>
      </c>
      <c r="F267" s="15">
        <f>IFERROR(__xludf.DUMMYFUNCTION("""COMPUTED_VALUE"""),-0.7515681174622073)</f>
        <v>-0.7515681175</v>
      </c>
      <c r="G267" s="17">
        <f>IFERROR(__xludf.DUMMYFUNCTION("""COMPUTED_VALUE"""),0.006108362858451754)</f>
        <v>0.006108362858</v>
      </c>
      <c r="H267" s="4"/>
      <c r="I267" s="5" t="s">
        <v>3469</v>
      </c>
      <c r="J267" s="5" t="s">
        <v>3281</v>
      </c>
      <c r="K267" s="5">
        <v>508.0</v>
      </c>
      <c r="L267" s="5">
        <v>-2.612061</v>
      </c>
      <c r="M267" s="5">
        <v>0.296944</v>
      </c>
      <c r="N267" s="5">
        <v>-2.315116</v>
      </c>
      <c r="O267" s="5">
        <v>-0.048847</v>
      </c>
    </row>
    <row r="268">
      <c r="A268" s="18" t="str">
        <f>IFERROR(__xludf.DUMMYFUNCTION("""COMPUTED_VALUE"""),"Matteo Piccoli")</f>
        <v>Matteo Piccoli</v>
      </c>
      <c r="B268" s="19" t="str">
        <f>IFERROR(__xludf.DUMMYFUNCTION("""COMPUTED_VALUE"""),"JES")</f>
        <v>JES</v>
      </c>
      <c r="C268" s="20">
        <f>IFERROR(__xludf.DUMMYFUNCTION("""COMPUTED_VALUE"""),582.0)</f>
        <v>582</v>
      </c>
      <c r="D268" s="21">
        <f>IFERROR(__xludf.DUMMYFUNCTION("""COMPUTED_VALUE"""),-2.1571749434913134)</f>
        <v>-2.157174943</v>
      </c>
      <c r="E268" s="21">
        <f>IFERROR(__xludf.DUMMYFUNCTION("""COMPUTED_VALUE"""),1.4023340188877498)</f>
        <v>1.402334019</v>
      </c>
      <c r="F268" s="21">
        <f>IFERROR(__xludf.DUMMYFUNCTION("""COMPUTED_VALUE"""),-0.7548556246035636)</f>
        <v>-0.7548556246</v>
      </c>
      <c r="G268" s="23">
        <f>IFERROR(__xludf.DUMMYFUNCTION("""COMPUTED_VALUE"""),0.2316565651452368)</f>
        <v>0.2316565651</v>
      </c>
      <c r="H268" s="4"/>
      <c r="I268" s="5" t="s">
        <v>3470</v>
      </c>
      <c r="J268" s="5" t="s">
        <v>2838</v>
      </c>
      <c r="K268" s="5">
        <v>486.0</v>
      </c>
      <c r="L268" s="5">
        <v>-3.00061</v>
      </c>
      <c r="M268" s="5">
        <v>0.666445</v>
      </c>
      <c r="N268" s="5">
        <v>-2.334165</v>
      </c>
      <c r="O268" s="5">
        <v>-0.048673</v>
      </c>
    </row>
    <row r="269">
      <c r="A269" s="12" t="str">
        <f>IFERROR(__xludf.DUMMYFUNCTION("""COMPUTED_VALUE"""),"Lorenzo Molinaro")</f>
        <v>Lorenzo Molinaro</v>
      </c>
      <c r="B269" s="13" t="str">
        <f>IFERROR(__xludf.DUMMYFUNCTION("""COMPUTED_VALUE"""),"FER")</f>
        <v>FER</v>
      </c>
      <c r="C269" s="14">
        <f>IFERROR(__xludf.DUMMYFUNCTION("""COMPUTED_VALUE"""),577.0)</f>
        <v>577</v>
      </c>
      <c r="D269" s="15">
        <f>IFERROR(__xludf.DUMMYFUNCTION("""COMPUTED_VALUE"""),-0.5251189121421592)</f>
        <v>-0.5251189121</v>
      </c>
      <c r="E269" s="15">
        <f>IFERROR(__xludf.DUMMYFUNCTION("""COMPUTED_VALUE"""),-0.24720425567035864)</f>
        <v>-0.2472042557</v>
      </c>
      <c r="F269" s="15">
        <f>IFERROR(__xludf.DUMMYFUNCTION("""COMPUTED_VALUE"""),-0.7723421678125179)</f>
        <v>-0.7723421678</v>
      </c>
      <c r="G269" s="17">
        <f>IFERROR(__xludf.DUMMYFUNCTION("""COMPUTED_VALUE"""),0.21912441127843443)</f>
        <v>0.2191244113</v>
      </c>
      <c r="H269" s="4"/>
      <c r="I269" s="5" t="s">
        <v>3471</v>
      </c>
      <c r="J269" s="5" t="s">
        <v>3210</v>
      </c>
      <c r="K269" s="24">
        <v>448.0</v>
      </c>
      <c r="L269" s="5">
        <v>-2.242264</v>
      </c>
      <c r="M269" s="5">
        <v>-0.09372</v>
      </c>
      <c r="N269" s="5">
        <v>-2.335984</v>
      </c>
      <c r="O269" s="5">
        <v>-0.045252</v>
      </c>
    </row>
    <row r="270">
      <c r="A270" s="18" t="str">
        <f>IFERROR(__xludf.DUMMYFUNCTION("""COMPUTED_VALUE"""),"Federico Poser")</f>
        <v>Federico Poser</v>
      </c>
      <c r="B270" s="19" t="str">
        <f>IFERROR(__xludf.DUMMYFUNCTION("""COMPUTED_VALUE"""),"TREV")</f>
        <v>TREV</v>
      </c>
      <c r="C270" s="20">
        <f>IFERROR(__xludf.DUMMYFUNCTION("""COMPUTED_VALUE"""),35.0)</f>
        <v>35</v>
      </c>
      <c r="D270" s="21">
        <f>IFERROR(__xludf.DUMMYFUNCTION("""COMPUTED_VALUE"""),-0.22224808658088557)</f>
        <v>-0.2222480866</v>
      </c>
      <c r="E270" s="21">
        <f>IFERROR(__xludf.DUMMYFUNCTION("""COMPUTED_VALUE"""),-0.5510009086109443)</f>
        <v>-0.5510009086</v>
      </c>
      <c r="F270" s="21">
        <f>IFERROR(__xludf.DUMMYFUNCTION("""COMPUTED_VALUE"""),-0.7732626951918299)</f>
        <v>-0.7732626952</v>
      </c>
      <c r="G270" s="23">
        <f>IFERROR(__xludf.DUMMYFUNCTION("""COMPUTED_VALUE"""),0.02622259599945368)</f>
        <v>0.026222596</v>
      </c>
      <c r="H270" s="4"/>
      <c r="I270" s="5" t="s">
        <v>3472</v>
      </c>
      <c r="J270" s="5" t="s">
        <v>3251</v>
      </c>
      <c r="K270" s="5">
        <v>118.0</v>
      </c>
      <c r="L270" s="5">
        <v>-1.575285</v>
      </c>
      <c r="M270" s="5">
        <v>-0.76763</v>
      </c>
      <c r="N270" s="5">
        <v>-2.342916</v>
      </c>
      <c r="O270" s="5">
        <v>-0.012272</v>
      </c>
    </row>
    <row r="271">
      <c r="A271" s="12" t="str">
        <f>IFERROR(__xludf.DUMMYFUNCTION("""COMPUTED_VALUE"""),"Massimillano Bordi")</f>
        <v>Massimillano Bordi</v>
      </c>
      <c r="B271" s="13" t="str">
        <f>IFERROR(__xludf.DUMMYFUNCTION("""COMPUTED_VALUE"""),"COUR")</f>
        <v>COUR</v>
      </c>
      <c r="C271" s="14">
        <f>IFERROR(__xludf.DUMMYFUNCTION("""COMPUTED_VALUE"""),30.0)</f>
        <v>30</v>
      </c>
      <c r="D271" s="15">
        <f>IFERROR(__xludf.DUMMYFUNCTION("""COMPUTED_VALUE"""),-0.2306085715633491)</f>
        <v>-0.2306085716</v>
      </c>
      <c r="E271" s="15">
        <f>IFERROR(__xludf.DUMMYFUNCTION("""COMPUTED_VALUE"""),-0.5598535201770259)</f>
        <v>-0.5598535202</v>
      </c>
      <c r="F271" s="15">
        <f>IFERROR(__xludf.DUMMYFUNCTION("""COMPUTED_VALUE"""),-0.7905025917403751)</f>
        <v>-0.7905025917</v>
      </c>
      <c r="G271" s="17">
        <f>IFERROR(__xludf.DUMMYFUNCTION("""COMPUTED_VALUE"""),0.012872558564893692)</f>
        <v>0.01287255856</v>
      </c>
      <c r="H271" s="4"/>
      <c r="I271" s="5" t="s">
        <v>3473</v>
      </c>
      <c r="J271" s="5" t="s">
        <v>2201</v>
      </c>
      <c r="K271" s="5">
        <v>83.0</v>
      </c>
      <c r="L271" s="5">
        <v>-2.282745</v>
      </c>
      <c r="M271" s="5">
        <v>-0.15631</v>
      </c>
      <c r="N271" s="5">
        <v>-2.439055</v>
      </c>
      <c r="O271" s="5">
        <v>-0.011089</v>
      </c>
    </row>
    <row r="272">
      <c r="A272" s="18" t="str">
        <f>IFERROR(__xludf.DUMMYFUNCTION("""COMPUTED_VALUE"""),"Andrea Amato")</f>
        <v>Andrea Amato</v>
      </c>
      <c r="B272" s="19" t="str">
        <f>IFERROR(__xludf.DUMMYFUNCTION("""COMPUTED_VALUE"""),"STV")</f>
        <v>STV</v>
      </c>
      <c r="C272" s="20">
        <f>IFERROR(__xludf.DUMMYFUNCTION("""COMPUTED_VALUE"""),869.0)</f>
        <v>869</v>
      </c>
      <c r="D272" s="21">
        <f>IFERROR(__xludf.DUMMYFUNCTION("""COMPUTED_VALUE"""),1.585976553162463)</f>
        <v>1.585976553</v>
      </c>
      <c r="E272" s="21">
        <f>IFERROR(__xludf.DUMMYFUNCTION("""COMPUTED_VALUE"""),-2.3780920870689326)</f>
        <v>-2.378092087</v>
      </c>
      <c r="F272" s="21">
        <f>IFERROR(__xludf.DUMMYFUNCTION("""COMPUTED_VALUE"""),-0.7921600339064695)</f>
        <v>-0.7921600339</v>
      </c>
      <c r="G272" s="23">
        <f>IFERROR(__xludf.DUMMYFUNCTION("""COMPUTED_VALUE"""),0.34790041958121226)</f>
        <v>0.3479004196</v>
      </c>
      <c r="H272" s="4"/>
      <c r="I272" s="5" t="s">
        <v>3474</v>
      </c>
      <c r="J272" s="5" t="s">
        <v>3215</v>
      </c>
      <c r="K272" s="5">
        <v>110.0</v>
      </c>
      <c r="L272" s="5">
        <v>-2.71702</v>
      </c>
      <c r="M272" s="5">
        <v>0.229508</v>
      </c>
      <c r="N272" s="5">
        <v>-2.487513</v>
      </c>
      <c r="O272" s="5">
        <v>-0.016298</v>
      </c>
    </row>
    <row r="273">
      <c r="A273" s="12" t="str">
        <f>IFERROR(__xludf.DUMMYFUNCTION("""COMPUTED_VALUE"""),"Aristide Landi")</f>
        <v>Aristide Landi</v>
      </c>
      <c r="B273" s="13" t="str">
        <f>IFERROR(__xludf.DUMMYFUNCTION("""COMPUTED_VALUE"""),"ROM")</f>
        <v>ROM</v>
      </c>
      <c r="C273" s="14">
        <f>IFERROR(__xludf.DUMMYFUNCTION("""COMPUTED_VALUE"""),796.0)</f>
        <v>796</v>
      </c>
      <c r="D273" s="15">
        <f>IFERROR(__xludf.DUMMYFUNCTION("""COMPUTED_VALUE"""),1.2695877125400614)</f>
        <v>1.269587713</v>
      </c>
      <c r="E273" s="15">
        <f>IFERROR(__xludf.DUMMYFUNCTION("""COMPUTED_VALUE"""),-2.0636303748691884)</f>
        <v>-2.063630375</v>
      </c>
      <c r="F273" s="15">
        <f>IFERROR(__xludf.DUMMYFUNCTION("""COMPUTED_VALUE"""),-0.7940665623291271)</f>
        <v>-0.7940665623</v>
      </c>
      <c r="G273" s="17">
        <f>IFERROR(__xludf.DUMMYFUNCTION("""COMPUTED_VALUE"""),0.2882589482249947)</f>
        <v>0.2882589482</v>
      </c>
      <c r="H273" s="4"/>
      <c r="I273" s="5" t="s">
        <v>3475</v>
      </c>
      <c r="J273" s="5" t="s">
        <v>3237</v>
      </c>
      <c r="K273" s="5">
        <v>62.0</v>
      </c>
      <c r="L273" s="5">
        <v>-1.737551</v>
      </c>
      <c r="M273" s="5">
        <v>-0.763448</v>
      </c>
      <c r="N273" s="5">
        <v>-2.501</v>
      </c>
      <c r="O273" s="5">
        <v>-0.010446</v>
      </c>
    </row>
    <row r="274">
      <c r="A274" s="18" t="str">
        <f>IFERROR(__xludf.DUMMYFUNCTION("""COMPUTED_VALUE"""),"Mirko Carella")</f>
        <v>Mirko Carella</v>
      </c>
      <c r="B274" s="19" t="str">
        <f>IFERROR(__xludf.DUMMYFUNCTION("""COMPUTED_VALUE"""),"FER")</f>
        <v>FER</v>
      </c>
      <c r="C274" s="20">
        <f>IFERROR(__xludf.DUMMYFUNCTION("""COMPUTED_VALUE"""),55.0)</f>
        <v>55</v>
      </c>
      <c r="D274" s="21">
        <f>IFERROR(__xludf.DUMMYFUNCTION("""COMPUTED_VALUE"""),-0.6281813771372264)</f>
        <v>-0.6281813771</v>
      </c>
      <c r="E274" s="21">
        <f>IFERROR(__xludf.DUMMYFUNCTION("""COMPUTED_VALUE"""),-0.18393687514364665)</f>
        <v>-0.1839368751</v>
      </c>
      <c r="F274" s="21">
        <f>IFERROR(__xludf.DUMMYFUNCTION("""COMPUTED_VALUE"""),-0.8121566522808731)</f>
        <v>-0.8121566523</v>
      </c>
      <c r="G274" s="23">
        <f>IFERROR(__xludf.DUMMYFUNCTION("""COMPUTED_VALUE"""),0.02024632916323145)</f>
        <v>0.02024632916</v>
      </c>
      <c r="H274" s="4"/>
      <c r="I274" s="5" t="s">
        <v>3476</v>
      </c>
      <c r="J274" s="5" t="s">
        <v>3226</v>
      </c>
      <c r="K274" s="5">
        <v>342.0</v>
      </c>
      <c r="L274" s="5">
        <v>-2.454833</v>
      </c>
      <c r="M274" s="5">
        <v>-0.066754</v>
      </c>
      <c r="N274" s="5">
        <v>-2.521587</v>
      </c>
      <c r="O274" s="5">
        <v>-0.054463</v>
      </c>
    </row>
    <row r="275">
      <c r="A275" s="12" t="str">
        <f>IFERROR(__xludf.DUMMYFUNCTION("""COMPUTED_VALUE"""),"Alberto Ielmini")</f>
        <v>Alberto Ielmini</v>
      </c>
      <c r="B275" s="13" t="str">
        <f>IFERROR(__xludf.DUMMYFUNCTION("""COMPUTED_VALUE"""),"NCM")</f>
        <v>NCM</v>
      </c>
      <c r="C275" s="14">
        <f>IFERROR(__xludf.DUMMYFUNCTION("""COMPUTED_VALUE"""),42.0)</f>
        <v>42</v>
      </c>
      <c r="D275" s="15">
        <f>IFERROR(__xludf.DUMMYFUNCTION("""COMPUTED_VALUE"""),-1.1046965727296658)</f>
        <v>-1.104696573</v>
      </c>
      <c r="E275" s="15">
        <f>IFERROR(__xludf.DUMMYFUNCTION("""COMPUTED_VALUE"""),0.2909942819403545)</f>
        <v>0.2909942819</v>
      </c>
      <c r="F275" s="15">
        <f>IFERROR(__xludf.DUMMYFUNCTION("""COMPUTED_VALUE"""),-0.8137279907893114)</f>
        <v>-0.8137279908</v>
      </c>
      <c r="G275" s="17">
        <f>IFERROR(__xludf.DUMMYFUNCTION("""COMPUTED_VALUE"""),0.01538644333658675)</f>
        <v>0.01538644334</v>
      </c>
      <c r="H275" s="4"/>
      <c r="I275" s="5" t="s">
        <v>3065</v>
      </c>
      <c r="J275" s="5" t="s">
        <v>3281</v>
      </c>
      <c r="K275" s="5">
        <v>307.0</v>
      </c>
      <c r="L275" s="5">
        <v>-3.415105</v>
      </c>
      <c r="M275" s="5">
        <v>0.848347</v>
      </c>
      <c r="N275" s="5">
        <v>-2.566758</v>
      </c>
      <c r="O275" s="5">
        <v>-0.053103</v>
      </c>
    </row>
    <row r="276">
      <c r="A276" s="18" t="str">
        <f>IFERROR(__xludf.DUMMYFUNCTION("""COMPUTED_VALUE"""),"Melsahn Basabe")</f>
        <v>Melsahn Basabe</v>
      </c>
      <c r="B276" s="19" t="str">
        <f>IFERROR(__xludf.DUMMYFUNCTION("""COMPUTED_VALUE"""),"COUR")</f>
        <v>COUR</v>
      </c>
      <c r="C276" s="20">
        <f>IFERROR(__xludf.DUMMYFUNCTION("""COMPUTED_VALUE"""),305.0)</f>
        <v>305</v>
      </c>
      <c r="D276" s="21">
        <f>IFERROR(__xludf.DUMMYFUNCTION("""COMPUTED_VALUE"""),-0.5606739608293564)</f>
        <v>-0.5606739608</v>
      </c>
      <c r="E276" s="21">
        <f>IFERROR(__xludf.DUMMYFUNCTION("""COMPUTED_VALUE"""),-0.255819654236327)</f>
        <v>-0.2558196542</v>
      </c>
      <c r="F276" s="21">
        <f>IFERROR(__xludf.DUMMYFUNCTION("""COMPUTED_VALUE"""),-0.8165360150656834)</f>
        <v>-0.8165360151</v>
      </c>
      <c r="G276" s="23">
        <f>IFERROR(__xludf.DUMMYFUNCTION("""COMPUTED_VALUE"""),0.127693635227292)</f>
        <v>0.1276936352</v>
      </c>
      <c r="H276" s="4"/>
      <c r="I276" s="5" t="s">
        <v>3477</v>
      </c>
      <c r="J276" s="5" t="s">
        <v>3283</v>
      </c>
      <c r="K276" s="5">
        <v>569.0</v>
      </c>
      <c r="L276" s="5">
        <v>-0.577801</v>
      </c>
      <c r="M276" s="5">
        <v>-1.997607</v>
      </c>
      <c r="N276" s="5">
        <v>-2.575408</v>
      </c>
      <c r="O276" s="5">
        <v>-0.099489</v>
      </c>
    </row>
    <row r="277">
      <c r="A277" s="12" t="str">
        <f>IFERROR(__xludf.DUMMYFUNCTION("""COMPUTED_VALUE"""),"Matteo Chillo")</f>
        <v>Matteo Chillo</v>
      </c>
      <c r="B277" s="13" t="str">
        <f>IFERROR(__xludf.DUMMYFUNCTION("""COMPUTED_VALUE"""),"BOL")</f>
        <v>BOL</v>
      </c>
      <c r="C277" s="14">
        <f>IFERROR(__xludf.DUMMYFUNCTION("""COMPUTED_VALUE"""),497.0)</f>
        <v>497</v>
      </c>
      <c r="D277" s="15">
        <f>IFERROR(__xludf.DUMMYFUNCTION("""COMPUTED_VALUE"""),-1.2481722743920416)</f>
        <v>-1.248172274</v>
      </c>
      <c r="E277" s="15">
        <f>IFERROR(__xludf.DUMMYFUNCTION("""COMPUTED_VALUE"""),0.42677520417419407)</f>
        <v>0.4267752042</v>
      </c>
      <c r="F277" s="15">
        <f>IFERROR(__xludf.DUMMYFUNCTION("""COMPUTED_VALUE"""),-0.8214330702178475)</f>
        <v>-0.8214330702</v>
      </c>
      <c r="G277" s="17">
        <f>IFERROR(__xludf.DUMMYFUNCTION("""COMPUTED_VALUE"""),0.17907396386574617)</f>
        <v>0.1790739639</v>
      </c>
      <c r="H277" s="4"/>
      <c r="I277" s="5" t="s">
        <v>3478</v>
      </c>
      <c r="J277" s="5" t="s">
        <v>3217</v>
      </c>
      <c r="K277" s="5">
        <v>579.0</v>
      </c>
      <c r="L277" s="5">
        <v>-3.084038</v>
      </c>
      <c r="M277" s="5">
        <v>0.508137</v>
      </c>
      <c r="N277" s="5">
        <v>-2.575901</v>
      </c>
      <c r="O277" s="5">
        <v>-0.100321</v>
      </c>
    </row>
    <row r="278">
      <c r="A278" s="18" t="str">
        <f>IFERROR(__xludf.DUMMYFUNCTION("""COMPUTED_VALUE"""),"Francesco Ihedioha")</f>
        <v>Francesco Ihedioha</v>
      </c>
      <c r="B278" s="19" t="str">
        <f>IFERROR(__xludf.DUMMYFUNCTION("""COMPUTED_VALUE"""),"JES")</f>
        <v>JES</v>
      </c>
      <c r="C278" s="20">
        <f>IFERROR(__xludf.DUMMYFUNCTION("""COMPUTED_VALUE"""),853.0)</f>
        <v>853</v>
      </c>
      <c r="D278" s="21">
        <f>IFERROR(__xludf.DUMMYFUNCTION("""COMPUTED_VALUE"""),-2.494918139891367)</f>
        <v>-2.49491814</v>
      </c>
      <c r="E278" s="21">
        <f>IFERROR(__xludf.DUMMYFUNCTION("""COMPUTED_VALUE"""),1.6510714182864505)</f>
        <v>1.651071418</v>
      </c>
      <c r="F278" s="21">
        <f>IFERROR(__xludf.DUMMYFUNCTION("""COMPUTED_VALUE"""),-0.8438723216049167)</f>
        <v>-0.8438723216</v>
      </c>
      <c r="G278" s="23">
        <f>IFERROR(__xludf.DUMMYFUNCTION("""COMPUTED_VALUE"""),0.3152567941256437)</f>
        <v>0.3152567941</v>
      </c>
      <c r="H278" s="4"/>
      <c r="I278" s="5" t="s">
        <v>3479</v>
      </c>
      <c r="J278" s="5" t="s">
        <v>3263</v>
      </c>
      <c r="K278" s="5">
        <v>311.0</v>
      </c>
      <c r="L278" s="5">
        <v>-0.881069</v>
      </c>
      <c r="M278" s="5">
        <v>-1.715344</v>
      </c>
      <c r="N278" s="5">
        <v>-2.596413</v>
      </c>
      <c r="O278" s="5">
        <v>-0.055784</v>
      </c>
    </row>
    <row r="279">
      <c r="A279" s="12" t="str">
        <f>IFERROR(__xludf.DUMMYFUNCTION("""COMPUTED_VALUE"""),"Rodolfo Valenti, Jr.")</f>
        <v>Rodolfo Valenti, Jr.</v>
      </c>
      <c r="B279" s="13" t="str">
        <f>IFERROR(__xludf.DUMMYFUNCTION("""COMPUTED_VALUE"""),"GAGA")</f>
        <v>GAGA</v>
      </c>
      <c r="C279" s="14">
        <f>IFERROR(__xludf.DUMMYFUNCTION("""COMPUTED_VALUE"""),273.0)</f>
        <v>273</v>
      </c>
      <c r="D279" s="15">
        <f>IFERROR(__xludf.DUMMYFUNCTION("""COMPUTED_VALUE"""),-0.3680803162308701)</f>
        <v>-0.3680803162</v>
      </c>
      <c r="E279" s="15">
        <f>IFERROR(__xludf.DUMMYFUNCTION("""COMPUTED_VALUE"""),-0.47639866900030037)</f>
        <v>-0.476398669</v>
      </c>
      <c r="F279" s="15">
        <f>IFERROR(__xludf.DUMMYFUNCTION("""COMPUTED_VALUE"""),-0.8444819852311705)</f>
        <v>-0.8444819852</v>
      </c>
      <c r="G279" s="17">
        <f>IFERROR(__xludf.DUMMYFUNCTION("""COMPUTED_VALUE"""),0.09230807761678096)</f>
        <v>0.09230807762</v>
      </c>
      <c r="H279" s="4"/>
      <c r="I279" s="5" t="s">
        <v>1165</v>
      </c>
      <c r="J279" s="5" t="s">
        <v>3263</v>
      </c>
      <c r="K279" s="5">
        <v>98.0</v>
      </c>
      <c r="L279" s="5">
        <v>-1.183657</v>
      </c>
      <c r="M279" s="5">
        <v>-1.437267</v>
      </c>
      <c r="N279" s="5">
        <v>-2.620925</v>
      </c>
      <c r="O279" s="5">
        <v>-0.018233</v>
      </c>
    </row>
    <row r="280">
      <c r="A280" s="18" t="str">
        <f>IFERROR(__xludf.DUMMYFUNCTION("""COMPUTED_VALUE"""),"Rei Pullazi")</f>
        <v>Rei Pullazi</v>
      </c>
      <c r="B280" s="19" t="str">
        <f>IFERROR(__xludf.DUMMYFUNCTION("""COMPUTED_VALUE"""),"LEGN")</f>
        <v>LEGN</v>
      </c>
      <c r="C280" s="20">
        <f>IFERROR(__xludf.DUMMYFUNCTION("""COMPUTED_VALUE"""),717.0)</f>
        <v>717</v>
      </c>
      <c r="D280" s="21">
        <f>IFERROR(__xludf.DUMMYFUNCTION("""COMPUTED_VALUE"""),0.374264144148572)</f>
        <v>0.3742641441</v>
      </c>
      <c r="E280" s="21">
        <f>IFERROR(__xludf.DUMMYFUNCTION("""COMPUTED_VALUE"""),-1.2350366639084822)</f>
        <v>-1.235036664</v>
      </c>
      <c r="F280" s="21">
        <f>IFERROR(__xludf.DUMMYFUNCTION("""COMPUTED_VALUE"""),-0.8607858197599102)</f>
        <v>-0.8607858198</v>
      </c>
      <c r="G280" s="23">
        <f>IFERROR(__xludf.DUMMYFUNCTION("""COMPUTED_VALUE"""),0.24810300748882436)</f>
        <v>0.2481030075</v>
      </c>
      <c r="H280" s="4"/>
      <c r="I280" s="5" t="s">
        <v>3480</v>
      </c>
      <c r="J280" s="5" t="s">
        <v>3283</v>
      </c>
      <c r="K280" s="5">
        <v>140.0</v>
      </c>
      <c r="L280" s="5">
        <v>-1.6226</v>
      </c>
      <c r="M280" s="5">
        <v>-1.005716</v>
      </c>
      <c r="N280" s="5">
        <v>-2.628315</v>
      </c>
      <c r="O280" s="5">
        <v>-0.026763</v>
      </c>
    </row>
    <row r="281">
      <c r="A281" s="12" t="str">
        <f>IFERROR(__xludf.DUMMYFUNCTION("""COMPUTED_VALUE"""),"Michelle Ferri")</f>
        <v>Michelle Ferri</v>
      </c>
      <c r="B281" s="13" t="str">
        <f>IFERROR(__xludf.DUMMYFUNCTION("""COMPUTED_VALUE"""),"BERG")</f>
        <v>BERG</v>
      </c>
      <c r="C281" s="14">
        <f>IFERROR(__xludf.DUMMYFUNCTION("""COMPUTED_VALUE"""),877.0)</f>
        <v>877</v>
      </c>
      <c r="D281" s="15">
        <f>IFERROR(__xludf.DUMMYFUNCTION("""COMPUTED_VALUE"""),-1.3497229909486514)</f>
        <v>-1.349722991</v>
      </c>
      <c r="E281" s="15">
        <f>IFERROR(__xludf.DUMMYFUNCTION("""COMPUTED_VALUE"""),0.45431508492202394)</f>
        <v>0.4543150849</v>
      </c>
      <c r="F281" s="15">
        <f>IFERROR(__xludf.DUMMYFUNCTION("""COMPUTED_VALUE"""),-0.8954377060266275)</f>
        <v>-0.895437706</v>
      </c>
      <c r="G281" s="17">
        <f>IFERROR(__xludf.DUMMYFUNCTION("""COMPUTED_VALUE"""),0.30964789396320924)</f>
        <v>0.309647894</v>
      </c>
      <c r="H281" s="4"/>
      <c r="I281" s="5" t="s">
        <v>3481</v>
      </c>
      <c r="J281" s="5" t="s">
        <v>3233</v>
      </c>
      <c r="K281" s="5">
        <v>93.0</v>
      </c>
      <c r="L281" s="5">
        <v>-1.530837</v>
      </c>
      <c r="M281" s="5">
        <v>-1.121027</v>
      </c>
      <c r="N281" s="5">
        <v>-2.651864</v>
      </c>
      <c r="O281" s="5">
        <v>-0.01782</v>
      </c>
    </row>
    <row r="282">
      <c r="A282" s="18" t="str">
        <f>IFERROR(__xludf.DUMMYFUNCTION("""COMPUTED_VALUE"""),"Alfonso Di Ianni")</f>
        <v>Alfonso Di Ianni</v>
      </c>
      <c r="B282" s="19" t="str">
        <f>IFERROR(__xludf.DUMMYFUNCTION("""COMPUTED_VALUE"""),"LAT")</f>
        <v>LAT</v>
      </c>
      <c r="C282" s="20">
        <f>IFERROR(__xludf.DUMMYFUNCTION("""COMPUTED_VALUE"""),358.0)</f>
        <v>358</v>
      </c>
      <c r="D282" s="21">
        <f>IFERROR(__xludf.DUMMYFUNCTION("""COMPUTED_VALUE"""),-1.859563579160409)</f>
        <v>-1.859563579</v>
      </c>
      <c r="E282" s="21">
        <f>IFERROR(__xludf.DUMMYFUNCTION("""COMPUTED_VALUE"""),0.9639029927691474)</f>
        <v>0.9639029928</v>
      </c>
      <c r="F282" s="21">
        <f>IFERROR(__xludf.DUMMYFUNCTION("""COMPUTED_VALUE"""),-0.8956931863912617)</f>
        <v>-0.8956931864</v>
      </c>
      <c r="G282" s="23">
        <f>IFERROR(__xludf.DUMMYFUNCTION("""COMPUTED_VALUE"""),0.1284734651720253)</f>
        <v>0.1284734652</v>
      </c>
      <c r="H282" s="4"/>
      <c r="I282" s="5" t="s">
        <v>930</v>
      </c>
      <c r="J282" s="5" t="s">
        <v>3256</v>
      </c>
      <c r="K282" s="5">
        <v>419.0</v>
      </c>
      <c r="L282" s="5">
        <v>-4.45482</v>
      </c>
      <c r="M282" s="5">
        <v>1.764793</v>
      </c>
      <c r="N282" s="5">
        <v>-2.690027</v>
      </c>
      <c r="O282" s="5">
        <v>-0.087771</v>
      </c>
    </row>
    <row r="283">
      <c r="A283" s="12" t="str">
        <f>IFERROR(__xludf.DUMMYFUNCTION("""COMPUTED_VALUE"""),"Tommaso Carnovali")</f>
        <v>Tommaso Carnovali</v>
      </c>
      <c r="B283" s="13" t="str">
        <f>IFERROR(__xludf.DUMMYFUNCTION("""COMPUTED_VALUE"""),"TREV")</f>
        <v>TREV</v>
      </c>
      <c r="C283" s="14">
        <f>IFERROR(__xludf.DUMMYFUNCTION("""COMPUTED_VALUE"""),146.0)</f>
        <v>146</v>
      </c>
      <c r="D283" s="15">
        <f>IFERROR(__xludf.DUMMYFUNCTION("""COMPUTED_VALUE"""),0.6117078196669999)</f>
        <v>0.6117078197</v>
      </c>
      <c r="E283" s="15">
        <f>IFERROR(__xludf.DUMMYFUNCTION("""COMPUTED_VALUE"""),-1.536749713042521)</f>
        <v>-1.536749713</v>
      </c>
      <c r="F283" s="15">
        <f>IFERROR(__xludf.DUMMYFUNCTION("""COMPUTED_VALUE"""),-0.925079993375521)</f>
        <v>-0.9250799934</v>
      </c>
      <c r="G283" s="17">
        <f>IFERROR(__xludf.DUMMYFUNCTION("""COMPUTED_VALUE"""),0.09583646848375936)</f>
        <v>0.09583646848</v>
      </c>
      <c r="H283" s="4"/>
      <c r="I283" s="5" t="s">
        <v>3482</v>
      </c>
      <c r="J283" s="5" t="s">
        <v>3278</v>
      </c>
      <c r="K283" s="5">
        <v>185.0</v>
      </c>
      <c r="L283" s="5">
        <v>-0.482759</v>
      </c>
      <c r="M283" s="5">
        <v>-2.273796</v>
      </c>
      <c r="N283" s="5">
        <v>-2.756556</v>
      </c>
      <c r="O283" s="5">
        <v>-0.042222</v>
      </c>
    </row>
    <row r="284">
      <c r="A284" s="18" t="str">
        <f>IFERROR(__xludf.DUMMYFUNCTION("""COMPUTED_VALUE"""),"Marco Maganza")</f>
        <v>Marco Maganza</v>
      </c>
      <c r="B284" s="19" t="str">
        <f>IFERROR(__xludf.DUMMYFUNCTION("""COMPUTED_VALUE"""),"STV")</f>
        <v>STV</v>
      </c>
      <c r="C284" s="20">
        <f>IFERROR(__xludf.DUMMYFUNCTION("""COMPUTED_VALUE"""),53.0)</f>
        <v>53</v>
      </c>
      <c r="D284" s="21">
        <f>IFERROR(__xludf.DUMMYFUNCTION("""COMPUTED_VALUE"""),-0.4515557750727875)</f>
        <v>-0.4515557751</v>
      </c>
      <c r="E284" s="21">
        <f>IFERROR(__xludf.DUMMYFUNCTION("""COMPUTED_VALUE"""),-0.5030359212792301)</f>
        <v>-0.5030359213</v>
      </c>
      <c r="F284" s="21">
        <f>IFERROR(__xludf.DUMMYFUNCTION("""COMPUTED_VALUE"""),-0.9546141963520176)</f>
        <v>-0.9546141964</v>
      </c>
      <c r="G284" s="23">
        <f>IFERROR(__xludf.DUMMYFUNCTION("""COMPUTED_VALUE"""),0.01838461460596449)</f>
        <v>0.01838461461</v>
      </c>
      <c r="H284" s="4"/>
      <c r="I284" s="5" t="s">
        <v>3483</v>
      </c>
      <c r="J284" s="5" t="s">
        <v>3263</v>
      </c>
      <c r="K284" s="24">
        <v>183.0</v>
      </c>
      <c r="L284" s="5">
        <v>-2.157038</v>
      </c>
      <c r="M284" s="5">
        <v>-0.609595</v>
      </c>
      <c r="N284" s="5">
        <v>-2.766632</v>
      </c>
      <c r="O284" s="5">
        <v>-0.042189</v>
      </c>
    </row>
    <row r="285">
      <c r="A285" s="12" t="str">
        <f>IFERROR(__xludf.DUMMYFUNCTION("""COMPUTED_VALUE"""),"Gabriele Ganeto")</f>
        <v>Gabriele Ganeto</v>
      </c>
      <c r="B285" s="13" t="str">
        <f>IFERROR(__xludf.DUMMYFUNCTION("""COMPUTED_VALUE"""),"TRA")</f>
        <v>TRA</v>
      </c>
      <c r="C285" s="14">
        <f>IFERROR(__xludf.DUMMYFUNCTION("""COMPUTED_VALUE"""),932.0)</f>
        <v>932</v>
      </c>
      <c r="D285" s="15">
        <f>IFERROR(__xludf.DUMMYFUNCTION("""COMPUTED_VALUE"""),0.4805731327044842)</f>
        <v>0.4805731327</v>
      </c>
      <c r="E285" s="15">
        <f>IFERROR(__xludf.DUMMYFUNCTION("""COMPUTED_VALUE"""),-1.4450057572197288)</f>
        <v>-1.445005757</v>
      </c>
      <c r="F285" s="15">
        <f>IFERROR(__xludf.DUMMYFUNCTION("""COMPUTED_VALUE"""),-0.9644611245152446)</f>
        <v>-0.9644611245</v>
      </c>
      <c r="G285" s="17">
        <f>IFERROR(__xludf.DUMMYFUNCTION("""COMPUTED_VALUE"""),0.2988839962833607)</f>
        <v>0.2988839963</v>
      </c>
      <c r="H285" s="4"/>
      <c r="I285" s="5" t="s">
        <v>3484</v>
      </c>
      <c r="J285" s="5" t="s">
        <v>3233</v>
      </c>
      <c r="K285" s="5">
        <v>271.0</v>
      </c>
      <c r="L285" s="5">
        <v>-1.61059</v>
      </c>
      <c r="M285" s="5">
        <v>-1.225871</v>
      </c>
      <c r="N285" s="5">
        <v>-2.836461</v>
      </c>
      <c r="O285" s="5">
        <v>-0.066893</v>
      </c>
    </row>
    <row r="286">
      <c r="A286" s="18" t="str">
        <f>IFERROR(__xludf.DUMMYFUNCTION("""COMPUTED_VALUE"""),"Ryan Martin")</f>
        <v>Ryan Martin</v>
      </c>
      <c r="B286" s="19" t="str">
        <f>IFERROR(__xludf.DUMMYFUNCTION("""COMPUTED_VALUE"""),"RIET")</f>
        <v>RIET</v>
      </c>
      <c r="C286" s="20">
        <f>IFERROR(__xludf.DUMMYFUNCTION("""COMPUTED_VALUE"""),53.0)</f>
        <v>53</v>
      </c>
      <c r="D286" s="21">
        <f>IFERROR(__xludf.DUMMYFUNCTION("""COMPUTED_VALUE"""),-1.0584451272805842)</f>
        <v>-1.058445127</v>
      </c>
      <c r="E286" s="21">
        <f>IFERROR(__xludf.DUMMYFUNCTION("""COMPUTED_VALUE"""),0.09388285956329773)</f>
        <v>0.09388285956</v>
      </c>
      <c r="F286" s="21">
        <f>IFERROR(__xludf.DUMMYFUNCTION("""COMPUTED_VALUE"""),-0.9645834677172864)</f>
        <v>-0.9645834677</v>
      </c>
      <c r="G286" s="23">
        <f>IFERROR(__xludf.DUMMYFUNCTION("""COMPUTED_VALUE"""),0.018735759192374576)</f>
        <v>0.01873575919</v>
      </c>
      <c r="H286" s="4"/>
      <c r="I286" s="5" t="s">
        <v>3485</v>
      </c>
      <c r="J286" s="5" t="s">
        <v>3256</v>
      </c>
      <c r="K286" s="5">
        <v>317.0</v>
      </c>
      <c r="L286" s="5">
        <v>-2.180145</v>
      </c>
      <c r="M286" s="5">
        <v>-0.722607</v>
      </c>
      <c r="N286" s="5">
        <v>-2.902752</v>
      </c>
      <c r="O286" s="5">
        <v>-0.086773</v>
      </c>
    </row>
    <row r="287">
      <c r="A287" s="12" t="str">
        <f>IFERROR(__xludf.DUMMYFUNCTION("""COMPUTED_VALUE"""),"Valerio Costa")</f>
        <v>Valerio Costa</v>
      </c>
      <c r="B287" s="13" t="str">
        <f>IFERROR(__xludf.DUMMYFUNCTION("""COMPUTED_VALUE"""),"CAS")</f>
        <v>CAS</v>
      </c>
      <c r="C287" s="14">
        <f>IFERROR(__xludf.DUMMYFUNCTION("""COMPUTED_VALUE"""),28.0)</f>
        <v>28</v>
      </c>
      <c r="D287" s="15">
        <f>IFERROR(__xludf.DUMMYFUNCTION("""COMPUTED_VALUE"""),-1.1585567552274576)</f>
        <v>-1.158556755</v>
      </c>
      <c r="E287" s="15">
        <f>IFERROR(__xludf.DUMMYFUNCTION("""COMPUTED_VALUE"""),0.17959545214670913)</f>
        <v>0.1795954521</v>
      </c>
      <c r="F287" s="15">
        <f>IFERROR(__xludf.DUMMYFUNCTION("""COMPUTED_VALUE"""),-0.9789957030807485)</f>
        <v>-0.9789957031</v>
      </c>
      <c r="G287" s="17">
        <f>IFERROR(__xludf.DUMMYFUNCTION("""COMPUTED_VALUE"""),0.009108878607092936)</f>
        <v>0.009108878607</v>
      </c>
      <c r="H287" s="4"/>
      <c r="I287" s="5" t="s">
        <v>3486</v>
      </c>
      <c r="J287" s="5" t="s">
        <v>3283</v>
      </c>
      <c r="K287" s="5">
        <v>92.0</v>
      </c>
      <c r="L287" s="5">
        <v>-2.150085</v>
      </c>
      <c r="M287" s="5">
        <v>-0.775334</v>
      </c>
      <c r="N287" s="5">
        <v>-2.925418</v>
      </c>
      <c r="O287" s="5">
        <v>-0.025726</v>
      </c>
    </row>
    <row r="288">
      <c r="A288" s="18" t="str">
        <f>IFERROR(__xludf.DUMMYFUNCTION("""COMPUTED_VALUE"""),"Roberto Prandin")</f>
        <v>Roberto Prandin</v>
      </c>
      <c r="B288" s="19" t="str">
        <f>IFERROR(__xludf.DUMMYFUNCTION("""COMPUTED_VALUE"""),"TRIE")</f>
        <v>TRIE</v>
      </c>
      <c r="C288" s="20">
        <f>IFERROR(__xludf.DUMMYFUNCTION("""COMPUTED_VALUE"""),668.0)</f>
        <v>668</v>
      </c>
      <c r="D288" s="21">
        <f>IFERROR(__xludf.DUMMYFUNCTION("""COMPUTED_VALUE"""),-0.44483140802451027)</f>
        <v>-0.444831408</v>
      </c>
      <c r="E288" s="21">
        <f>IFERROR(__xludf.DUMMYFUNCTION("""COMPUTED_VALUE"""),-0.5345996960401792)</f>
        <v>-0.534599696</v>
      </c>
      <c r="F288" s="21">
        <f>IFERROR(__xludf.DUMMYFUNCTION("""COMPUTED_VALUE"""),-0.9794446040646895)</f>
        <v>-0.9794446041</v>
      </c>
      <c r="G288" s="23">
        <f>IFERROR(__xludf.DUMMYFUNCTION("""COMPUTED_VALUE"""),0.21024733934209877)</f>
        <v>0.2102473393</v>
      </c>
      <c r="H288" s="4"/>
      <c r="I288" s="5" t="s">
        <v>3487</v>
      </c>
      <c r="J288" s="5" t="s">
        <v>3240</v>
      </c>
      <c r="K288" s="5">
        <v>245.0</v>
      </c>
      <c r="L288" s="5">
        <v>-2.728893</v>
      </c>
      <c r="M288" s="5">
        <v>-0.227601</v>
      </c>
      <c r="N288" s="5">
        <v>-2.956494</v>
      </c>
      <c r="O288" s="5">
        <v>-0.071373</v>
      </c>
    </row>
    <row r="289">
      <c r="A289" s="12" t="str">
        <f>IFERROR(__xludf.DUMMYFUNCTION("""COMPUTED_VALUE"""),"Edoardo Angius")</f>
        <v>Edoardo Angius</v>
      </c>
      <c r="B289" s="13" t="str">
        <f>IFERROR(__xludf.DUMMYFUNCTION("""COMPUTED_VALUE"""),"CAGL")</f>
        <v>CAGL</v>
      </c>
      <c r="C289" s="14">
        <f>IFERROR(__xludf.DUMMYFUNCTION("""COMPUTED_VALUE"""),22.0)</f>
        <v>22</v>
      </c>
      <c r="D289" s="15">
        <f>IFERROR(__xludf.DUMMYFUNCTION("""COMPUTED_VALUE"""),-0.7171356038895674)</f>
        <v>-0.7171356039</v>
      </c>
      <c r="E289" s="15">
        <f>IFERROR(__xludf.DUMMYFUNCTION("""COMPUTED_VALUE"""),-0.2691185101360119)</f>
        <v>-0.2691185101</v>
      </c>
      <c r="F289" s="15">
        <f>IFERROR(__xludf.DUMMYFUNCTION("""COMPUTED_VALUE"""),-0.9862977140255793)</f>
        <v>-0.986297714</v>
      </c>
      <c r="G289" s="17">
        <f>IFERROR(__xludf.DUMMYFUNCTION("""COMPUTED_VALUE"""),0.006814610107712961)</f>
        <v>0.006814610108</v>
      </c>
      <c r="H289" s="4"/>
      <c r="I289" s="5" t="s">
        <v>3488</v>
      </c>
      <c r="J289" s="5" t="s">
        <v>3223</v>
      </c>
      <c r="K289" s="5">
        <v>157.0</v>
      </c>
      <c r="L289" s="5">
        <v>-1.91862</v>
      </c>
      <c r="M289" s="5">
        <v>-1.039035</v>
      </c>
      <c r="N289" s="5">
        <v>-2.957655</v>
      </c>
      <c r="O289" s="5">
        <v>-0.045549</v>
      </c>
    </row>
    <row r="290">
      <c r="A290" s="18" t="str">
        <f>IFERROR(__xludf.DUMMYFUNCTION("""COMPUTED_VALUE"""),"Riccardo Moraschini")</f>
        <v>Riccardo Moraschini</v>
      </c>
      <c r="B290" s="19" t="str">
        <f>IFERROR(__xludf.DUMMYFUNCTION("""COMPUTED_VALUE"""),"MAN")</f>
        <v>MAN</v>
      </c>
      <c r="C290" s="20">
        <f>IFERROR(__xludf.DUMMYFUNCTION("""COMPUTED_VALUE"""),815.0)</f>
        <v>815</v>
      </c>
      <c r="D290" s="21">
        <f>IFERROR(__xludf.DUMMYFUNCTION("""COMPUTED_VALUE"""),-1.35127317436852)</f>
        <v>-1.351273174</v>
      </c>
      <c r="E290" s="21">
        <f>IFERROR(__xludf.DUMMYFUNCTION("""COMPUTED_VALUE"""),0.354047727092623)</f>
        <v>0.3540477271</v>
      </c>
      <c r="F290" s="21">
        <f>IFERROR(__xludf.DUMMYFUNCTION("""COMPUTED_VALUE"""),-0.997243847275897)</f>
        <v>-0.9972438473</v>
      </c>
      <c r="G290" s="23">
        <f>IFERROR(__xludf.DUMMYFUNCTION("""COMPUTED_VALUE"""),0.25783726331099416)</f>
        <v>0.2578372633</v>
      </c>
      <c r="H290" s="4"/>
      <c r="I290" s="5" t="s">
        <v>3489</v>
      </c>
      <c r="J290" s="5" t="s">
        <v>3215</v>
      </c>
      <c r="K290" s="5">
        <v>117.0</v>
      </c>
      <c r="L290" s="5">
        <v>-0.952545</v>
      </c>
      <c r="M290" s="5">
        <v>-2.006973</v>
      </c>
      <c r="N290" s="5">
        <v>-2.959518</v>
      </c>
      <c r="O290" s="5">
        <v>-0.034176</v>
      </c>
    </row>
    <row r="291">
      <c r="A291" s="12" t="str">
        <f>IFERROR(__xludf.DUMMYFUNCTION("""COMPUTED_VALUE"""),"Daniele Cinciarini")</f>
        <v>Daniele Cinciarini</v>
      </c>
      <c r="B291" s="13" t="str">
        <f>IFERROR(__xludf.DUMMYFUNCTION("""COMPUTED_VALUE"""),"BOL")</f>
        <v>BOL</v>
      </c>
      <c r="C291" s="14">
        <f>IFERROR(__xludf.DUMMYFUNCTION("""COMPUTED_VALUE"""),976.0)</f>
        <v>976</v>
      </c>
      <c r="D291" s="15">
        <f>IFERROR(__xludf.DUMMYFUNCTION("""COMPUTED_VALUE"""),0.2458269233953617)</f>
        <v>0.2458269234</v>
      </c>
      <c r="E291" s="15">
        <f>IFERROR(__xludf.DUMMYFUNCTION("""COMPUTED_VALUE"""),-1.2464221239655906)</f>
        <v>-1.246422124</v>
      </c>
      <c r="F291" s="15">
        <f>IFERROR(__xludf.DUMMYFUNCTION("""COMPUTED_VALUE"""),-1.000630600570229)</f>
        <v>-1.000630601</v>
      </c>
      <c r="G291" s="17">
        <f>IFERROR(__xludf.DUMMYFUNCTION("""COMPUTED_VALUE"""),0.2981686095962442)</f>
        <v>0.2981686096</v>
      </c>
      <c r="H291" s="4"/>
      <c r="I291" s="5" t="s">
        <v>1169</v>
      </c>
      <c r="J291" s="5" t="s">
        <v>3215</v>
      </c>
      <c r="K291" s="5">
        <v>848.0</v>
      </c>
      <c r="L291" s="5">
        <v>0.091624</v>
      </c>
      <c r="M291" s="5">
        <v>-3.065669</v>
      </c>
      <c r="N291" s="5">
        <v>-2.974045</v>
      </c>
      <c r="O291" s="5">
        <v>-0.250839</v>
      </c>
    </row>
    <row r="292">
      <c r="A292" s="18" t="str">
        <f>IFERROR(__xludf.DUMMYFUNCTION("""COMPUTED_VALUE"""),"Marco Montanari")</f>
        <v>Marco Montanari</v>
      </c>
      <c r="B292" s="19" t="str">
        <f>IFERROR(__xludf.DUMMYFUNCTION("""COMPUTED_VALUE"""),"BOL")</f>
        <v>BOL</v>
      </c>
      <c r="C292" s="20">
        <f>IFERROR(__xludf.DUMMYFUNCTION("""COMPUTED_VALUE"""),23.0)</f>
        <v>23</v>
      </c>
      <c r="D292" s="21">
        <f>IFERROR(__xludf.DUMMYFUNCTION("""COMPUTED_VALUE"""),-0.8490228628580662)</f>
        <v>-0.8490228629</v>
      </c>
      <c r="E292" s="21">
        <f>IFERROR(__xludf.DUMMYFUNCTION("""COMPUTED_VALUE"""),-0.17128824765555192)</f>
        <v>-0.1712882477</v>
      </c>
      <c r="F292" s="21">
        <f>IFERROR(__xludf.DUMMYFUNCTION("""COMPUTED_VALUE"""),-1.020329910513618)</f>
        <v>-1.020329911</v>
      </c>
      <c r="G292" s="23">
        <f>IFERROR(__xludf.DUMMYFUNCTION("""COMPUTED_VALUE"""),0.006905991762598203)</f>
        <v>0.006905991763</v>
      </c>
      <c r="H292" s="4"/>
      <c r="I292" s="5" t="s">
        <v>3490</v>
      </c>
      <c r="J292" s="5" t="s">
        <v>3205</v>
      </c>
      <c r="K292" s="5">
        <v>185.0</v>
      </c>
      <c r="L292" s="5">
        <v>-1.609941</v>
      </c>
      <c r="M292" s="5">
        <v>-1.36459</v>
      </c>
      <c r="N292" s="5">
        <v>-2.974531</v>
      </c>
      <c r="O292" s="5">
        <v>-0.054713</v>
      </c>
    </row>
    <row r="293">
      <c r="A293" s="12" t="str">
        <f>IFERROR(__xludf.DUMMYFUNCTION("""COMPUTED_VALUE"""),"Marco Santiangeli")</f>
        <v>Marco Santiangeli</v>
      </c>
      <c r="B293" s="13" t="str">
        <f>IFERROR(__xludf.DUMMYFUNCTION("""COMPUTED_VALUE"""),"SCAF")</f>
        <v>SCAF</v>
      </c>
      <c r="C293" s="14">
        <f>IFERROR(__xludf.DUMMYFUNCTION("""COMPUTED_VALUE"""),913.0)</f>
        <v>913</v>
      </c>
      <c r="D293" s="15">
        <f>IFERROR(__xludf.DUMMYFUNCTION("""COMPUTED_VALUE"""),-0.09848059219607273)</f>
        <v>-0.0984805922</v>
      </c>
      <c r="E293" s="15">
        <f>IFERROR(__xludf.DUMMYFUNCTION("""COMPUTED_VALUE"""),-0.9309579550041278)</f>
        <v>-0.930957955</v>
      </c>
      <c r="F293" s="15">
        <f>IFERROR(__xludf.DUMMYFUNCTION("""COMPUTED_VALUE"""),-1.0294476472002005)</f>
        <v>-1.029447647</v>
      </c>
      <c r="G293" s="17">
        <f>IFERROR(__xludf.DUMMYFUNCTION("""COMPUTED_VALUE"""),0.284277809120151)</f>
        <v>0.2842778091</v>
      </c>
      <c r="H293" s="4"/>
      <c r="I293" s="5" t="s">
        <v>3491</v>
      </c>
      <c r="J293" s="5" t="s">
        <v>644</v>
      </c>
      <c r="K293" s="5">
        <v>553.0</v>
      </c>
      <c r="L293" s="5">
        <v>-1.642326</v>
      </c>
      <c r="M293" s="5">
        <v>-1.336164</v>
      </c>
      <c r="N293" s="5">
        <v>-2.97849</v>
      </c>
      <c r="O293" s="5">
        <v>-0.164152</v>
      </c>
    </row>
    <row r="294">
      <c r="A294" s="18" t="str">
        <f>IFERROR(__xludf.DUMMYFUNCTION("""COMPUTED_VALUE"""),"Luigi Sergio")</f>
        <v>Luigi Sergio</v>
      </c>
      <c r="B294" s="19" t="str">
        <f>IFERROR(__xludf.DUMMYFUNCTION("""COMPUTED_VALUE"""),"BERG")</f>
        <v>BERG</v>
      </c>
      <c r="C294" s="20">
        <f>IFERROR(__xludf.DUMMYFUNCTION("""COMPUTED_VALUE"""),653.0)</f>
        <v>653</v>
      </c>
      <c r="D294" s="21">
        <f>IFERROR(__xludf.DUMMYFUNCTION("""COMPUTED_VALUE"""),-0.530075778395095)</f>
        <v>-0.5300757784</v>
      </c>
      <c r="E294" s="21">
        <f>IFERROR(__xludf.DUMMYFUNCTION("""COMPUTED_VALUE"""),-0.5005641450380491)</f>
        <v>-0.500564145</v>
      </c>
      <c r="F294" s="21">
        <f>IFERROR(__xludf.DUMMYFUNCTION("""COMPUTED_VALUE"""),-1.0306481234331442)</f>
        <v>-1.030648123</v>
      </c>
      <c r="G294" s="23">
        <f>IFERROR(__xludf.DUMMYFUNCTION("""COMPUTED_VALUE"""),0.20232463431195577)</f>
        <v>0.2023246343</v>
      </c>
      <c r="H294" s="4"/>
      <c r="I294" s="5" t="s">
        <v>3492</v>
      </c>
      <c r="J294" s="5" t="s">
        <v>3212</v>
      </c>
      <c r="K294" s="5">
        <v>233.0</v>
      </c>
      <c r="L294" s="5">
        <v>-2.882479</v>
      </c>
      <c r="M294" s="5">
        <v>-0.100439</v>
      </c>
      <c r="N294" s="5">
        <v>-2.982918</v>
      </c>
      <c r="O294" s="5">
        <v>-0.069531</v>
      </c>
    </row>
    <row r="295">
      <c r="A295" s="12" t="str">
        <f>IFERROR(__xludf.DUMMYFUNCTION("""COMPUTED_VALUE"""),"Davide Bozzetto")</f>
        <v>Davide Bozzetto</v>
      </c>
      <c r="B295" s="13" t="str">
        <f>IFERROR(__xludf.DUMMYFUNCTION("""COMPUTED_VALUE"""),"BERG")</f>
        <v>BERG</v>
      </c>
      <c r="C295" s="14">
        <f>IFERROR(__xludf.DUMMYFUNCTION("""COMPUTED_VALUE"""),594.0)</f>
        <v>594</v>
      </c>
      <c r="D295" s="15">
        <f>IFERROR(__xludf.DUMMYFUNCTION("""COMPUTED_VALUE"""),-3.4149629689819254)</f>
        <v>-3.414962969</v>
      </c>
      <c r="E295" s="15">
        <f>IFERROR(__xludf.DUMMYFUNCTION("""COMPUTED_VALUE"""),2.383838219088315)</f>
        <v>2.383838219</v>
      </c>
      <c r="F295" s="15">
        <f>IFERROR(__xludf.DUMMYFUNCTION("""COMPUTED_VALUE"""),-1.0311645498936106)</f>
        <v>-1.03116455</v>
      </c>
      <c r="G295" s="17">
        <f>IFERROR(__xludf.DUMMYFUNCTION("""COMPUTED_VALUE"""),0.18397844886811632)</f>
        <v>0.1839784489</v>
      </c>
      <c r="H295" s="4"/>
      <c r="I295" s="5" t="s">
        <v>3493</v>
      </c>
      <c r="J295" s="5" t="s">
        <v>3263</v>
      </c>
      <c r="K295" s="5">
        <v>99.0</v>
      </c>
      <c r="L295" s="5">
        <v>-2.838442</v>
      </c>
      <c r="M295" s="5">
        <v>-0.217971</v>
      </c>
      <c r="N295" s="5">
        <v>-3.056414</v>
      </c>
      <c r="O295" s="5">
        <v>-0.031434</v>
      </c>
    </row>
    <row r="296">
      <c r="A296" s="18" t="str">
        <f>IFERROR(__xludf.DUMMYFUNCTION("""COMPUTED_VALUE"""),"Tommaso Raspino")</f>
        <v>Tommaso Raspino</v>
      </c>
      <c r="B296" s="19" t="str">
        <f>IFERROR(__xludf.DUMMYFUNCTION("""COMPUTED_VALUE"""),"AMIC")</f>
        <v>AMIC</v>
      </c>
      <c r="C296" s="20">
        <f>IFERROR(__xludf.DUMMYFUNCTION("""COMPUTED_VALUE"""),969.0)</f>
        <v>969</v>
      </c>
      <c r="D296" s="21">
        <f>IFERROR(__xludf.DUMMYFUNCTION("""COMPUTED_VALUE"""),-3.6589956641127444)</f>
        <v>-3.658995664</v>
      </c>
      <c r="E296" s="21">
        <f>IFERROR(__xludf.DUMMYFUNCTION("""COMPUTED_VALUE"""),2.6121540127174407)</f>
        <v>2.612154013</v>
      </c>
      <c r="F296" s="21">
        <f>IFERROR(__xludf.DUMMYFUNCTION("""COMPUTED_VALUE"""),-1.046854051395304)</f>
        <v>-1.046854051</v>
      </c>
      <c r="G296" s="23">
        <f>IFERROR(__xludf.DUMMYFUNCTION("""COMPUTED_VALUE"""),0.2794300078270332)</f>
        <v>0.2794300078</v>
      </c>
      <c r="H296" s="4"/>
      <c r="I296" s="5" t="s">
        <v>3494</v>
      </c>
      <c r="J296" s="5" t="s">
        <v>644</v>
      </c>
      <c r="K296" s="5">
        <v>632.0</v>
      </c>
      <c r="L296" s="5">
        <v>-0.666056</v>
      </c>
      <c r="M296" s="5">
        <v>-2.404779</v>
      </c>
      <c r="N296" s="5">
        <v>-3.070835</v>
      </c>
      <c r="O296" s="5">
        <v>-0.205326</v>
      </c>
    </row>
    <row r="297">
      <c r="A297" s="12" t="str">
        <f>IFERROR(__xludf.DUMMYFUNCTION("""COMPUTED_VALUE"""),"Donato Vitale")</f>
        <v>Donato Vitale</v>
      </c>
      <c r="B297" s="13" t="str">
        <f>IFERROR(__xludf.DUMMYFUNCTION("""COMPUTED_VALUE"""),"RAV")</f>
        <v>RAV</v>
      </c>
      <c r="C297" s="14">
        <f>IFERROR(__xludf.DUMMYFUNCTION("""COMPUTED_VALUE"""),129.0)</f>
        <v>129</v>
      </c>
      <c r="D297" s="15">
        <f>IFERROR(__xludf.DUMMYFUNCTION("""COMPUTED_VALUE"""),-1.1193215315525726)</f>
        <v>-1.119321532</v>
      </c>
      <c r="E297" s="15">
        <f>IFERROR(__xludf.DUMMYFUNCTION("""COMPUTED_VALUE"""),0.07211863947753533)</f>
        <v>0.07211863948</v>
      </c>
      <c r="F297" s="15">
        <f>IFERROR(__xludf.DUMMYFUNCTION("""COMPUTED_VALUE"""),-1.0472046920750373)</f>
        <v>-1.047204692</v>
      </c>
      <c r="G297" s="17">
        <f>IFERROR(__xludf.DUMMYFUNCTION("""COMPUTED_VALUE"""),0.037164850208320964)</f>
        <v>0.03716485021</v>
      </c>
      <c r="H297" s="4"/>
      <c r="I297" s="5" t="s">
        <v>3495</v>
      </c>
      <c r="J297" s="5" t="s">
        <v>3331</v>
      </c>
      <c r="K297" s="5">
        <v>491.0</v>
      </c>
      <c r="L297" s="5">
        <v>-0.030979</v>
      </c>
      <c r="M297" s="5">
        <v>-3.041282</v>
      </c>
      <c r="N297" s="5">
        <v>-3.072261</v>
      </c>
      <c r="O297" s="5">
        <v>-0.159663</v>
      </c>
    </row>
    <row r="298">
      <c r="A298" s="18" t="str">
        <f>IFERROR(__xludf.DUMMYFUNCTION("""COMPUTED_VALUE"""),"Luca Campori")</f>
        <v>Luca Campori</v>
      </c>
      <c r="B298" s="19" t="str">
        <f>IFERROR(__xludf.DUMMYFUNCTION("""COMPUTED_VALUE"""),"FOR")</f>
        <v>FOR</v>
      </c>
      <c r="C298" s="20">
        <f>IFERROR(__xludf.DUMMYFUNCTION("""COMPUTED_VALUE"""),68.0)</f>
        <v>68</v>
      </c>
      <c r="D298" s="21">
        <f>IFERROR(__xludf.DUMMYFUNCTION("""COMPUTED_VALUE"""),-1.1482808872031323)</f>
        <v>-1.148280887</v>
      </c>
      <c r="E298" s="21">
        <f>IFERROR(__xludf.DUMMYFUNCTION("""COMPUTED_VALUE"""),0.09490918067846327)</f>
        <v>0.09490918068</v>
      </c>
      <c r="F298" s="21">
        <f>IFERROR(__xludf.DUMMYFUNCTION("""COMPUTED_VALUE"""),-1.053410406524669)</f>
        <v>-1.053410407</v>
      </c>
      <c r="G298" s="23">
        <f>IFERROR(__xludf.DUMMYFUNCTION("""COMPUTED_VALUE"""),0.01950093312527389)</f>
        <v>0.01950093313</v>
      </c>
      <c r="H298" s="4"/>
      <c r="I298" s="5" t="s">
        <v>3496</v>
      </c>
      <c r="J298" s="5" t="s">
        <v>3233</v>
      </c>
      <c r="K298" s="5">
        <v>253.0</v>
      </c>
      <c r="L298" s="5">
        <v>-2.647115</v>
      </c>
      <c r="M298" s="5">
        <v>-0.42775</v>
      </c>
      <c r="N298" s="5">
        <v>-3.074865</v>
      </c>
      <c r="O298" s="5">
        <v>-0.080464</v>
      </c>
    </row>
    <row r="299">
      <c r="A299" s="12" t="str">
        <f>IFERROR(__xludf.DUMMYFUNCTION("""COMPUTED_VALUE"""),"Aleksa Nikolic")</f>
        <v>Aleksa Nikolic</v>
      </c>
      <c r="B299" s="13" t="str">
        <f>IFERROR(__xludf.DUMMYFUNCTION("""COMPUTED_VALUE"""),"TREV")</f>
        <v>TREV</v>
      </c>
      <c r="C299" s="14">
        <f>IFERROR(__xludf.DUMMYFUNCTION("""COMPUTED_VALUE"""),68.0)</f>
        <v>68</v>
      </c>
      <c r="D299" s="15">
        <f>IFERROR(__xludf.DUMMYFUNCTION("""COMPUTED_VALUE"""),-0.5565919629543068)</f>
        <v>-0.556591963</v>
      </c>
      <c r="E299" s="15">
        <f>IFERROR(__xludf.DUMMYFUNCTION("""COMPUTED_VALUE"""),-0.5136872312653755)</f>
        <v>-0.5136872313</v>
      </c>
      <c r="F299" s="15">
        <f>IFERROR(__xludf.DUMMYFUNCTION("""COMPUTED_VALUE"""),-1.0702966942196823)</f>
        <v>-1.070296694</v>
      </c>
      <c r="G299" s="17">
        <f>IFERROR(__xludf.DUMMYFUNCTION("""COMPUTED_VALUE"""),0.038608177112387364)</f>
        <v>0.03860817711</v>
      </c>
      <c r="H299" s="4"/>
      <c r="I299" s="5" t="s">
        <v>3497</v>
      </c>
      <c r="J299" s="5" t="s">
        <v>3233</v>
      </c>
      <c r="K299" s="5">
        <v>532.0</v>
      </c>
      <c r="L299" s="5">
        <v>-1.735362</v>
      </c>
      <c r="M299" s="5">
        <v>-1.367195</v>
      </c>
      <c r="N299" s="5">
        <v>-3.102558</v>
      </c>
      <c r="O299" s="5">
        <v>-0.173447</v>
      </c>
    </row>
    <row r="300">
      <c r="A300" s="18" t="str">
        <f>IFERROR(__xludf.DUMMYFUNCTION("""COMPUTED_VALUE"""),"Mirza Alibegovic")</f>
        <v>Mirza Alibegovic</v>
      </c>
      <c r="B300" s="19" t="str">
        <f>IFERROR(__xludf.DUMMYFUNCTION("""COMPUTED_VALUE"""),"TORT")</f>
        <v>TORT</v>
      </c>
      <c r="C300" s="20">
        <f>IFERROR(__xludf.DUMMYFUNCTION("""COMPUTED_VALUE"""),350.0)</f>
        <v>350</v>
      </c>
      <c r="D300" s="21">
        <f>IFERROR(__xludf.DUMMYFUNCTION("""COMPUTED_VALUE"""),0.8452493485192881)</f>
        <v>0.8452493485</v>
      </c>
      <c r="E300" s="21">
        <f>IFERROR(__xludf.DUMMYFUNCTION("""COMPUTED_VALUE"""),-1.9158780184384852)</f>
        <v>-1.915878018</v>
      </c>
      <c r="F300" s="21">
        <f>IFERROR(__xludf.DUMMYFUNCTION("""COMPUTED_VALUE"""),-1.0706736699191972)</f>
        <v>-1.07067367</v>
      </c>
      <c r="G300" s="23">
        <f>IFERROR(__xludf.DUMMYFUNCTION("""COMPUTED_VALUE"""),0.11229620238982026)</f>
        <v>0.1122962024</v>
      </c>
      <c r="H300" s="4"/>
      <c r="I300" s="5" t="s">
        <v>3498</v>
      </c>
      <c r="J300" s="5" t="s">
        <v>3281</v>
      </c>
      <c r="K300" s="5">
        <v>295.0</v>
      </c>
      <c r="L300" s="5">
        <v>-3.246133</v>
      </c>
      <c r="M300" s="5">
        <v>0.120674</v>
      </c>
      <c r="N300" s="5">
        <v>-3.125459</v>
      </c>
      <c r="O300" s="5">
        <v>-0.101127</v>
      </c>
    </row>
    <row r="301">
      <c r="A301" s="12" t="str">
        <f>IFERROR(__xludf.DUMMYFUNCTION("""COMPUTED_VALUE"""),"Alessandro Esposito")</f>
        <v>Alessandro Esposito</v>
      </c>
      <c r="B301" s="13" t="str">
        <f>IFERROR(__xludf.DUMMYFUNCTION("""COMPUTED_VALUE"""),"RAV")</f>
        <v>RAV</v>
      </c>
      <c r="C301" s="14">
        <f>IFERROR(__xludf.DUMMYFUNCTION("""COMPUTED_VALUE"""),97.0)</f>
        <v>97</v>
      </c>
      <c r="D301" s="15">
        <f>IFERROR(__xludf.DUMMYFUNCTION("""COMPUTED_VALUE"""),-1.2918098009262715)</f>
        <v>-1.291809801</v>
      </c>
      <c r="E301" s="15">
        <f>IFERROR(__xludf.DUMMYFUNCTION("""COMPUTED_VALUE"""),0.21951814127814628)</f>
        <v>0.2195181413</v>
      </c>
      <c r="F301" s="15">
        <f>IFERROR(__xludf.DUMMYFUNCTION("""COMPUTED_VALUE"""),-1.0723226596481252)</f>
        <v>-1.07232266</v>
      </c>
      <c r="G301" s="17">
        <f>IFERROR(__xludf.DUMMYFUNCTION("""COMPUTED_VALUE"""),0.027238630119169074)</f>
        <v>0.02723863012</v>
      </c>
      <c r="H301" s="4"/>
      <c r="I301" s="5" t="s">
        <v>3499</v>
      </c>
      <c r="J301" s="5" t="s">
        <v>3240</v>
      </c>
      <c r="K301" s="5">
        <v>101.0</v>
      </c>
      <c r="L301" s="5">
        <v>-1.888709</v>
      </c>
      <c r="M301" s="5">
        <v>-1.333733</v>
      </c>
      <c r="N301" s="5">
        <v>-3.222442</v>
      </c>
      <c r="O301" s="5">
        <v>-0.037688</v>
      </c>
    </row>
    <row r="302">
      <c r="A302" s="18" t="str">
        <f>IFERROR(__xludf.DUMMYFUNCTION("""COMPUTED_VALUE"""),"Giovanni Fattori")</f>
        <v>Giovanni Fattori</v>
      </c>
      <c r="B302" s="19" t="str">
        <f>IFERROR(__xludf.DUMMYFUNCTION("""COMPUTED_VALUE"""),"BERG")</f>
        <v>BERG</v>
      </c>
      <c r="C302" s="20">
        <f>IFERROR(__xludf.DUMMYFUNCTION("""COMPUTED_VALUE"""),827.0)</f>
        <v>827</v>
      </c>
      <c r="D302" s="21">
        <f>IFERROR(__xludf.DUMMYFUNCTION("""COMPUTED_VALUE"""),-0.10209647900521628)</f>
        <v>-0.102096479</v>
      </c>
      <c r="E302" s="21">
        <f>IFERROR(__xludf.DUMMYFUNCTION("""COMPUTED_VALUE"""),-0.9713209231176829)</f>
        <v>-0.9713209231</v>
      </c>
      <c r="F302" s="21">
        <f>IFERROR(__xludf.DUMMYFUNCTION("""COMPUTED_VALUE"""),-1.0734477021228992)</f>
        <v>-1.073447702</v>
      </c>
      <c r="G302" s="23">
        <f>IFERROR(__xludf.DUMMYFUNCTION("""COMPUTED_VALUE"""),0.2449433758418968)</f>
        <v>0.2449433758</v>
      </c>
      <c r="H302" s="4"/>
      <c r="I302" s="5" t="s">
        <v>3500</v>
      </c>
      <c r="J302" s="5" t="s">
        <v>3263</v>
      </c>
      <c r="K302" s="5">
        <v>300.0</v>
      </c>
      <c r="L302" s="5">
        <v>-1.904207</v>
      </c>
      <c r="M302" s="5">
        <v>-1.358616</v>
      </c>
      <c r="N302" s="5">
        <v>-3.262823</v>
      </c>
      <c r="O302" s="5">
        <v>-0.114017</v>
      </c>
    </row>
    <row r="303">
      <c r="A303" s="12" t="str">
        <f>IFERROR(__xludf.DUMMYFUNCTION("""COMPUTED_VALUE"""),"Aziz Yabre")</f>
        <v>Aziz Yabre</v>
      </c>
      <c r="B303" s="13" t="str">
        <f>IFERROR(__xludf.DUMMYFUNCTION("""COMPUTED_VALUE"""),"GAGA")</f>
        <v>GAGA</v>
      </c>
      <c r="C303" s="14">
        <f>IFERROR(__xludf.DUMMYFUNCTION("""COMPUTED_VALUE"""),18.0)</f>
        <v>18</v>
      </c>
      <c r="D303" s="15">
        <f>IFERROR(__xludf.DUMMYFUNCTION("""COMPUTED_VALUE"""),-0.6148129135688066)</f>
        <v>-0.6148129136</v>
      </c>
      <c r="E303" s="15">
        <f>IFERROR(__xludf.DUMMYFUNCTION("""COMPUTED_VALUE"""),-0.4702330700561349)</f>
        <v>-0.4702330701</v>
      </c>
      <c r="F303" s="15">
        <f>IFERROR(__xludf.DUMMYFUNCTION("""COMPUTED_VALUE"""),-1.0850470836249415)</f>
        <v>-1.085047084</v>
      </c>
      <c r="G303" s="17">
        <f>IFERROR(__xludf.DUMMYFUNCTION("""COMPUTED_VALUE"""),0.004820106089002499)</f>
        <v>0.004820106089</v>
      </c>
      <c r="H303" s="4"/>
      <c r="I303" s="5" t="s">
        <v>3501</v>
      </c>
      <c r="J303" s="5" t="s">
        <v>3210</v>
      </c>
      <c r="K303" s="5">
        <v>435.0</v>
      </c>
      <c r="L303" s="5">
        <v>-3.755889</v>
      </c>
      <c r="M303" s="5">
        <v>0.489306</v>
      </c>
      <c r="N303" s="5">
        <v>-3.266583</v>
      </c>
      <c r="O303" s="5">
        <v>-0.165862</v>
      </c>
    </row>
    <row r="304">
      <c r="A304" s="18" t="str">
        <f>IFERROR(__xludf.DUMMYFUNCTION("""COMPUTED_VALUE"""),"Daniele Toscano")</f>
        <v>Daniele Toscano</v>
      </c>
      <c r="B304" s="19" t="str">
        <f>IFERROR(__xludf.DUMMYFUNCTION("""COMPUTED_VALUE"""),"LEGN")</f>
        <v>LEGN</v>
      </c>
      <c r="C304" s="20">
        <f>IFERROR(__xludf.DUMMYFUNCTION("""COMPUTED_VALUE"""),557.0)</f>
        <v>557</v>
      </c>
      <c r="D304" s="21">
        <f>IFERROR(__xludf.DUMMYFUNCTION("""COMPUTED_VALUE"""),0.1978674979743831)</f>
        <v>0.197867498</v>
      </c>
      <c r="E304" s="21">
        <f>IFERROR(__xludf.DUMMYFUNCTION("""COMPUTED_VALUE"""),-1.3047228364070098)</f>
        <v>-1.304722836</v>
      </c>
      <c r="F304" s="21">
        <f>IFERROR(__xludf.DUMMYFUNCTION("""COMPUTED_VALUE"""),-1.1068596384326268)</f>
        <v>-1.106859638</v>
      </c>
      <c r="G304" s="23">
        <f>IFERROR(__xludf.DUMMYFUNCTION("""COMPUTED_VALUE"""),0.15110244069001277)</f>
        <v>0.1511024407</v>
      </c>
      <c r="H304" s="4"/>
      <c r="I304" s="5" t="s">
        <v>3502</v>
      </c>
      <c r="J304" s="5" t="s">
        <v>3237</v>
      </c>
      <c r="K304" s="5">
        <v>189.0</v>
      </c>
      <c r="L304" s="5">
        <v>-2.578828</v>
      </c>
      <c r="M304" s="5">
        <v>-0.711749</v>
      </c>
      <c r="N304" s="5">
        <v>-3.290577</v>
      </c>
      <c r="O304" s="5">
        <v>-0.082294</v>
      </c>
    </row>
    <row r="305">
      <c r="A305" s="12" t="str">
        <f>IFERROR(__xludf.DUMMYFUNCTION("""COMPUTED_VALUE"""),"Riccardo Castelli")</f>
        <v>Riccardo Castelli</v>
      </c>
      <c r="B305" s="13" t="str">
        <f>IFERROR(__xludf.DUMMYFUNCTION("""COMPUTED_VALUE"""),"FOR")</f>
        <v>FOR</v>
      </c>
      <c r="C305" s="14">
        <f>IFERROR(__xludf.DUMMYFUNCTION("""COMPUTED_VALUE"""),758.0)</f>
        <v>758</v>
      </c>
      <c r="D305" s="15">
        <f>IFERROR(__xludf.DUMMYFUNCTION("""COMPUTED_VALUE"""),-2.2429248527465684)</f>
        <v>-2.242924853</v>
      </c>
      <c r="E305" s="15">
        <f>IFERROR(__xludf.DUMMYFUNCTION("""COMPUTED_VALUE"""),1.1142112946566929)</f>
        <v>1.114211295</v>
      </c>
      <c r="F305" s="15">
        <f>IFERROR(__xludf.DUMMYFUNCTION("""COMPUTED_VALUE"""),-1.1287507580898755)</f>
        <v>-1.128750758</v>
      </c>
      <c r="G305" s="17">
        <f>IFERROR(__xludf.DUMMYFUNCTION("""COMPUTED_VALUE"""),0.19971677832126816)</f>
        <v>0.1997167783</v>
      </c>
      <c r="H305" s="4"/>
      <c r="I305" s="5" t="s">
        <v>3503</v>
      </c>
      <c r="J305" s="5" t="s">
        <v>3237</v>
      </c>
      <c r="K305" s="5">
        <v>539.0</v>
      </c>
      <c r="L305" s="5">
        <v>-2.510872</v>
      </c>
      <c r="M305" s="5">
        <v>-0.780144</v>
      </c>
      <c r="N305" s="5">
        <v>-3.291016</v>
      </c>
      <c r="O305" s="5">
        <v>-0.234595</v>
      </c>
    </row>
    <row r="306">
      <c r="A306" s="18" t="str">
        <f>IFERROR(__xludf.DUMMYFUNCTION("""COMPUTED_VALUE"""),"Alessio Donadoni")</f>
        <v>Alessio Donadoni</v>
      </c>
      <c r="B306" s="19" t="str">
        <f>IFERROR(__xludf.DUMMYFUNCTION("""COMPUTED_VALUE"""),"ROM")</f>
        <v>ROM</v>
      </c>
      <c r="C306" s="20">
        <f>IFERROR(__xludf.DUMMYFUNCTION("""COMPUTED_VALUE"""),52.0)</f>
        <v>52</v>
      </c>
      <c r="D306" s="21">
        <f>IFERROR(__xludf.DUMMYFUNCTION("""COMPUTED_VALUE"""),-1.345283715585478)</f>
        <v>-1.345283716</v>
      </c>
      <c r="E306" s="21">
        <f>IFERROR(__xludf.DUMMYFUNCTION("""COMPUTED_VALUE"""),0.20955345766666564)</f>
        <v>0.2095534577</v>
      </c>
      <c r="F306" s="21">
        <f>IFERROR(__xludf.DUMMYFUNCTION("""COMPUTED_VALUE"""),-1.1357620579188124)</f>
        <v>-1.135762058</v>
      </c>
      <c r="G306" s="23">
        <f>IFERROR(__xludf.DUMMYFUNCTION("""COMPUTED_VALUE"""),0.01352599729956802)</f>
        <v>0.0135259973</v>
      </c>
      <c r="H306" s="4"/>
      <c r="I306" s="5" t="s">
        <v>3504</v>
      </c>
      <c r="J306" s="5" t="s">
        <v>3210</v>
      </c>
      <c r="K306" s="5">
        <v>730.0</v>
      </c>
      <c r="L306" s="5">
        <v>-2.518534</v>
      </c>
      <c r="M306" s="5">
        <v>-0.780076</v>
      </c>
      <c r="N306" s="5">
        <v>-3.298609</v>
      </c>
      <c r="O306" s="5">
        <v>-0.285094</v>
      </c>
    </row>
    <row r="307">
      <c r="A307" s="12" t="str">
        <f>IFERROR(__xludf.DUMMYFUNCTION("""COMPUTED_VALUE"""),"Giuseppe Cuffaro")</f>
        <v>Giuseppe Cuffaro</v>
      </c>
      <c r="B307" s="13" t="str">
        <f>IFERROR(__xludf.DUMMYFUNCTION("""COMPUTED_VALUE"""),"MON")</f>
        <v>MON</v>
      </c>
      <c r="C307" s="14">
        <f>IFERROR(__xludf.DUMMYFUNCTION("""COMPUTED_VALUE"""),44.0)</f>
        <v>44</v>
      </c>
      <c r="D307" s="15">
        <f>IFERROR(__xludf.DUMMYFUNCTION("""COMPUTED_VALUE"""),-0.7940459908646399)</f>
        <v>-0.7940459909</v>
      </c>
      <c r="E307" s="15">
        <f>IFERROR(__xludf.DUMMYFUNCTION("""COMPUTED_VALUE"""),-0.37939946000240476)</f>
        <v>-0.37939946</v>
      </c>
      <c r="F307" s="15">
        <f>IFERROR(__xludf.DUMMYFUNCTION("""COMPUTED_VALUE"""),-1.1734792508670446)</f>
        <v>-1.173479251</v>
      </c>
      <c r="G307" s="17">
        <f>IFERROR(__xludf.DUMMYFUNCTION("""COMPUTED_VALUE"""),0.01107943394147309)</f>
        <v>0.01107943394</v>
      </c>
      <c r="H307" s="4"/>
      <c r="I307" s="5" t="s">
        <v>3505</v>
      </c>
      <c r="J307" s="5" t="s">
        <v>3283</v>
      </c>
      <c r="K307" s="5">
        <v>586.0</v>
      </c>
      <c r="L307" s="5">
        <v>-1.714394</v>
      </c>
      <c r="M307" s="5">
        <v>-1.683783</v>
      </c>
      <c r="N307" s="5">
        <v>-3.398177</v>
      </c>
      <c r="O307" s="5">
        <v>-0.248755</v>
      </c>
    </row>
    <row r="308">
      <c r="A308" s="18" t="str">
        <f>IFERROR(__xludf.DUMMYFUNCTION("""COMPUTED_VALUE"""),"Giovanni Carenza")</f>
        <v>Giovanni Carenza</v>
      </c>
      <c r="B308" s="19" t="str">
        <f>IFERROR(__xludf.DUMMYFUNCTION("""COMPUTED_VALUE"""),"RIET")</f>
        <v>RIET</v>
      </c>
      <c r="C308" s="20">
        <f>IFERROR(__xludf.DUMMYFUNCTION("""COMPUTED_VALUE"""),642.0)</f>
        <v>642</v>
      </c>
      <c r="D308" s="21">
        <f>IFERROR(__xludf.DUMMYFUNCTION("""COMPUTED_VALUE"""),-1.181059316796178)</f>
        <v>-1.181059317</v>
      </c>
      <c r="E308" s="21">
        <f>IFERROR(__xludf.DUMMYFUNCTION("""COMPUTED_VALUE"""),-0.005674031219031919)</f>
        <v>-0.005674031219</v>
      </c>
      <c r="F308" s="21">
        <f>IFERROR(__xludf.DUMMYFUNCTION("""COMPUTED_VALUE"""),-1.18677164801521)</f>
        <v>-1.186771648</v>
      </c>
      <c r="G308" s="23">
        <f>IFERROR(__xludf.DUMMYFUNCTION("""COMPUTED_VALUE"""),0.17808592166961149)</f>
        <v>0.1780859217</v>
      </c>
      <c r="H308" s="4"/>
      <c r="I308" s="5" t="s">
        <v>3506</v>
      </c>
      <c r="J308" s="5" t="s">
        <v>3251</v>
      </c>
      <c r="K308" s="5">
        <v>779.0</v>
      </c>
      <c r="L308" s="5">
        <v>-1.799446</v>
      </c>
      <c r="M308" s="5">
        <v>-1.616521</v>
      </c>
      <c r="N308" s="5">
        <v>-3.415967</v>
      </c>
      <c r="O308" s="5">
        <v>-0.334929</v>
      </c>
    </row>
    <row r="309">
      <c r="A309" s="12" t="str">
        <f>IFERROR(__xludf.DUMMYFUNCTION("""COMPUTED_VALUE"""),"Jared Brownridge")</f>
        <v>Jared Brownridge</v>
      </c>
      <c r="B309" s="13" t="str">
        <f>IFERROR(__xludf.DUMMYFUNCTION("""COMPUTED_VALUE"""),"MAN")</f>
        <v>MAN</v>
      </c>
      <c r="C309" s="14">
        <f>IFERROR(__xludf.DUMMYFUNCTION("""COMPUTED_VALUE"""),515.0)</f>
        <v>515</v>
      </c>
      <c r="D309" s="15">
        <f>IFERROR(__xludf.DUMMYFUNCTION("""COMPUTED_VALUE"""),1.3375923591083676)</f>
        <v>1.337592359</v>
      </c>
      <c r="E309" s="15">
        <f>IFERROR(__xludf.DUMMYFUNCTION("""COMPUTED_VALUE"""),-2.5258403981060247)</f>
        <v>-2.525840398</v>
      </c>
      <c r="F309" s="15">
        <f>IFERROR(__xludf.DUMMYFUNCTION("""COMPUTED_VALUE"""),-1.188287438997657)</f>
        <v>-1.188287439</v>
      </c>
      <c r="G309" s="17">
        <f>IFERROR(__xludf.DUMMYFUNCTION("""COMPUTED_VALUE"""),0.13191706251034435)</f>
        <v>0.1319170625</v>
      </c>
      <c r="H309" s="4"/>
      <c r="I309" s="5" t="s">
        <v>3507</v>
      </c>
      <c r="J309" s="5" t="s">
        <v>3215</v>
      </c>
      <c r="K309" s="5">
        <v>319.0</v>
      </c>
      <c r="L309" s="5">
        <v>-1.400023</v>
      </c>
      <c r="M309" s="5">
        <v>-2.090707</v>
      </c>
      <c r="N309" s="5">
        <v>-3.49073</v>
      </c>
      <c r="O309" s="5">
        <v>-0.144352</v>
      </c>
    </row>
    <row r="310">
      <c r="A310" s="18" t="str">
        <f>IFERROR(__xludf.DUMMYFUNCTION("""COMPUTED_VALUE"""),"Jacopo Borra")</f>
        <v>Jacopo Borra</v>
      </c>
      <c r="B310" s="19" t="str">
        <f>IFERROR(__xludf.DUMMYFUNCTION("""COMPUTED_VALUE"""),"TREV")</f>
        <v>TREV</v>
      </c>
      <c r="C310" s="20">
        <f>IFERROR(__xludf.DUMMYFUNCTION("""COMPUTED_VALUE"""),204.0)</f>
        <v>204</v>
      </c>
      <c r="D310" s="21">
        <f>IFERROR(__xludf.DUMMYFUNCTION("""COMPUTED_VALUE"""),-1.4921702912842687)</f>
        <v>-1.492170291</v>
      </c>
      <c r="E310" s="21">
        <f>IFERROR(__xludf.DUMMYFUNCTION("""COMPUTED_VALUE"""),0.29002064794091553)</f>
        <v>0.2900206479</v>
      </c>
      <c r="F310" s="21">
        <f>IFERROR(__xludf.DUMMYFUNCTION("""COMPUTED_VALUE"""),-1.2021899433433532)</f>
        <v>-1.202189943</v>
      </c>
      <c r="G310" s="23">
        <f>IFERROR(__xludf.DUMMYFUNCTION("""COMPUTED_VALUE"""),0.09938822132725983)</f>
        <v>0.09938822133</v>
      </c>
      <c r="H310" s="4"/>
      <c r="I310" s="5" t="s">
        <v>3508</v>
      </c>
      <c r="J310" s="5" t="s">
        <v>3207</v>
      </c>
      <c r="K310" s="5">
        <v>673.0</v>
      </c>
      <c r="L310" s="5">
        <v>0.177598</v>
      </c>
      <c r="M310" s="5">
        <v>-3.67508</v>
      </c>
      <c r="N310" s="5">
        <v>-3.497482</v>
      </c>
      <c r="O310" s="5">
        <v>-0.30069</v>
      </c>
    </row>
    <row r="311">
      <c r="A311" s="12" t="str">
        <f>IFERROR(__xludf.DUMMYFUNCTION("""COMPUTED_VALUE"""),"Adomas Drungilas")</f>
        <v>Adomas Drungilas</v>
      </c>
      <c r="B311" s="13" t="str">
        <f>IFERROR(__xludf.DUMMYFUNCTION("""COMPUTED_VALUE"""),"LAT")</f>
        <v>LAT</v>
      </c>
      <c r="C311" s="14">
        <f>IFERROR(__xludf.DUMMYFUNCTION("""COMPUTED_VALUE"""),16.0)</f>
        <v>16</v>
      </c>
      <c r="D311" s="15">
        <f>IFERROR(__xludf.DUMMYFUNCTION("""COMPUTED_VALUE"""),-0.7310269952273662)</f>
        <v>-0.7310269952</v>
      </c>
      <c r="E311" s="15">
        <f>IFERROR(__xludf.DUMMYFUNCTION("""COMPUTED_VALUE"""),-0.49152120124786863)</f>
        <v>-0.4915212012</v>
      </c>
      <c r="F311" s="15">
        <f>IFERROR(__xludf.DUMMYFUNCTION("""COMPUTED_VALUE"""),-1.222579696475235)</f>
        <v>-1.222579696</v>
      </c>
      <c r="G311" s="17">
        <f>IFERROR(__xludf.DUMMYFUNCTION("""COMPUTED_VALUE"""),0.004072662415631407)</f>
        <v>0.004072662416</v>
      </c>
      <c r="H311" s="4"/>
      <c r="I311" s="5" t="s">
        <v>3510</v>
      </c>
      <c r="J311" s="5" t="s">
        <v>3278</v>
      </c>
      <c r="K311" s="5">
        <v>584.0</v>
      </c>
      <c r="L311" s="5">
        <v>-1.965126</v>
      </c>
      <c r="M311" s="5">
        <v>-1.57845</v>
      </c>
      <c r="N311" s="5">
        <v>-3.543576</v>
      </c>
      <c r="O311" s="5">
        <v>-0.272042</v>
      </c>
    </row>
    <row r="312">
      <c r="A312" s="18" t="str">
        <f>IFERROR(__xludf.DUMMYFUNCTION("""COMPUTED_VALUE"""),"Marco Contento")</f>
        <v>Marco Contento</v>
      </c>
      <c r="B312" s="19" t="str">
        <f>IFERROR(__xludf.DUMMYFUNCTION("""COMPUTED_VALUE"""),"ROS")</f>
        <v>ROS</v>
      </c>
      <c r="C312" s="20">
        <f>IFERROR(__xludf.DUMMYFUNCTION("""COMPUTED_VALUE"""),737.0)</f>
        <v>737</v>
      </c>
      <c r="D312" s="21">
        <f>IFERROR(__xludf.DUMMYFUNCTION("""COMPUTED_VALUE"""),2.696271647273542)</f>
        <v>2.696271647</v>
      </c>
      <c r="E312" s="21">
        <f>IFERROR(__xludf.DUMMYFUNCTION("""COMPUTED_VALUE"""),-3.928492187037296)</f>
        <v>-3.928492187</v>
      </c>
      <c r="F312" s="21">
        <f>IFERROR(__xludf.DUMMYFUNCTION("""COMPUTED_VALUE"""),-1.2322554397637544)</f>
        <v>-1.23225544</v>
      </c>
      <c r="G312" s="23">
        <f>IFERROR(__xludf.DUMMYFUNCTION("""COMPUTED_VALUE"""),0.17182755486108076)</f>
        <v>0.1718275549</v>
      </c>
      <c r="H312" s="4"/>
      <c r="I312" s="5" t="s">
        <v>3511</v>
      </c>
      <c r="J312" s="5" t="s">
        <v>3203</v>
      </c>
      <c r="K312" s="5">
        <v>177.0</v>
      </c>
      <c r="L312" s="5">
        <v>-2.321825</v>
      </c>
      <c r="M312" s="5">
        <v>-1.232919</v>
      </c>
      <c r="N312" s="5">
        <v>-3.554745</v>
      </c>
      <c r="O312" s="5">
        <v>-0.083638</v>
      </c>
    </row>
    <row r="313">
      <c r="A313" s="12" t="str">
        <f>IFERROR(__xludf.DUMMYFUNCTION("""COMPUTED_VALUE"""),"Michele Ferrari")</f>
        <v>Michele Ferrari</v>
      </c>
      <c r="B313" s="13" t="str">
        <f>IFERROR(__xludf.DUMMYFUNCTION("""COMPUTED_VALUE"""),"AMIC")</f>
        <v>AMIC</v>
      </c>
      <c r="C313" s="14">
        <f>IFERROR(__xludf.DUMMYFUNCTION("""COMPUTED_VALUE"""),407.0)</f>
        <v>407</v>
      </c>
      <c r="D313" s="15">
        <f>IFERROR(__xludf.DUMMYFUNCTION("""COMPUTED_VALUE"""),-3.55555638177591)</f>
        <v>-3.555556382</v>
      </c>
      <c r="E313" s="15">
        <f>IFERROR(__xludf.DUMMYFUNCTION("""COMPUTED_VALUE"""),2.2744456073227712)</f>
        <v>2.274445607</v>
      </c>
      <c r="F313" s="15">
        <f>IFERROR(__xludf.DUMMYFUNCTION("""COMPUTED_VALUE"""),-1.2811406744531388)</f>
        <v>-1.281140674</v>
      </c>
      <c r="G313" s="17">
        <f>IFERROR(__xludf.DUMMYFUNCTION("""COMPUTED_VALUE"""),0.08854327634766397)</f>
        <v>0.08854327635</v>
      </c>
      <c r="H313" s="4"/>
      <c r="I313" s="5" t="s">
        <v>3512</v>
      </c>
      <c r="J313" s="5" t="s">
        <v>3220</v>
      </c>
      <c r="K313" s="5">
        <v>132.0</v>
      </c>
      <c r="L313" s="5">
        <v>-2.826361</v>
      </c>
      <c r="M313" s="5">
        <v>-0.73411</v>
      </c>
      <c r="N313" s="5">
        <v>-3.560471</v>
      </c>
      <c r="O313" s="5">
        <v>-0.06338</v>
      </c>
    </row>
    <row r="314">
      <c r="A314" s="18" t="str">
        <f>IFERROR(__xludf.DUMMYFUNCTION("""COMPUTED_VALUE"""),"Alessandro Panni")</f>
        <v>Alessandro Panni</v>
      </c>
      <c r="B314" s="19" t="str">
        <f>IFERROR(__xludf.DUMMYFUNCTION("""COMPUTED_VALUE"""),"FER")</f>
        <v>FER</v>
      </c>
      <c r="C314" s="20">
        <f>IFERROR(__xludf.DUMMYFUNCTION("""COMPUTED_VALUE"""),806.0)</f>
        <v>806</v>
      </c>
      <c r="D314" s="21">
        <f>IFERROR(__xludf.DUMMYFUNCTION("""COMPUTED_VALUE"""),-0.6266390428639532)</f>
        <v>-0.6266390429</v>
      </c>
      <c r="E314" s="21">
        <f>IFERROR(__xludf.DUMMYFUNCTION("""COMPUTED_VALUE"""),-0.6877722280228752)</f>
        <v>-0.687772228</v>
      </c>
      <c r="F314" s="21">
        <f>IFERROR(__xludf.DUMMYFUNCTION("""COMPUTED_VALUE"""),-1.3144273708868284)</f>
        <v>-1.314427371</v>
      </c>
      <c r="G314" s="23">
        <f>IFERROR(__xludf.DUMMYFUNCTION("""COMPUTED_VALUE"""),0.17093436032277937)</f>
        <v>0.1709343603</v>
      </c>
      <c r="H314" s="4"/>
      <c r="I314" s="5" t="s">
        <v>1070</v>
      </c>
      <c r="J314" s="5" t="s">
        <v>3223</v>
      </c>
      <c r="K314" s="5">
        <v>710.0</v>
      </c>
      <c r="L314" s="5">
        <v>-2.84778</v>
      </c>
      <c r="M314" s="5">
        <v>-0.729711</v>
      </c>
      <c r="N314" s="5">
        <v>-3.577491</v>
      </c>
      <c r="O314" s="5">
        <v>-0.340585</v>
      </c>
    </row>
    <row r="315">
      <c r="A315" s="12" t="str">
        <f>IFERROR(__xludf.DUMMYFUNCTION("""COMPUTED_VALUE"""),"Simone Bonfiglio")</f>
        <v>Simone Bonfiglio</v>
      </c>
      <c r="B315" s="13" t="str">
        <f>IFERROR(__xludf.DUMMYFUNCTION("""COMPUTED_VALUE"""),"CAGL")</f>
        <v>CAGL</v>
      </c>
      <c r="C315" s="14">
        <f>IFERROR(__xludf.DUMMYFUNCTION("""COMPUTED_VALUE"""),42.0)</f>
        <v>42</v>
      </c>
      <c r="D315" s="15">
        <f>IFERROR(__xludf.DUMMYFUNCTION("""COMPUTED_VALUE"""),-0.829544046404403)</f>
        <v>-0.8295440464</v>
      </c>
      <c r="E315" s="15">
        <f>IFERROR(__xludf.DUMMYFUNCTION("""COMPUTED_VALUE"""),-0.49517360502151453)</f>
        <v>-0.495173605</v>
      </c>
      <c r="F315" s="15">
        <f>IFERROR(__xludf.DUMMYFUNCTION("""COMPUTED_VALUE"""),-1.3247583514259176)</f>
        <v>-1.324758351</v>
      </c>
      <c r="G315" s="17">
        <f>IFERROR(__xludf.DUMMYFUNCTION("""COMPUTED_VALUE"""),0.008651209839118953)</f>
        <v>0.008651209839</v>
      </c>
      <c r="H315" s="4"/>
      <c r="I315" s="5" t="s">
        <v>3513</v>
      </c>
      <c r="J315" s="5" t="s">
        <v>3278</v>
      </c>
      <c r="K315" s="5">
        <v>96.0</v>
      </c>
      <c r="L315" s="5">
        <v>-3.099955</v>
      </c>
      <c r="M315" s="5">
        <v>-0.56396</v>
      </c>
      <c r="N315" s="5">
        <v>-3.663915</v>
      </c>
      <c r="O315" s="5">
        <v>-0.048188</v>
      </c>
    </row>
    <row r="316">
      <c r="A316" s="18" t="str">
        <f>IFERROR(__xludf.DUMMYFUNCTION("""COMPUTED_VALUE"""),"Stefano Bossi")</f>
        <v>Stefano Bossi</v>
      </c>
      <c r="B316" s="19" t="str">
        <f>IFERROR(__xludf.DUMMYFUNCTION("""COMPUTED_VALUE"""),"TRA")</f>
        <v>TRA</v>
      </c>
      <c r="C316" s="20">
        <f>IFERROR(__xludf.DUMMYFUNCTION("""COMPUTED_VALUE"""),648.0)</f>
        <v>648</v>
      </c>
      <c r="D316" s="21">
        <f>IFERROR(__xludf.DUMMYFUNCTION("""COMPUTED_VALUE"""),-0.36157846405276384)</f>
        <v>-0.3615784641</v>
      </c>
      <c r="E316" s="21">
        <f>IFERROR(__xludf.DUMMYFUNCTION("""COMPUTED_VALUE"""),-0.9660034521094802)</f>
        <v>-0.9660034521</v>
      </c>
      <c r="F316" s="21">
        <f>IFERROR(__xludf.DUMMYFUNCTION("""COMPUTED_VALUE"""),-1.327622016162244)</f>
        <v>-1.327622016</v>
      </c>
      <c r="G316" s="23">
        <f>IFERROR(__xludf.DUMMYFUNCTION("""COMPUTED_VALUE"""),0.13495733059468298)</f>
        <v>0.1349573306</v>
      </c>
      <c r="H316" s="4"/>
      <c r="I316" s="5" t="s">
        <v>3514</v>
      </c>
      <c r="J316" s="5" t="s">
        <v>2838</v>
      </c>
      <c r="K316" s="5">
        <v>332.0</v>
      </c>
      <c r="L316" s="5">
        <v>-4.731279</v>
      </c>
      <c r="M316" s="5">
        <v>1.044055</v>
      </c>
      <c r="N316" s="5">
        <v>-3.687224</v>
      </c>
      <c r="O316" s="5">
        <v>-0.167813</v>
      </c>
    </row>
    <row r="317">
      <c r="A317" s="12" t="str">
        <f>IFERROR(__xludf.DUMMYFUNCTION("""COMPUTED_VALUE"""),"Matteo Pollone")</f>
        <v>Matteo Pollone</v>
      </c>
      <c r="B317" s="13" t="str">
        <f>IFERROR(__xludf.DUMMYFUNCTION("""COMPUTED_VALUE"""),"BEI")</f>
        <v>BEI</v>
      </c>
      <c r="C317" s="14">
        <f>IFERROR(__xludf.DUMMYFUNCTION("""COMPUTED_VALUE"""),55.0)</f>
        <v>55</v>
      </c>
      <c r="D317" s="15">
        <f>IFERROR(__xludf.DUMMYFUNCTION("""COMPUTED_VALUE"""),-0.8819802217958586)</f>
        <v>-0.8819802218</v>
      </c>
      <c r="E317" s="15">
        <f>IFERROR(__xludf.DUMMYFUNCTION("""COMPUTED_VALUE"""),-0.50505610930362)</f>
        <v>-0.5050561093</v>
      </c>
      <c r="F317" s="15">
        <f>IFERROR(__xludf.DUMMYFUNCTION("""COMPUTED_VALUE"""),-1.3870501310994785)</f>
        <v>-1.387050131</v>
      </c>
      <c r="G317" s="17">
        <f>IFERROR(__xludf.DUMMYFUNCTION("""COMPUTED_VALUE"""),0.010254274000214197)</f>
        <v>0.010254274</v>
      </c>
      <c r="H317" s="4"/>
      <c r="I317" s="5" t="s">
        <v>3515</v>
      </c>
      <c r="J317" s="5" t="s">
        <v>3205</v>
      </c>
      <c r="K317" s="5">
        <v>226.0</v>
      </c>
      <c r="L317" s="5">
        <v>-2.728779</v>
      </c>
      <c r="M317" s="5">
        <v>-0.960568</v>
      </c>
      <c r="N317" s="5">
        <v>-3.689347</v>
      </c>
      <c r="O317" s="5">
        <v>-0.116007</v>
      </c>
    </row>
    <row r="318">
      <c r="A318" s="18" t="str">
        <f>IFERROR(__xludf.DUMMYFUNCTION("""COMPUTED_VALUE"""),"Todor Radonjic")</f>
        <v>Todor Radonjic</v>
      </c>
      <c r="B318" s="19" t="str">
        <f>IFERROR(__xludf.DUMMYFUNCTION("""COMPUTED_VALUE"""),"TORT")</f>
        <v>TORT</v>
      </c>
      <c r="C318" s="20">
        <f>IFERROR(__xludf.DUMMYFUNCTION("""COMPUTED_VALUE"""),333.0)</f>
        <v>333</v>
      </c>
      <c r="D318" s="21">
        <f>IFERROR(__xludf.DUMMYFUNCTION("""COMPUTED_VALUE"""),0.18662461918883302)</f>
        <v>0.1866246192</v>
      </c>
      <c r="E318" s="21">
        <f>IFERROR(__xludf.DUMMYFUNCTION("""COMPUTED_VALUE"""),-1.5896155500787807)</f>
        <v>-1.58961555</v>
      </c>
      <c r="F318" s="21">
        <f>IFERROR(__xludf.DUMMYFUNCTION("""COMPUTED_VALUE"""),-1.4030038308899477)</f>
        <v>-1.403003831</v>
      </c>
      <c r="G318" s="23">
        <f>IFERROR(__xludf.DUMMYFUNCTION("""COMPUTED_VALUE"""),0.06862022605561223)</f>
        <v>0.06862022606</v>
      </c>
      <c r="H318" s="4"/>
      <c r="I318" s="5" t="s">
        <v>1087</v>
      </c>
      <c r="J318" s="5" t="s">
        <v>3256</v>
      </c>
      <c r="K318" s="5">
        <v>388.0</v>
      </c>
      <c r="L318" s="5">
        <v>-2.398893</v>
      </c>
      <c r="M318" s="5">
        <v>-1.305145</v>
      </c>
      <c r="N318" s="5">
        <v>-3.704038</v>
      </c>
      <c r="O318" s="5">
        <v>-0.200461</v>
      </c>
    </row>
    <row r="319">
      <c r="A319" s="12" t="str">
        <f>IFERROR(__xludf.DUMMYFUNCTION("""COMPUTED_VALUE"""),"Emanuele Rossi")</f>
        <v>Emanuele Rossi</v>
      </c>
      <c r="B319" s="13" t="str">
        <f>IFERROR(__xludf.DUMMYFUNCTION("""COMPUTED_VALUE"""),"TREV")</f>
        <v>TREV</v>
      </c>
      <c r="C319" s="14">
        <f>IFERROR(__xludf.DUMMYFUNCTION("""COMPUTED_VALUE"""),600.0)</f>
        <v>600</v>
      </c>
      <c r="D319" s="15">
        <f>IFERROR(__xludf.DUMMYFUNCTION("""COMPUTED_VALUE"""),-0.5659551978228465)</f>
        <v>-0.5659551978</v>
      </c>
      <c r="E319" s="15">
        <f>IFERROR(__xludf.DUMMYFUNCTION("""COMPUTED_VALUE"""),-0.8415076596014714)</f>
        <v>-0.8415076596</v>
      </c>
      <c r="F319" s="15">
        <f>IFERROR(__xludf.DUMMYFUNCTION("""COMPUTED_VALUE"""),-1.407473557424318)</f>
        <v>-1.407473557</v>
      </c>
      <c r="G319" s="17">
        <f>IFERROR(__xludf.DUMMYFUNCTION("""COMPUTED_VALUE"""),0.21702487269823778)</f>
        <v>0.2170248727</v>
      </c>
      <c r="H319" s="4"/>
      <c r="I319" s="5" t="s">
        <v>3516</v>
      </c>
      <c r="J319" s="5" t="s">
        <v>3207</v>
      </c>
      <c r="K319" s="5">
        <v>666.0</v>
      </c>
      <c r="L319" s="5">
        <v>-1.178807</v>
      </c>
      <c r="M319" s="5">
        <v>-2.574462</v>
      </c>
      <c r="N319" s="5">
        <v>-3.753269</v>
      </c>
      <c r="O319" s="5">
        <v>-0.347974</v>
      </c>
    </row>
    <row r="320">
      <c r="A320" s="18" t="str">
        <f>IFERROR(__xludf.DUMMYFUNCTION("""COMPUTED_VALUE"""),"Edoardo Lucarelli")</f>
        <v>Edoardo Lucarelli</v>
      </c>
      <c r="B320" s="19" t="str">
        <f>IFERROR(__xludf.DUMMYFUNCTION("""COMPUTED_VALUE"""),"ROM")</f>
        <v>ROM</v>
      </c>
      <c r="C320" s="20">
        <f>IFERROR(__xludf.DUMMYFUNCTION("""COMPUTED_VALUE"""),41.0)</f>
        <v>41</v>
      </c>
      <c r="D320" s="21">
        <f>IFERROR(__xludf.DUMMYFUNCTION("""COMPUTED_VALUE"""),-0.9230789970508694)</f>
        <v>-0.9230789971</v>
      </c>
      <c r="E320" s="21">
        <f>IFERROR(__xludf.DUMMYFUNCTION("""COMPUTED_VALUE"""),-0.5111462903290324)</f>
        <v>-0.5111462903</v>
      </c>
      <c r="F320" s="21">
        <f>IFERROR(__xludf.DUMMYFUNCTION("""COMPUTED_VALUE"""),-1.4342481873799018)</f>
        <v>-1.434248187</v>
      </c>
      <c r="G320" s="23">
        <f>IFERROR(__xludf.DUMMYFUNCTION("""COMPUTED_VALUE"""),0.006987885135914934)</f>
        <v>0.006987885136</v>
      </c>
      <c r="H320" s="4"/>
      <c r="I320" s="5" t="s">
        <v>3517</v>
      </c>
      <c r="J320" s="5" t="s">
        <v>3229</v>
      </c>
      <c r="K320" s="5">
        <v>635.0</v>
      </c>
      <c r="L320" s="5">
        <v>-4.13866</v>
      </c>
      <c r="M320" s="5">
        <v>0.352837</v>
      </c>
      <c r="N320" s="5">
        <v>-3.785823</v>
      </c>
      <c r="O320" s="5">
        <v>-0.358495</v>
      </c>
    </row>
    <row r="321">
      <c r="A321" s="12" t="str">
        <f>IFERROR(__xludf.DUMMYFUNCTION("""COMPUTED_VALUE"""),"Gabriele Benetti")</f>
        <v>Gabriele Benetti</v>
      </c>
      <c r="B321" s="13" t="str">
        <f>IFERROR(__xludf.DUMMYFUNCTION("""COMPUTED_VALUE"""),"ROM")</f>
        <v>ROM</v>
      </c>
      <c r="C321" s="14">
        <f>IFERROR(__xludf.DUMMYFUNCTION("""COMPUTED_VALUE"""),208.0)</f>
        <v>208</v>
      </c>
      <c r="D321" s="15">
        <f>IFERROR(__xludf.DUMMYFUNCTION("""COMPUTED_VALUE"""),-1.7193046404253796)</f>
        <v>-1.71930464</v>
      </c>
      <c r="E321" s="15">
        <f>IFERROR(__xludf.DUMMYFUNCTION("""COMPUTED_VALUE"""),0.24470514546438313)</f>
        <v>0.2447051455</v>
      </c>
      <c r="F321" s="15">
        <f>IFERROR(__xludf.DUMMYFUNCTION("""COMPUTED_VALUE"""),-1.4746413949609964)</f>
        <v>-1.474641395</v>
      </c>
      <c r="G321" s="17">
        <f>IFERROR(__xludf.DUMMYFUNCTION("""COMPUTED_VALUE"""),0.032853663169528445)</f>
        <v>0.03285366317</v>
      </c>
      <c r="H321" s="4"/>
      <c r="I321" s="5" t="s">
        <v>3239</v>
      </c>
      <c r="J321" s="5" t="s">
        <v>3233</v>
      </c>
      <c r="K321" s="5">
        <v>241.0</v>
      </c>
      <c r="L321" s="5">
        <v>-0.713924</v>
      </c>
      <c r="M321" s="5">
        <v>-3.093648</v>
      </c>
      <c r="N321" s="5">
        <v>-3.807572</v>
      </c>
      <c r="O321" s="5">
        <v>-0.128956</v>
      </c>
    </row>
    <row r="322">
      <c r="A322" s="18" t="str">
        <f>IFERROR(__xludf.DUMMYFUNCTION("""COMPUTED_VALUE"""),"Simone Bellan")</f>
        <v>Simone Bellan</v>
      </c>
      <c r="B322" s="19" t="str">
        <f>IFERROR(__xludf.DUMMYFUNCTION("""COMPUTED_VALUE"""),"NCM")</f>
        <v>NCM</v>
      </c>
      <c r="C322" s="20">
        <f>IFERROR(__xludf.DUMMYFUNCTION("""COMPUTED_VALUE"""),710.0)</f>
        <v>710</v>
      </c>
      <c r="D322" s="21">
        <f>IFERROR(__xludf.DUMMYFUNCTION("""COMPUTED_VALUE"""),-3.5598347830074717)</f>
        <v>-3.559834783</v>
      </c>
      <c r="E322" s="21">
        <f>IFERROR(__xludf.DUMMYFUNCTION("""COMPUTED_VALUE"""),2.0475657648296504)</f>
        <v>2.047565765</v>
      </c>
      <c r="F322" s="21">
        <f>IFERROR(__xludf.DUMMYFUNCTION("""COMPUTED_VALUE"""),-1.5123110181778214)</f>
        <v>-1.512311018</v>
      </c>
      <c r="G322" s="23">
        <f>IFERROR(__xludf.DUMMYFUNCTION("""COMPUTED_VALUE"""),0.10679496635529329)</f>
        <v>0.1067949664</v>
      </c>
      <c r="H322" s="4"/>
      <c r="I322" s="5" t="s">
        <v>3518</v>
      </c>
      <c r="J322" s="5" t="s">
        <v>3226</v>
      </c>
      <c r="K322" s="5">
        <v>155.0</v>
      </c>
      <c r="L322" s="5">
        <v>-4.150523</v>
      </c>
      <c r="M322" s="5">
        <v>0.271959</v>
      </c>
      <c r="N322" s="5">
        <v>-3.878564</v>
      </c>
      <c r="O322" s="5">
        <v>-0.088563</v>
      </c>
    </row>
    <row r="323">
      <c r="A323" s="12" t="str">
        <f>IFERROR(__xludf.DUMMYFUNCTION("""COMPUTED_VALUE"""),"Andrea Raschi")</f>
        <v>Andrea Raschi</v>
      </c>
      <c r="B323" s="13" t="str">
        <f>IFERROR(__xludf.DUMMYFUNCTION("""COMPUTED_VALUE"""),"RAV")</f>
        <v>RAV</v>
      </c>
      <c r="C323" s="14">
        <f>IFERROR(__xludf.DUMMYFUNCTION("""COMPUTED_VALUE"""),526.0)</f>
        <v>526</v>
      </c>
      <c r="D323" s="15">
        <f>IFERROR(__xludf.DUMMYFUNCTION("""COMPUTED_VALUE"""),-2.4384515197293806)</f>
        <v>-2.43845152</v>
      </c>
      <c r="E323" s="15">
        <f>IFERROR(__xludf.DUMMYFUNCTION("""COMPUTED_VALUE"""),0.8893650193612974)</f>
        <v>0.8893650194</v>
      </c>
      <c r="F323" s="15">
        <f>IFERROR(__xludf.DUMMYFUNCTION("""COMPUTED_VALUE"""),-1.5490990003680831)</f>
        <v>-1.549099</v>
      </c>
      <c r="G323" s="17">
        <f>IFERROR(__xludf.DUMMYFUNCTION("""COMPUTED_VALUE"""),0.07172402765764611)</f>
        <v>0.07172402766</v>
      </c>
      <c r="H323" s="4"/>
      <c r="I323" s="5" t="s">
        <v>3519</v>
      </c>
      <c r="J323" s="5" t="s">
        <v>3283</v>
      </c>
      <c r="K323" s="5">
        <v>479.0</v>
      </c>
      <c r="L323" s="5">
        <v>-1.295698</v>
      </c>
      <c r="M323" s="5">
        <v>-2.667513</v>
      </c>
      <c r="N323" s="5">
        <v>-3.963212</v>
      </c>
      <c r="O323" s="5">
        <v>-0.28582</v>
      </c>
    </row>
    <row r="324">
      <c r="A324" s="18" t="str">
        <f>IFERROR(__xludf.DUMMYFUNCTION("""COMPUTED_VALUE"""),"Mauro Pinton")</f>
        <v>Mauro Pinton</v>
      </c>
      <c r="B324" s="19" t="str">
        <f>IFERROR(__xludf.DUMMYFUNCTION("""COMPUTED_VALUE"""),"AMIC")</f>
        <v>AMIC</v>
      </c>
      <c r="C324" s="20">
        <f>IFERROR(__xludf.DUMMYFUNCTION("""COMPUTED_VALUE"""),368.0)</f>
        <v>368</v>
      </c>
      <c r="D324" s="21">
        <f>IFERROR(__xludf.DUMMYFUNCTION("""COMPUTED_VALUE"""),-0.4722218791491973)</f>
        <v>-0.4722218791</v>
      </c>
      <c r="E324" s="21">
        <f>IFERROR(__xludf.DUMMYFUNCTION("""COMPUTED_VALUE"""),-1.0796509787003412)</f>
        <v>-1.079650979</v>
      </c>
      <c r="F324" s="21">
        <f>IFERROR(__xludf.DUMMYFUNCTION("""COMPUTED_VALUE"""),-1.5518872578495384)</f>
        <v>-1.551887258</v>
      </c>
      <c r="G324" s="23">
        <f>IFERROR(__xludf.DUMMYFUNCTION("""COMPUTED_VALUE"""),0.04990350340017023)</f>
        <v>0.0499035034</v>
      </c>
      <c r="H324" s="4"/>
      <c r="I324" s="5" t="s">
        <v>3520</v>
      </c>
      <c r="J324" s="5" t="s">
        <v>3207</v>
      </c>
      <c r="K324" s="5">
        <v>145.0</v>
      </c>
      <c r="L324" s="5">
        <v>-2.58635</v>
      </c>
      <c r="M324" s="5">
        <v>-1.435861</v>
      </c>
      <c r="N324" s="5">
        <v>-4.022211</v>
      </c>
      <c r="O324" s="5">
        <v>-0.087494</v>
      </c>
    </row>
    <row r="325">
      <c r="A325" s="12" t="str">
        <f>IFERROR(__xludf.DUMMYFUNCTION("""COMPUTED_VALUE"""),"Lorenzo Bucarelli")</f>
        <v>Lorenzo Bucarelli</v>
      </c>
      <c r="B325" s="13" t="str">
        <f>IFERROR(__xludf.DUMMYFUNCTION("""COMPUTED_VALUE"""),"CAGL")</f>
        <v>CAGL</v>
      </c>
      <c r="C325" s="14">
        <f>IFERROR(__xludf.DUMMYFUNCTION("""COMPUTED_VALUE"""),747.0)</f>
        <v>747</v>
      </c>
      <c r="D325" s="15">
        <f>IFERROR(__xludf.DUMMYFUNCTION("""COMPUTED_VALUE"""),-1.693413507174105)</f>
        <v>-1.693413507</v>
      </c>
      <c r="E325" s="15">
        <f>IFERROR(__xludf.DUMMYFUNCTION("""COMPUTED_VALUE"""),0.10030785335826424)</f>
        <v>0.1003078534</v>
      </c>
      <c r="F325" s="15">
        <f>IFERROR(__xludf.DUMMYFUNCTION("""COMPUTED_VALUE"""),-1.5931447538158408)</f>
        <v>-1.593144754</v>
      </c>
      <c r="G325" s="17">
        <f>IFERROR(__xludf.DUMMYFUNCTION("""COMPUTED_VALUE"""),0.09231342513902448)</f>
        <v>0.09231342514</v>
      </c>
      <c r="H325" s="4"/>
      <c r="I325" s="5" t="s">
        <v>3521</v>
      </c>
      <c r="J325" s="5" t="s">
        <v>3220</v>
      </c>
      <c r="K325" s="5">
        <v>234.0</v>
      </c>
      <c r="L325" s="5">
        <v>-2.819385</v>
      </c>
      <c r="M325" s="5">
        <v>-1.212113</v>
      </c>
      <c r="N325" s="5">
        <v>-4.031499</v>
      </c>
      <c r="O325" s="5">
        <v>-0.145626</v>
      </c>
    </row>
    <row r="326">
      <c r="A326" s="18" t="str">
        <f>IFERROR(__xludf.DUMMYFUNCTION("""COMPUTED_VALUE"""),"DeShawn Sims")</f>
        <v>DeShawn Sims</v>
      </c>
      <c r="B326" s="19" t="str">
        <f>IFERROR(__xludf.DUMMYFUNCTION("""COMPUTED_VALUE"""),"LEON")</f>
        <v>LEON</v>
      </c>
      <c r="C326" s="20">
        <f>IFERROR(__xludf.DUMMYFUNCTION("""COMPUTED_VALUE"""),834.0)</f>
        <v>834</v>
      </c>
      <c r="D326" s="21">
        <f>IFERROR(__xludf.DUMMYFUNCTION("""COMPUTED_VALUE"""),-0.04388304797212532)</f>
        <v>-0.04388304797</v>
      </c>
      <c r="E326" s="21">
        <f>IFERROR(__xludf.DUMMYFUNCTION("""COMPUTED_VALUE"""),-1.5590754103524491)</f>
        <v>-1.55907541</v>
      </c>
      <c r="F326" s="21">
        <f>IFERROR(__xludf.DUMMYFUNCTION("""COMPUTED_VALUE"""),-1.6029657583245744)</f>
        <v>-1.602965758</v>
      </c>
      <c r="G326" s="23">
        <f>IFERROR(__xludf.DUMMYFUNCTION("""COMPUTED_VALUE"""),0.11645819158989255)</f>
        <v>0.1164581916</v>
      </c>
      <c r="H326" s="4"/>
      <c r="I326" s="5" t="s">
        <v>3522</v>
      </c>
      <c r="J326" s="5" t="s">
        <v>3223</v>
      </c>
      <c r="K326" s="5">
        <v>156.0</v>
      </c>
      <c r="L326" s="5">
        <v>-4.49176</v>
      </c>
      <c r="M326" s="5">
        <v>0.44955</v>
      </c>
      <c r="N326" s="5">
        <v>-4.04221</v>
      </c>
      <c r="O326" s="5">
        <v>-0.096886</v>
      </c>
    </row>
    <row r="327">
      <c r="A327" s="12" t="str">
        <f>IFERROR(__xludf.DUMMYFUNCTION("""COMPUTED_VALUE"""),"Federico Lestini")</f>
        <v>Federico Lestini</v>
      </c>
      <c r="B327" s="13" t="str">
        <f>IFERROR(__xludf.DUMMYFUNCTION("""COMPUTED_VALUE"""),"SANA")</f>
        <v>SANA</v>
      </c>
      <c r="C327" s="14">
        <f>IFERROR(__xludf.DUMMYFUNCTION("""COMPUTED_VALUE"""),246.0)</f>
        <v>246</v>
      </c>
      <c r="D327" s="15">
        <f>IFERROR(__xludf.DUMMYFUNCTION("""COMPUTED_VALUE"""),-0.18772883340062263)</f>
        <v>-0.1877288334</v>
      </c>
      <c r="E327" s="15">
        <f>IFERROR(__xludf.DUMMYFUNCTION("""COMPUTED_VALUE"""),-1.4347923596334717)</f>
        <v>-1.43479236</v>
      </c>
      <c r="F327" s="15">
        <f>IFERROR(__xludf.DUMMYFUNCTION("""COMPUTED_VALUE"""),-1.6225445930340943)</f>
        <v>-1.622544593</v>
      </c>
      <c r="G327" s="17">
        <f>IFERROR(__xludf.DUMMYFUNCTION("""COMPUTED_VALUE"""),0.028266654595054466)</f>
        <v>0.0282666546</v>
      </c>
      <c r="H327" s="4"/>
      <c r="I327" s="5" t="s">
        <v>3523</v>
      </c>
      <c r="J327" s="5" t="s">
        <v>3256</v>
      </c>
      <c r="K327" s="5">
        <v>372.0</v>
      </c>
      <c r="L327" s="5">
        <v>-3.225118</v>
      </c>
      <c r="M327" s="5">
        <v>-0.858507</v>
      </c>
      <c r="N327" s="5">
        <v>-4.083625</v>
      </c>
      <c r="O327" s="5">
        <v>-0.234934</v>
      </c>
    </row>
    <row r="328">
      <c r="A328" s="18" t="str">
        <f>IFERROR(__xludf.DUMMYFUNCTION("""COMPUTED_VALUE"""),"Giga Janelidze")</f>
        <v>Giga Janelidze</v>
      </c>
      <c r="B328" s="19" t="str">
        <f>IFERROR(__xludf.DUMMYFUNCTION("""COMPUTED_VALUE"""),"TRIE")</f>
        <v>TRIE</v>
      </c>
      <c r="C328" s="20">
        <f>IFERROR(__xludf.DUMMYFUNCTION("""COMPUTED_VALUE"""),627.0)</f>
        <v>627</v>
      </c>
      <c r="D328" s="21">
        <f>IFERROR(__xludf.DUMMYFUNCTION("""COMPUTED_VALUE"""),-1.1768447212091915)</f>
        <v>-1.176844721</v>
      </c>
      <c r="E328" s="21">
        <f>IFERROR(__xludf.DUMMYFUNCTION("""COMPUTED_VALUE"""),-0.4791259127341775)</f>
        <v>-0.4791259127</v>
      </c>
      <c r="F328" s="21">
        <f>IFERROR(__xludf.DUMMYFUNCTION("""COMPUTED_VALUE"""),-1.655995533943369)</f>
        <v>-1.655995534</v>
      </c>
      <c r="G328" s="23">
        <f>IFERROR(__xludf.DUMMYFUNCTION("""COMPUTED_VALUE"""),0.0665401453712527)</f>
        <v>0.06654014537</v>
      </c>
      <c r="H328" s="4"/>
      <c r="I328" s="5" t="s">
        <v>3524</v>
      </c>
      <c r="J328" s="5" t="s">
        <v>2838</v>
      </c>
      <c r="K328" s="5">
        <v>241.0</v>
      </c>
      <c r="L328" s="5">
        <v>-4.770746</v>
      </c>
      <c r="M328" s="5">
        <v>0.657235</v>
      </c>
      <c r="N328" s="5">
        <v>-4.11351</v>
      </c>
      <c r="O328" s="5">
        <v>-0.152341</v>
      </c>
    </row>
    <row r="329">
      <c r="A329" s="12" t="str">
        <f>IFERROR(__xludf.DUMMYFUNCTION("""COMPUTED_VALUE"""),"Eric Lombardi")</f>
        <v>Eric Lombardi</v>
      </c>
      <c r="B329" s="13" t="str">
        <f>IFERROR(__xludf.DUMMYFUNCTION("""COMPUTED_VALUE"""),"TREV")</f>
        <v>TREV</v>
      </c>
      <c r="C329" s="14">
        <f>IFERROR(__xludf.DUMMYFUNCTION("""COMPUTED_VALUE"""),518.0)</f>
        <v>518</v>
      </c>
      <c r="D329" s="15">
        <f>IFERROR(__xludf.DUMMYFUNCTION("""COMPUTED_VALUE"""),-0.4055619152658647)</f>
        <v>-0.4055619153</v>
      </c>
      <c r="E329" s="15">
        <f>IFERROR(__xludf.DUMMYFUNCTION("""COMPUTED_VALUE"""),-1.2583032406803234)</f>
        <v>-1.258303241</v>
      </c>
      <c r="F329" s="15">
        <f>IFERROR(__xludf.DUMMYFUNCTION("""COMPUTED_VALUE"""),-1.6638883559461881)</f>
        <v>-1.663888356</v>
      </c>
      <c r="G329" s="17">
        <f>IFERROR(__xludf.DUMMYFUNCTION("""COMPUTED_VALUE"""),0.10630096893433684)</f>
        <v>0.1063009689</v>
      </c>
      <c r="H329" s="4"/>
      <c r="I329" s="5" t="s">
        <v>3525</v>
      </c>
      <c r="J329" s="5" t="s">
        <v>3278</v>
      </c>
      <c r="K329" s="5">
        <v>260.0</v>
      </c>
      <c r="L329" s="5">
        <v>-2.487915</v>
      </c>
      <c r="M329" s="5">
        <v>-1.657111</v>
      </c>
      <c r="N329" s="5">
        <v>-4.145026</v>
      </c>
      <c r="O329" s="5">
        <v>-0.168422</v>
      </c>
    </row>
    <row r="330">
      <c r="A330" s="18" t="str">
        <f>IFERROR(__xludf.DUMMYFUNCTION("""COMPUTED_VALUE"""),"Lucateodoro Gazineo")</f>
        <v>Lucateodoro Gazineo</v>
      </c>
      <c r="B330" s="19" t="str">
        <f>IFERROR(__xludf.DUMMYFUNCTION("""COMPUTED_VALUE"""),"LEGN")</f>
        <v>LEGN</v>
      </c>
      <c r="C330" s="20">
        <f>IFERROR(__xludf.DUMMYFUNCTION("""COMPUTED_VALUE"""),37.0)</f>
        <v>37</v>
      </c>
      <c r="D330" s="21">
        <f>IFERROR(__xludf.DUMMYFUNCTION("""COMPUTED_VALUE"""),-1.2581036026210348)</f>
        <v>-1.258103603</v>
      </c>
      <c r="E330" s="21">
        <f>IFERROR(__xludf.DUMMYFUNCTION("""COMPUTED_VALUE"""),-0.4208819619117808)</f>
        <v>-0.4208819619</v>
      </c>
      <c r="F330" s="21">
        <f>IFERROR(__xludf.DUMMYFUNCTION("""COMPUTED_VALUE"""),-1.6790137645328156)</f>
        <v>-1.679013765</v>
      </c>
      <c r="G330" s="23">
        <f>IFERROR(__xludf.DUMMYFUNCTION("""COMPUTED_VALUE"""),0.003635417611646868)</f>
        <v>0.003635417612</v>
      </c>
      <c r="H330" s="4"/>
      <c r="I330" s="5" t="s">
        <v>3526</v>
      </c>
      <c r="J330" s="5" t="s">
        <v>3237</v>
      </c>
      <c r="K330" s="5">
        <v>117.0</v>
      </c>
      <c r="L330" s="5">
        <v>-3.65048</v>
      </c>
      <c r="M330" s="5">
        <v>-0.530322</v>
      </c>
      <c r="N330" s="5">
        <v>-4.180802</v>
      </c>
      <c r="O330" s="5">
        <v>-0.086305</v>
      </c>
    </row>
    <row r="331">
      <c r="A331" s="12" t="str">
        <f>IFERROR(__xludf.DUMMYFUNCTION("""COMPUTED_VALUE"""),"Michele Maggioli")</f>
        <v>Michele Maggioli</v>
      </c>
      <c r="B331" s="13" t="str">
        <f>IFERROR(__xludf.DUMMYFUNCTION("""COMPUTED_VALUE"""),"IMOL")</f>
        <v>IMOL</v>
      </c>
      <c r="C331" s="14">
        <f>IFERROR(__xludf.DUMMYFUNCTION("""COMPUTED_VALUE"""),606.0)</f>
        <v>606</v>
      </c>
      <c r="D331" s="15">
        <f>IFERROR(__xludf.DUMMYFUNCTION("""COMPUTED_VALUE"""),-2.636689221670837)</f>
        <v>-2.636689222</v>
      </c>
      <c r="E331" s="15">
        <f>IFERROR(__xludf.DUMMYFUNCTION("""COMPUTED_VALUE"""),0.9508129502737831)</f>
        <v>0.9508129503</v>
      </c>
      <c r="F331" s="15">
        <f>IFERROR(__xludf.DUMMYFUNCTION("""COMPUTED_VALUE"""),-1.6858985713970538)</f>
        <v>-1.685898571</v>
      </c>
      <c r="G331" s="17">
        <f>IFERROR(__xludf.DUMMYFUNCTION("""COMPUTED_VALUE"""),0.05805445418700775)</f>
        <v>0.05805445419</v>
      </c>
      <c r="H331" s="4"/>
      <c r="I331" s="5" t="s">
        <v>3527</v>
      </c>
      <c r="J331" s="5" t="s">
        <v>3331</v>
      </c>
      <c r="K331" s="5">
        <v>446.0</v>
      </c>
      <c r="L331" s="5">
        <v>-3.344243</v>
      </c>
      <c r="M331" s="5">
        <v>-0.89744</v>
      </c>
      <c r="N331" s="5">
        <v>-4.241683</v>
      </c>
      <c r="O331" s="5">
        <v>-0.303381</v>
      </c>
    </row>
    <row r="332">
      <c r="A332" s="18" t="str">
        <f>IFERROR(__xludf.DUMMYFUNCTION("""COMPUTED_VALUE"""),"Giorgio Sgobba")</f>
        <v>Giorgio Sgobba</v>
      </c>
      <c r="B332" s="19" t="str">
        <f>IFERROR(__xludf.DUMMYFUNCTION("""COMPUTED_VALUE"""),"BEI")</f>
        <v>BEI</v>
      </c>
      <c r="C332" s="20">
        <f>IFERROR(__xludf.DUMMYFUNCTION("""COMPUTED_VALUE"""),531.0)</f>
        <v>531</v>
      </c>
      <c r="D332" s="21">
        <f>IFERROR(__xludf.DUMMYFUNCTION("""COMPUTED_VALUE"""),1.472846099718601)</f>
        <v>1.4728461</v>
      </c>
      <c r="E332" s="21">
        <f>IFERROR(__xludf.DUMMYFUNCTION("""COMPUTED_VALUE"""),-3.170784408045023)</f>
        <v>-3.170784408</v>
      </c>
      <c r="F332" s="21">
        <f>IFERROR(__xludf.DUMMYFUNCTION("""COMPUTED_VALUE"""),-1.6979462083264218)</f>
        <v>-1.697946208</v>
      </c>
      <c r="G332" s="23">
        <f>IFERROR(__xludf.DUMMYFUNCTION("""COMPUTED_VALUE"""),0.048728342730945944)</f>
        <v>0.04872834273</v>
      </c>
      <c r="H332" s="4"/>
      <c r="I332" s="5" t="s">
        <v>3528</v>
      </c>
      <c r="J332" s="5" t="s">
        <v>3207</v>
      </c>
      <c r="K332" s="5">
        <v>162.0</v>
      </c>
      <c r="L332" s="5">
        <v>-3.15389</v>
      </c>
      <c r="M332" s="5">
        <v>-1.111359</v>
      </c>
      <c r="N332" s="5">
        <v>-4.265249</v>
      </c>
      <c r="O332" s="5">
        <v>-0.10956</v>
      </c>
    </row>
    <row r="333">
      <c r="A333" s="12" t="str">
        <f>IFERROR(__xludf.DUMMYFUNCTION("""COMPUTED_VALUE"""),"Hrvoje Vucic")</f>
        <v>Hrvoje Vucic</v>
      </c>
      <c r="B333" s="13" t="str">
        <f>IFERROR(__xludf.DUMMYFUNCTION("""COMPUTED_VALUE"""),"COUR")</f>
        <v>COUR</v>
      </c>
      <c r="C333" s="14">
        <f>IFERROR(__xludf.DUMMYFUNCTION("""COMPUTED_VALUE"""),141.0)</f>
        <v>141</v>
      </c>
      <c r="D333" s="15">
        <f>IFERROR(__xludf.DUMMYFUNCTION("""COMPUTED_VALUE"""),-0.035901821230487733)</f>
        <v>-0.03590182123</v>
      </c>
      <c r="E333" s="15">
        <f>IFERROR(__xludf.DUMMYFUNCTION("""COMPUTED_VALUE"""),-1.6650325381333304)</f>
        <v>-1.665032538</v>
      </c>
      <c r="F333" s="15">
        <f>IFERROR(__xludf.DUMMYFUNCTION("""COMPUTED_VALUE"""),-1.7009359593638183)</f>
        <v>-1.700935959</v>
      </c>
      <c r="G333" s="17">
        <f>IFERROR(__xludf.DUMMYFUNCTION("""COMPUTED_VALUE"""),0.014914202633196632)</f>
        <v>0.01491420263</v>
      </c>
      <c r="H333" s="4"/>
      <c r="I333" s="5" t="s">
        <v>3529</v>
      </c>
      <c r="J333" s="5" t="s">
        <v>3251</v>
      </c>
      <c r="K333" s="5">
        <v>273.0</v>
      </c>
      <c r="L333" s="5">
        <v>-1.272826</v>
      </c>
      <c r="M333" s="5">
        <v>-3.123574</v>
      </c>
      <c r="N333" s="5">
        <v>-4.3964</v>
      </c>
      <c r="O333" s="5">
        <v>-0.198459</v>
      </c>
    </row>
    <row r="334">
      <c r="A334" s="18" t="str">
        <f>IFERROR(__xludf.DUMMYFUNCTION("""COMPUTED_VALUE"""),"Davide Zambon")</f>
        <v>Davide Zambon</v>
      </c>
      <c r="B334" s="19" t="str">
        <f>IFERROR(__xludf.DUMMYFUNCTION("""COMPUTED_VALUE"""),"GAGA")</f>
        <v>GAGA</v>
      </c>
      <c r="C334" s="20">
        <f>IFERROR(__xludf.DUMMYFUNCTION("""COMPUTED_VALUE"""),493.0)</f>
        <v>493</v>
      </c>
      <c r="D334" s="21">
        <f>IFERROR(__xludf.DUMMYFUNCTION("""COMPUTED_VALUE"""),-0.6843260888659851)</f>
        <v>-0.6843260889</v>
      </c>
      <c r="E334" s="21">
        <f>IFERROR(__xludf.DUMMYFUNCTION("""COMPUTED_VALUE"""),-1.018123721805851)</f>
        <v>-1.018123722</v>
      </c>
      <c r="F334" s="21">
        <f>IFERROR(__xludf.DUMMYFUNCTION("""COMPUTED_VALUE"""),-1.702450710671836)</f>
        <v>-1.702450711</v>
      </c>
      <c r="G334" s="23">
        <f>IFERROR(__xludf.DUMMYFUNCTION("""COMPUTED_VALUE"""),0.04292409692172018)</f>
        <v>0.04292409692</v>
      </c>
      <c r="H334" s="4"/>
      <c r="I334" s="5" t="s">
        <v>3530</v>
      </c>
      <c r="J334" s="5" t="s">
        <v>3207</v>
      </c>
      <c r="K334" s="5">
        <v>386.0</v>
      </c>
      <c r="L334" s="5">
        <v>-2.494896</v>
      </c>
      <c r="M334" s="5">
        <v>-1.963249</v>
      </c>
      <c r="N334" s="5">
        <v>-4.458145</v>
      </c>
      <c r="O334" s="5">
        <v>-0.28315</v>
      </c>
    </row>
    <row r="335">
      <c r="A335" s="12" t="str">
        <f>IFERROR(__xludf.DUMMYFUNCTION("""COMPUTED_VALUE"""),"Alex Legion")</f>
        <v>Alex Legion</v>
      </c>
      <c r="B335" s="13" t="str">
        <f>IFERROR(__xludf.DUMMYFUNCTION("""COMPUTED_VALUE"""),"BOL")</f>
        <v>BOL</v>
      </c>
      <c r="C335" s="14">
        <f>IFERROR(__xludf.DUMMYFUNCTION("""COMPUTED_VALUE"""),438.0)</f>
        <v>438</v>
      </c>
      <c r="D335" s="15">
        <f>IFERROR(__xludf.DUMMYFUNCTION("""COMPUTED_VALUE"""),-1.87371936997521)</f>
        <v>-1.87371937</v>
      </c>
      <c r="E335" s="15">
        <f>IFERROR(__xludf.DUMMYFUNCTION("""COMPUTED_VALUE"""),0.14965525056768075)</f>
        <v>0.1496552506</v>
      </c>
      <c r="F335" s="15">
        <f>IFERROR(__xludf.DUMMYFUNCTION("""COMPUTED_VALUE"""),-1.7240876194075292)</f>
        <v>-1.724087619</v>
      </c>
      <c r="G335" s="17">
        <f>IFERROR(__xludf.DUMMYFUNCTION("""COMPUTED_VALUE"""),0.03696204540826687)</f>
        <v>0.03696204541</v>
      </c>
      <c r="H335" s="4"/>
      <c r="I335" s="5" t="s">
        <v>3531</v>
      </c>
      <c r="J335" s="5" t="s">
        <v>3240</v>
      </c>
      <c r="K335" s="5">
        <v>290.0</v>
      </c>
      <c r="L335" s="5">
        <v>-4.128156</v>
      </c>
      <c r="M335" s="5">
        <v>-0.331535</v>
      </c>
      <c r="N335" s="5">
        <v>-4.459692</v>
      </c>
      <c r="O335" s="5">
        <v>-0.217144</v>
      </c>
    </row>
    <row r="336">
      <c r="A336" s="18" t="str">
        <f>IFERROR(__xludf.DUMMYFUNCTION("""COMPUTED_VALUE"""),"Alex Ranuzzi")</f>
        <v>Alex Ranuzzi</v>
      </c>
      <c r="B336" s="19" t="str">
        <f>IFERROR(__xludf.DUMMYFUNCTION("""COMPUTED_VALUE"""),"SCAF")</f>
        <v>SCAF</v>
      </c>
      <c r="C336" s="20">
        <f>IFERROR(__xludf.DUMMYFUNCTION("""COMPUTED_VALUE"""),318.5)</f>
        <v>318.5</v>
      </c>
      <c r="D336" s="21">
        <f>IFERROR(__xludf.DUMMYFUNCTION("""COMPUTED_VALUE"""),-2.325734262824378)</f>
        <v>-2.325734263</v>
      </c>
      <c r="E336" s="21">
        <f>IFERROR(__xludf.DUMMYFUNCTION("""COMPUTED_VALUE"""),0.48956977128990603)</f>
        <v>0.4895697713</v>
      </c>
      <c r="F336" s="21">
        <f>IFERROR(__xludf.DUMMYFUNCTION("""COMPUTED_VALUE"""),-1.836177091534472)</f>
        <v>-1.836177092</v>
      </c>
      <c r="G336" s="23">
        <f>IFERROR(__xludf.DUMMYFUNCTION("""COMPUTED_VALUE"""),0.016751363825441328)</f>
        <v>0.01675136383</v>
      </c>
      <c r="H336" s="4"/>
      <c r="I336" s="5" t="s">
        <v>3532</v>
      </c>
      <c r="J336" s="5" t="s">
        <v>3331</v>
      </c>
      <c r="K336" s="5">
        <v>259.0</v>
      </c>
      <c r="L336" s="5">
        <v>-2.529044</v>
      </c>
      <c r="M336" s="5">
        <v>-1.94721</v>
      </c>
      <c r="N336" s="5">
        <v>-4.476254</v>
      </c>
      <c r="O336" s="5">
        <v>-0.194357</v>
      </c>
    </row>
    <row r="337">
      <c r="A337" s="12" t="str">
        <f>IFERROR(__xludf.DUMMYFUNCTION("""COMPUTED_VALUE"""),"Tommaso Rinaldi")</f>
        <v>Tommaso Rinaldi</v>
      </c>
      <c r="B337" s="13" t="str">
        <f>IFERROR(__xludf.DUMMYFUNCTION("""COMPUTED_VALUE"""),"JES")</f>
        <v>JES</v>
      </c>
      <c r="C337" s="14">
        <f>IFERROR(__xludf.DUMMYFUNCTION("""COMPUTED_VALUE"""),947.0)</f>
        <v>947</v>
      </c>
      <c r="D337" s="15">
        <f>IFERROR(__xludf.DUMMYFUNCTION("""COMPUTED_VALUE"""),-1.6118254493139805)</f>
        <v>-1.611825449</v>
      </c>
      <c r="E337" s="15">
        <f>IFERROR(__xludf.DUMMYFUNCTION("""COMPUTED_VALUE"""),-0.2296081995674542)</f>
        <v>-0.2296081996</v>
      </c>
      <c r="F337" s="15">
        <f>IFERROR(__xludf.DUMMYFUNCTION("""COMPUTED_VALUE"""),-1.8414451488814347)</f>
        <v>-1.841445149</v>
      </c>
      <c r="G337" s="17">
        <f>IFERROR(__xludf.DUMMYFUNCTION("""COMPUTED_VALUE"""),0.04800737024454449)</f>
        <v>0.04800737024</v>
      </c>
      <c r="H337" s="4"/>
      <c r="I337" s="5" t="s">
        <v>3533</v>
      </c>
      <c r="J337" s="5" t="s">
        <v>3240</v>
      </c>
      <c r="K337" s="5">
        <v>474.0</v>
      </c>
      <c r="L337" s="5">
        <v>-4.485827</v>
      </c>
      <c r="M337" s="5">
        <v>-0.06988</v>
      </c>
      <c r="N337" s="5">
        <v>-4.555707</v>
      </c>
      <c r="O337" s="5">
        <v>-0.369254</v>
      </c>
    </row>
    <row r="338">
      <c r="A338" s="18" t="str">
        <f>IFERROR(__xludf.DUMMYFUNCTION("""COMPUTED_VALUE"""),"Edoardo Roveda")</f>
        <v>Edoardo Roveda</v>
      </c>
      <c r="B338" s="19" t="str">
        <f>IFERROR(__xludf.DUMMYFUNCTION("""COMPUTED_VALUE"""),"LEGN")</f>
        <v>LEGN</v>
      </c>
      <c r="C338" s="20">
        <f>IFERROR(__xludf.DUMMYFUNCTION("""COMPUTED_VALUE"""),90.0)</f>
        <v>90</v>
      </c>
      <c r="D338" s="21">
        <f>IFERROR(__xludf.DUMMYFUNCTION("""COMPUTED_VALUE"""),-1.3699407137013473)</f>
        <v>-1.369940714</v>
      </c>
      <c r="E338" s="21">
        <f>IFERROR(__xludf.DUMMYFUNCTION("""COMPUTED_VALUE"""),-0.4723080998151247)</f>
        <v>-0.4723080998</v>
      </c>
      <c r="F338" s="21">
        <f>IFERROR(__xludf.DUMMYFUNCTION("""COMPUTED_VALUE"""),-1.842259013516472)</f>
        <v>-1.842259014</v>
      </c>
      <c r="G338" s="23">
        <f>IFERROR(__xludf.DUMMYFUNCTION("""COMPUTED_VALUE"""),0.004322125723479781)</f>
        <v>0.004322125723</v>
      </c>
      <c r="H338" s="4"/>
      <c r="I338" s="5" t="s">
        <v>3534</v>
      </c>
      <c r="J338" s="5" t="s">
        <v>3251</v>
      </c>
      <c r="K338" s="5">
        <v>413.0</v>
      </c>
      <c r="L338" s="5">
        <v>-2.877573</v>
      </c>
      <c r="M338" s="5">
        <v>-1.727063</v>
      </c>
      <c r="N338" s="5">
        <v>-4.604636</v>
      </c>
      <c r="O338" s="5">
        <v>-0.326801</v>
      </c>
    </row>
    <row r="339">
      <c r="A339" s="12" t="str">
        <f>IFERROR(__xludf.DUMMYFUNCTION("""COMPUTED_VALUE"""),"Davide Raucci")</f>
        <v>Davide Raucci</v>
      </c>
      <c r="B339" s="13" t="str">
        <f>IFERROR(__xludf.DUMMYFUNCTION("""COMPUTED_VALUE"""),"ROM")</f>
        <v>ROM</v>
      </c>
      <c r="C339" s="14">
        <f>IFERROR(__xludf.DUMMYFUNCTION("""COMPUTED_VALUE"""),78.0)</f>
        <v>78</v>
      </c>
      <c r="D339" s="15">
        <f>IFERROR(__xludf.DUMMYFUNCTION("""COMPUTED_VALUE"""),-1.3175261042081978)</f>
        <v>-1.317526104</v>
      </c>
      <c r="E339" s="15">
        <f>IFERROR(__xludf.DUMMYFUNCTION("""COMPUTED_VALUE"""),-0.5515593230439886)</f>
        <v>-0.551559323</v>
      </c>
      <c r="F339" s="15">
        <f>IFERROR(__xludf.DUMMYFUNCTION("""COMPUTED_VALUE"""),-1.8690976272521864)</f>
        <v>-1.869097627</v>
      </c>
      <c r="G339" s="17">
        <f>IFERROR(__xludf.DUMMYFUNCTION("""COMPUTED_VALUE"""),0.003078061307686001)</f>
        <v>0.003078061308</v>
      </c>
      <c r="H339" s="4"/>
      <c r="I339" s="5" t="s">
        <v>3535</v>
      </c>
      <c r="J339" s="5" t="s">
        <v>3331</v>
      </c>
      <c r="K339" s="5">
        <v>782.0</v>
      </c>
      <c r="L339" s="5">
        <v>0.192329</v>
      </c>
      <c r="M339" s="5">
        <v>-4.942187</v>
      </c>
      <c r="N339" s="5">
        <v>-4.749859</v>
      </c>
      <c r="O339" s="5">
        <v>-0.652419</v>
      </c>
    </row>
    <row r="340">
      <c r="A340" s="18" t="str">
        <f>IFERROR(__xludf.DUMMYFUNCTION("""COMPUTED_VALUE"""),"Mattia Mastroianni")</f>
        <v>Mattia Mastroianni</v>
      </c>
      <c r="B340" s="19" t="str">
        <f>IFERROR(__xludf.DUMMYFUNCTION("""COMPUTED_VALUE"""),"COUR")</f>
        <v>COUR</v>
      </c>
      <c r="C340" s="20">
        <f>IFERROR(__xludf.DUMMYFUNCTION("""COMPUTED_VALUE"""),620.0)</f>
        <v>620</v>
      </c>
      <c r="D340" s="21">
        <f>IFERROR(__xludf.DUMMYFUNCTION("""COMPUTED_VALUE"""),-0.8631695036537727)</f>
        <v>-0.8631695037</v>
      </c>
      <c r="E340" s="21">
        <f>IFERROR(__xludf.DUMMYFUNCTION("""COMPUTED_VALUE"""),-1.0069888765294686)</f>
        <v>-1.006988877</v>
      </c>
      <c r="F340" s="21">
        <f>IFERROR(__xludf.DUMMYFUNCTION("""COMPUTED_VALUE"""),-1.8701785801832413)</f>
        <v>-1.87017858</v>
      </c>
      <c r="G340" s="23">
        <f>IFERROR(__xludf.DUMMYFUNCTION("""COMPUTED_VALUE"""),0.02848500285744714)</f>
        <v>0.02848500286</v>
      </c>
      <c r="H340" s="4"/>
      <c r="I340" s="5" t="s">
        <v>3536</v>
      </c>
      <c r="J340" s="5" t="s">
        <v>3251</v>
      </c>
      <c r="K340" s="5">
        <v>355.0</v>
      </c>
      <c r="L340" s="5">
        <v>-1.557812</v>
      </c>
      <c r="M340" s="5">
        <v>-3.213857</v>
      </c>
      <c r="N340" s="5">
        <v>-4.771669</v>
      </c>
      <c r="O340" s="5">
        <v>-0.299089</v>
      </c>
    </row>
    <row r="341">
      <c r="A341" s="12" t="str">
        <f>IFERROR(__xludf.DUMMYFUNCTION("""COMPUTED_VALUE"""),"Adam Sollazzo")</f>
        <v>Adam Sollazzo</v>
      </c>
      <c r="B341" s="13" t="str">
        <f>IFERROR(__xludf.DUMMYFUNCTION("""COMPUTED_VALUE"""),"GAGA")</f>
        <v>GAGA</v>
      </c>
      <c r="C341" s="14">
        <f>IFERROR(__xludf.DUMMYFUNCTION("""COMPUTED_VALUE"""),874.0)</f>
        <v>874</v>
      </c>
      <c r="D341" s="15">
        <f>IFERROR(__xludf.DUMMYFUNCTION("""COMPUTED_VALUE"""),0.4149209017177479)</f>
        <v>0.4149209017</v>
      </c>
      <c r="E341" s="15">
        <f>IFERROR(__xludf.DUMMYFUNCTION("""COMPUTED_VALUE"""),-2.3079974311290266)</f>
        <v>-2.307997431</v>
      </c>
      <c r="F341" s="15">
        <f>IFERROR(__xludf.DUMMYFUNCTION("""COMPUTED_VALUE"""),-1.8930835294112787)</f>
        <v>-1.893083529</v>
      </c>
      <c r="G341" s="17">
        <f>IFERROR(__xludf.DUMMYFUNCTION("""COMPUTED_VALUE"""),0.027349754975080263)</f>
        <v>0.02734975498</v>
      </c>
      <c r="H341" s="4"/>
      <c r="I341" s="5" t="s">
        <v>3537</v>
      </c>
      <c r="J341" s="5" t="s">
        <v>3210</v>
      </c>
      <c r="K341" s="5">
        <v>532.0</v>
      </c>
      <c r="L341" s="5">
        <v>-3.705165</v>
      </c>
      <c r="M341" s="5">
        <v>-1.162103</v>
      </c>
      <c r="N341" s="5">
        <v>-4.867268</v>
      </c>
      <c r="O341" s="5">
        <v>-0.459337</v>
      </c>
    </row>
    <row r="342">
      <c r="A342" s="18" t="str">
        <f>IFERROR(__xludf.DUMMYFUNCTION("""COMPUTED_VALUE"""),"Patricio Prato")</f>
        <v>Patricio Prato</v>
      </c>
      <c r="B342" s="19" t="str">
        <f>IFERROR(__xludf.DUMMYFUNCTION("""COMPUTED_VALUE"""),"IMOL")</f>
        <v>IMOL</v>
      </c>
      <c r="C342" s="20">
        <f>IFERROR(__xludf.DUMMYFUNCTION("""COMPUTED_VALUE"""),481.0)</f>
        <v>481</v>
      </c>
      <c r="D342" s="21">
        <f>IFERROR(__xludf.DUMMYFUNCTION("""COMPUTED_VALUE"""),-0.34537959015413383)</f>
        <v>-0.3453795902</v>
      </c>
      <c r="E342" s="21">
        <f>IFERROR(__xludf.DUMMYFUNCTION("""COMPUTED_VALUE"""),-1.590912645670273)</f>
        <v>-1.590912646</v>
      </c>
      <c r="F342" s="21">
        <f>IFERROR(__xludf.DUMMYFUNCTION("""COMPUTED_VALUE"""),-1.9363056358244068)</f>
        <v>-1.936305636</v>
      </c>
      <c r="G342" s="23">
        <f>IFERROR(__xludf.DUMMYFUNCTION("""COMPUTED_VALUE"""),0.009353945478189117)</f>
        <v>0.009353945478</v>
      </c>
      <c r="H342" s="4"/>
      <c r="I342" s="5" t="s">
        <v>3538</v>
      </c>
      <c r="J342" s="5" t="s">
        <v>3283</v>
      </c>
      <c r="K342" s="5">
        <v>380.0</v>
      </c>
      <c r="L342" s="5">
        <v>-1.41241</v>
      </c>
      <c r="M342" s="5">
        <v>-3.47517</v>
      </c>
      <c r="N342" s="5">
        <v>-4.88758</v>
      </c>
      <c r="O342" s="5">
        <v>-0.333633</v>
      </c>
    </row>
    <row r="343">
      <c r="A343" s="12" t="str">
        <f>IFERROR(__xludf.DUMMYFUNCTION("""COMPUTED_VALUE"""),"Nemanja Dincic")</f>
        <v>Nemanja Dincic</v>
      </c>
      <c r="B343" s="13" t="str">
        <f>IFERROR(__xludf.DUMMYFUNCTION("""COMPUTED_VALUE"""),"TREV")</f>
        <v>TREV</v>
      </c>
      <c r="C343" s="14">
        <f>IFERROR(__xludf.DUMMYFUNCTION("""COMPUTED_VALUE"""),229.0)</f>
        <v>229</v>
      </c>
      <c r="D343" s="15">
        <f>IFERROR(__xludf.DUMMYFUNCTION("""COMPUTED_VALUE"""),0.17929530180969172)</f>
        <v>0.1792953018</v>
      </c>
      <c r="E343" s="15">
        <f>IFERROR(__xludf.DUMMYFUNCTION("""COMPUTED_VALUE"""),-2.134102106528439)</f>
        <v>-2.134102107</v>
      </c>
      <c r="F343" s="15">
        <f>IFERROR(__xludf.DUMMYFUNCTION("""COMPUTED_VALUE"""),-1.9548390047187474)</f>
        <v>-1.954839005</v>
      </c>
      <c r="G343" s="17">
        <f>IFERROR(__xludf.DUMMYFUNCTION("""COMPUTED_VALUE"""),0.006345088194852896)</f>
        <v>0.006345088195</v>
      </c>
      <c r="H343" s="4"/>
      <c r="I343" s="5" t="s">
        <v>3539</v>
      </c>
      <c r="J343" s="5" t="s">
        <v>3215</v>
      </c>
      <c r="K343" s="5">
        <v>410.0</v>
      </c>
      <c r="L343" s="5">
        <v>-3.412804</v>
      </c>
      <c r="M343" s="5">
        <v>-1.505788</v>
      </c>
      <c r="N343" s="5">
        <v>-4.918592</v>
      </c>
      <c r="O343" s="5">
        <v>-0.363173</v>
      </c>
    </row>
    <row r="344">
      <c r="A344" s="18" t="str">
        <f>IFERROR(__xludf.DUMMYFUNCTION("""COMPUTED_VALUE"""),"Riccardo Cattapan")</f>
        <v>Riccardo Cattapan</v>
      </c>
      <c r="B344" s="19" t="str">
        <f>IFERROR(__xludf.DUMMYFUNCTION("""COMPUTED_VALUE"""),"NCM")</f>
        <v>NCM</v>
      </c>
      <c r="C344" s="20">
        <f>IFERROR(__xludf.DUMMYFUNCTION("""COMPUTED_VALUE"""),593.0)</f>
        <v>593</v>
      </c>
      <c r="D344" s="21">
        <f>IFERROR(__xludf.DUMMYFUNCTION("""COMPUTED_VALUE"""),-4.817468396004686)</f>
        <v>-4.817468396</v>
      </c>
      <c r="E344" s="21">
        <f>IFERROR(__xludf.DUMMYFUNCTION("""COMPUTED_VALUE"""),2.848062533224777)</f>
        <v>2.848062533</v>
      </c>
      <c r="F344" s="21">
        <f>IFERROR(__xludf.DUMMYFUNCTION("""COMPUTED_VALUE"""),-1.9694429627799088)</f>
        <v>-1.969442963</v>
      </c>
      <c r="G344" s="23">
        <f>IFERROR(__xludf.DUMMYFUNCTION("""COMPUTED_VALUE"""),0.005623661648521054)</f>
        <v>0.005623661649</v>
      </c>
      <c r="H344" s="4"/>
      <c r="I344" s="5" t="s">
        <v>3540</v>
      </c>
      <c r="J344" s="5" t="s">
        <v>3229</v>
      </c>
      <c r="K344" s="5">
        <v>215.0</v>
      </c>
      <c r="L344" s="5">
        <v>-2.895847</v>
      </c>
      <c r="M344" s="5">
        <v>-2.066587</v>
      </c>
      <c r="N344" s="5">
        <v>-4.962435</v>
      </c>
      <c r="O344" s="5">
        <v>-0.201351</v>
      </c>
    </row>
    <row r="345">
      <c r="A345" s="12" t="str">
        <f>IFERROR(__xludf.DUMMYFUNCTION("""COMPUTED_VALUE"""),"Andrea Pastore")</f>
        <v>Andrea Pastore</v>
      </c>
      <c r="B345" s="13" t="str">
        <f>IFERROR(__xludf.DUMMYFUNCTION("""COMPUTED_VALUE"""),"LAT")</f>
        <v>LAT</v>
      </c>
      <c r="C345" s="14">
        <f>IFERROR(__xludf.DUMMYFUNCTION("""COMPUTED_VALUE"""),839.0)</f>
        <v>839</v>
      </c>
      <c r="D345" s="15">
        <f>IFERROR(__xludf.DUMMYFUNCTION("""COMPUTED_VALUE"""),-2.135250713426009)</f>
        <v>-2.135250713</v>
      </c>
      <c r="E345" s="15">
        <f>IFERROR(__xludf.DUMMYFUNCTION("""COMPUTED_VALUE"""),0.12751595227934243)</f>
        <v>0.1275159523</v>
      </c>
      <c r="F345" s="15">
        <f>IFERROR(__xludf.DUMMYFUNCTION("""COMPUTED_VALUE"""),-2.0077505611466666)</f>
        <v>-2.007750561</v>
      </c>
      <c r="G345" s="17">
        <f>IFERROR(__xludf.DUMMYFUNCTION("""COMPUTED_VALUE"""),-0.0020968402591893744)</f>
        <v>-0.002096840259</v>
      </c>
      <c r="H345" s="4"/>
      <c r="I345" s="5" t="s">
        <v>1158</v>
      </c>
      <c r="J345" s="5" t="s">
        <v>3226</v>
      </c>
      <c r="K345" s="5">
        <v>277.0</v>
      </c>
      <c r="L345" s="5">
        <v>-2.858212</v>
      </c>
      <c r="M345" s="5">
        <v>-2.128732</v>
      </c>
      <c r="N345" s="5">
        <v>-4.986944</v>
      </c>
      <c r="O345" s="5">
        <v>-0.252467</v>
      </c>
    </row>
    <row r="346">
      <c r="A346" s="18" t="str">
        <f>IFERROR(__xludf.DUMMYFUNCTION("""COMPUTED_VALUE"""),"Ryan Amoroso")</f>
        <v>Ryan Amoroso</v>
      </c>
      <c r="B346" s="19" t="str">
        <f>IFERROR(__xludf.DUMMYFUNCTION("""COMPUTED_VALUE"""),"CAS")</f>
        <v>CAS</v>
      </c>
      <c r="C346" s="20">
        <f>IFERROR(__xludf.DUMMYFUNCTION("""COMPUTED_VALUE"""),145.0)</f>
        <v>145</v>
      </c>
      <c r="D346" s="21">
        <f>IFERROR(__xludf.DUMMYFUNCTION("""COMPUTED_VALUE"""),-2.4113460977303807)</f>
        <v>-2.411346098</v>
      </c>
      <c r="E346" s="21">
        <f>IFERROR(__xludf.DUMMYFUNCTION("""COMPUTED_VALUE"""),0.39868617264515727)</f>
        <v>0.3986861726</v>
      </c>
      <c r="F346" s="21">
        <f>IFERROR(__xludf.DUMMYFUNCTION("""COMPUTED_VALUE"""),-2.0127038250852234)</f>
        <v>-2.012703825</v>
      </c>
      <c r="G346" s="23">
        <f>IFERROR(__xludf.DUMMYFUNCTION("""COMPUTED_VALUE"""),-5.408073965112236E-4)</f>
        <v>-0.0005408073965</v>
      </c>
      <c r="H346" s="4"/>
      <c r="I346" s="5" t="s">
        <v>3541</v>
      </c>
      <c r="J346" s="5" t="s">
        <v>3229</v>
      </c>
      <c r="K346" s="5">
        <v>326.0</v>
      </c>
      <c r="L346" s="5">
        <v>-0.706429</v>
      </c>
      <c r="M346" s="5">
        <v>-4.318743</v>
      </c>
      <c r="N346" s="5">
        <v>-5.025172</v>
      </c>
      <c r="O346" s="5">
        <v>-0.31153</v>
      </c>
    </row>
    <row r="347">
      <c r="A347" s="12" t="str">
        <f>IFERROR(__xludf.DUMMYFUNCTION("""COMPUTED_VALUE"""),"Demetri McCamey")</f>
        <v>Demetri McCamey</v>
      </c>
      <c r="B347" s="13" t="str">
        <f>IFERROR(__xludf.DUMMYFUNCTION("""COMPUTED_VALUE"""),"BOL")</f>
        <v>BOL</v>
      </c>
      <c r="C347" s="14">
        <f>IFERROR(__xludf.DUMMYFUNCTION("""COMPUTED_VALUE"""),660.0)</f>
        <v>660</v>
      </c>
      <c r="D347" s="15">
        <f>IFERROR(__xludf.DUMMYFUNCTION("""COMPUTED_VALUE"""),-1.490712489853266)</f>
        <v>-1.49071249</v>
      </c>
      <c r="E347" s="15">
        <f>IFERROR(__xludf.DUMMYFUNCTION("""COMPUTED_VALUE"""),-0.5224402624189354)</f>
        <v>-0.5224402624</v>
      </c>
      <c r="F347" s="15">
        <f>IFERROR(__xludf.DUMMYFUNCTION("""COMPUTED_VALUE"""),-2.0131727522722014)</f>
        <v>-2.013172752</v>
      </c>
      <c r="G347" s="17">
        <f>IFERROR(__xludf.DUMMYFUNCTION("""COMPUTED_VALUE"""),-0.0026373878848690293)</f>
        <v>-0.002637387885</v>
      </c>
      <c r="H347" s="4"/>
      <c r="I347" s="5" t="s">
        <v>3542</v>
      </c>
      <c r="J347" s="5" t="s">
        <v>3207</v>
      </c>
      <c r="K347" s="5">
        <v>370.0</v>
      </c>
      <c r="L347" s="5">
        <v>-3.09992</v>
      </c>
      <c r="M347" s="5">
        <v>-1.95893</v>
      </c>
      <c r="N347" s="5">
        <v>-5.05885</v>
      </c>
      <c r="O347" s="5">
        <v>-0.337569</v>
      </c>
    </row>
    <row r="348">
      <c r="A348" s="18" t="str">
        <f>IFERROR(__xludf.DUMMYFUNCTION("""COMPUTED_VALUE"""),"Davide Bonacini")</f>
        <v>Davide Bonacini</v>
      </c>
      <c r="B348" s="19" t="str">
        <f>IFERROR(__xludf.DUMMYFUNCTION("""COMPUTED_VALUE"""),"FOR")</f>
        <v>FOR</v>
      </c>
      <c r="C348" s="20">
        <f>IFERROR(__xludf.DUMMYFUNCTION("""COMPUTED_VALUE"""),461.0)</f>
        <v>461</v>
      </c>
      <c r="D348" s="21">
        <f>IFERROR(__xludf.DUMMYFUNCTION("""COMPUTED_VALUE"""),-2.831734096331007)</f>
        <v>-2.831734096</v>
      </c>
      <c r="E348" s="21">
        <f>IFERROR(__xludf.DUMMYFUNCTION("""COMPUTED_VALUE"""),0.8161378077406475)</f>
        <v>0.8161378077</v>
      </c>
      <c r="F348" s="21">
        <f>IFERROR(__xludf.DUMMYFUNCTION("""COMPUTED_VALUE"""),-2.0156371885903597)</f>
        <v>-2.015637189</v>
      </c>
      <c r="G348" s="23">
        <f>IFERROR(__xludf.DUMMYFUNCTION("""COMPUTED_VALUE"""),-0.0021387242512061508)</f>
        <v>-0.002138724251</v>
      </c>
      <c r="H348" s="4"/>
      <c r="I348" s="5" t="s">
        <v>3543</v>
      </c>
      <c r="J348" s="5" t="s">
        <v>2201</v>
      </c>
      <c r="K348" s="5">
        <v>371.0</v>
      </c>
      <c r="L348" s="5">
        <v>-5.418177</v>
      </c>
      <c r="M348" s="5">
        <v>0.263055</v>
      </c>
      <c r="N348" s="5">
        <v>-5.155123</v>
      </c>
      <c r="O348" s="5">
        <v>-0.357013</v>
      </c>
    </row>
    <row r="349">
      <c r="A349" s="12" t="str">
        <f>IFERROR(__xludf.DUMMYFUNCTION("""COMPUTED_VALUE"""),"Ousmane Gueye")</f>
        <v>Ousmane Gueye</v>
      </c>
      <c r="B349" s="13" t="str">
        <f>IFERROR(__xludf.DUMMYFUNCTION("""COMPUTED_VALUE"""),"POD")</f>
        <v>POD</v>
      </c>
      <c r="C349" s="14">
        <f>IFERROR(__xludf.DUMMYFUNCTION("""COMPUTED_VALUE"""),614.0)</f>
        <v>614</v>
      </c>
      <c r="D349" s="15">
        <f>IFERROR(__xludf.DUMMYFUNCTION("""COMPUTED_VALUE"""),-1.146645773124153)</f>
        <v>-1.146645773</v>
      </c>
      <c r="E349" s="15">
        <f>IFERROR(__xludf.DUMMYFUNCTION("""COMPUTED_VALUE"""),-0.8693454788901814)</f>
        <v>-0.8693454789</v>
      </c>
      <c r="F349" s="15">
        <f>IFERROR(__xludf.DUMMYFUNCTION("""COMPUTED_VALUE"""),-2.0160180520143345)</f>
        <v>-2.016018052</v>
      </c>
      <c r="G349" s="17">
        <f>IFERROR(__xludf.DUMMYFUNCTION("""COMPUTED_VALUE"""),-0.0029895612338658954)</f>
        <v>-0.002989561234</v>
      </c>
      <c r="H349" s="4"/>
      <c r="I349" s="5" t="s">
        <v>3544</v>
      </c>
      <c r="J349" s="5" t="s">
        <v>3229</v>
      </c>
      <c r="K349" s="5">
        <v>224.0</v>
      </c>
      <c r="L349" s="5">
        <v>-2.369507</v>
      </c>
      <c r="M349" s="5">
        <v>-2.802299</v>
      </c>
      <c r="N349" s="5">
        <v>-5.171806</v>
      </c>
      <c r="O349" s="5">
        <v>-0.224301</v>
      </c>
    </row>
    <row r="350">
      <c r="A350" s="18" t="str">
        <f>IFERROR(__xludf.DUMMYFUNCTION("""COMPUTED_VALUE"""),"Nicola Mei")</f>
        <v>Nicola Mei</v>
      </c>
      <c r="B350" s="19" t="str">
        <f>IFERROR(__xludf.DUMMYFUNCTION("""COMPUTED_VALUE"""),"MAN")</f>
        <v>MAN</v>
      </c>
      <c r="C350" s="20">
        <f>IFERROR(__xludf.DUMMYFUNCTION("""COMPUTED_VALUE"""),255.0)</f>
        <v>255</v>
      </c>
      <c r="D350" s="21">
        <f>IFERROR(__xludf.DUMMYFUNCTION("""COMPUTED_VALUE"""),-0.9632502713034053)</f>
        <v>-0.9632502713</v>
      </c>
      <c r="E350" s="21">
        <f>IFERROR(__xludf.DUMMYFUNCTION("""COMPUTED_VALUE"""),-1.098389117474338)</f>
        <v>-1.098389117</v>
      </c>
      <c r="F350" s="21">
        <f>IFERROR(__xludf.DUMMYFUNCTION("""COMPUTED_VALUE"""),-2.0616592887777436)</f>
        <v>-2.061659289</v>
      </c>
      <c r="G350" s="23">
        <f>IFERROR(__xludf.DUMMYFUNCTION("""COMPUTED_VALUE"""),-0.004940314260098162)</f>
        <v>-0.00494031426</v>
      </c>
      <c r="H350" s="4"/>
      <c r="I350" s="5" t="s">
        <v>3545</v>
      </c>
      <c r="J350" s="5" t="s">
        <v>3205</v>
      </c>
      <c r="K350" s="5">
        <v>248.0</v>
      </c>
      <c r="L350" s="5">
        <v>-2.993837</v>
      </c>
      <c r="M350" s="5">
        <v>-2.199397</v>
      </c>
      <c r="N350" s="5">
        <v>-5.193234</v>
      </c>
      <c r="O350" s="5">
        <v>-0.240392</v>
      </c>
    </row>
    <row r="351">
      <c r="A351" s="12" t="str">
        <f>IFERROR(__xludf.DUMMYFUNCTION("""COMPUTED_VALUE"""),"Allen Agbogan")</f>
        <v>Allen Agbogan</v>
      </c>
      <c r="B351" s="13" t="str">
        <f>IFERROR(__xludf.DUMMYFUNCTION("""COMPUTED_VALUE"""),"VRC")</f>
        <v>VRC</v>
      </c>
      <c r="C351" s="14">
        <f>IFERROR(__xludf.DUMMYFUNCTION("""COMPUTED_VALUE"""),223.0)</f>
        <v>223</v>
      </c>
      <c r="D351" s="15">
        <f>IFERROR(__xludf.DUMMYFUNCTION("""COMPUTED_VALUE"""),-2.6454472197887617)</f>
        <v>-2.64544722</v>
      </c>
      <c r="E351" s="15">
        <f>IFERROR(__xludf.DUMMYFUNCTION("""COMPUTED_VALUE"""),0.568777885187578)</f>
        <v>0.5687778852</v>
      </c>
      <c r="F351" s="15">
        <f>IFERROR(__xludf.DUMMYFUNCTION("""COMPUTED_VALUE"""),-2.0767145346011837)</f>
        <v>-2.076714535</v>
      </c>
      <c r="G351" s="17">
        <f>IFERROR(__xludf.DUMMYFUNCTION("""COMPUTED_VALUE"""),-0.0052413811062849225)</f>
        <v>-0.005241381106</v>
      </c>
      <c r="H351" s="4"/>
      <c r="I351" s="5" t="s">
        <v>3546</v>
      </c>
      <c r="J351" s="5" t="s">
        <v>3229</v>
      </c>
      <c r="K351" s="5">
        <v>238.0</v>
      </c>
      <c r="L351" s="5">
        <v>-3.862095</v>
      </c>
      <c r="M351" s="5">
        <v>-1.385423</v>
      </c>
      <c r="N351" s="5">
        <v>-5.247518</v>
      </c>
      <c r="O351" s="5">
        <v>-0.243919</v>
      </c>
    </row>
    <row r="352">
      <c r="A352" s="18" t="str">
        <f>IFERROR(__xludf.DUMMYFUNCTION("""COMPUTED_VALUE"""),"Riccardo Visconti")</f>
        <v>Riccardo Visconti</v>
      </c>
      <c r="B352" s="19" t="str">
        <f>IFERROR(__xludf.DUMMYFUNCTION("""COMPUTED_VALUE"""),"STV")</f>
        <v>STV</v>
      </c>
      <c r="C352" s="20">
        <f>IFERROR(__xludf.DUMMYFUNCTION("""COMPUTED_VALUE"""),160.0)</f>
        <v>160</v>
      </c>
      <c r="D352" s="21">
        <f>IFERROR(__xludf.DUMMYFUNCTION("""COMPUTED_VALUE"""),-0.7670775723341501)</f>
        <v>-0.7670775723</v>
      </c>
      <c r="E352" s="21">
        <f>IFERROR(__xludf.DUMMYFUNCTION("""COMPUTED_VALUE"""),-1.3157143576161776)</f>
        <v>-1.315714358</v>
      </c>
      <c r="F352" s="21">
        <f>IFERROR(__xludf.DUMMYFUNCTION("""COMPUTED_VALUE"""),-2.0827938299503277)</f>
        <v>-2.08279383</v>
      </c>
      <c r="G352" s="23">
        <f>IFERROR(__xludf.DUMMYFUNCTION("""COMPUTED_VALUE"""),-0.0043883391847759365)</f>
        <v>-0.004388339185</v>
      </c>
      <c r="H352" s="4"/>
      <c r="I352" s="5" t="s">
        <v>3547</v>
      </c>
      <c r="J352" s="5" t="s">
        <v>3223</v>
      </c>
      <c r="K352" s="5">
        <v>317.0</v>
      </c>
      <c r="L352" s="5">
        <v>-4.369315</v>
      </c>
      <c r="M352" s="5">
        <v>-0.90396</v>
      </c>
      <c r="N352" s="5">
        <v>-5.273275</v>
      </c>
      <c r="O352" s="5">
        <v>-0.315154</v>
      </c>
    </row>
    <row r="353">
      <c r="A353" s="12" t="str">
        <f>IFERROR(__xludf.DUMMYFUNCTION("""COMPUTED_VALUE"""),"Luca Pollone")</f>
        <v>Luca Pollone</v>
      </c>
      <c r="B353" s="13" t="str">
        <f>IFERROR(__xludf.DUMMYFUNCTION("""COMPUTED_VALUE"""),"BEI")</f>
        <v>BEI</v>
      </c>
      <c r="C353" s="14">
        <f>IFERROR(__xludf.DUMMYFUNCTION("""COMPUTED_VALUE"""),407.0)</f>
        <v>407</v>
      </c>
      <c r="D353" s="15">
        <f>IFERROR(__xludf.DUMMYFUNCTION("""COMPUTED_VALUE"""),-0.853148168694639)</f>
        <v>-0.8531481687</v>
      </c>
      <c r="E353" s="15">
        <f>IFERROR(__xludf.DUMMYFUNCTION("""COMPUTED_VALUE"""),-1.2407212921297082)</f>
        <v>-1.240721292</v>
      </c>
      <c r="F353" s="15">
        <f>IFERROR(__xludf.DUMMYFUNCTION("""COMPUTED_VALUE"""),-2.0938833608243472)</f>
        <v>-2.093883361</v>
      </c>
      <c r="G353" s="17">
        <f>IFERROR(__xludf.DUMMYFUNCTION("""COMPUTED_VALUE"""),-0.0115929788268321)</f>
        <v>-0.01159297883</v>
      </c>
      <c r="H353" s="4"/>
      <c r="I353" s="5" t="s">
        <v>3548</v>
      </c>
      <c r="J353" s="5" t="s">
        <v>3237</v>
      </c>
      <c r="K353" s="5">
        <v>503.0</v>
      </c>
      <c r="L353" s="5">
        <v>-5.050441</v>
      </c>
      <c r="M353" s="5">
        <v>-0.238524</v>
      </c>
      <c r="N353" s="5">
        <v>-5.288964</v>
      </c>
      <c r="O353" s="5">
        <v>-0.558479</v>
      </c>
    </row>
    <row r="354">
      <c r="A354" s="18" t="str">
        <f>IFERROR(__xludf.DUMMYFUNCTION("""COMPUTED_VALUE"""),"Emanuele Trapani")</f>
        <v>Emanuele Trapani</v>
      </c>
      <c r="B354" s="19" t="str">
        <f>IFERROR(__xludf.DUMMYFUNCTION("""COMPUTED_VALUE"""),"SCAF")</f>
        <v>SCAF</v>
      </c>
      <c r="C354" s="20">
        <f>IFERROR(__xludf.DUMMYFUNCTION("""COMPUTED_VALUE"""),86.0)</f>
        <v>86</v>
      </c>
      <c r="D354" s="21">
        <f>IFERROR(__xludf.DUMMYFUNCTION("""COMPUTED_VALUE"""),-1.6525639129560707)</f>
        <v>-1.652563913</v>
      </c>
      <c r="E354" s="21">
        <f>IFERROR(__xludf.DUMMYFUNCTION("""COMPUTED_VALUE"""),-0.46521694045913714)</f>
        <v>-0.4652169405</v>
      </c>
      <c r="F354" s="21">
        <f>IFERROR(__xludf.DUMMYFUNCTION("""COMPUTED_VALUE"""),-2.117784753415208)</f>
        <v>-2.117784753</v>
      </c>
      <c r="G354" s="23">
        <f>IFERROR(__xludf.DUMMYFUNCTION("""COMPUTED_VALUE"""),-0.003245677068769083)</f>
        <v>-0.003245677069</v>
      </c>
      <c r="H354" s="4"/>
      <c r="I354" s="5" t="s">
        <v>3549</v>
      </c>
      <c r="J354" s="5" t="s">
        <v>3283</v>
      </c>
      <c r="K354" s="5">
        <v>224.0</v>
      </c>
      <c r="L354" s="5">
        <v>-3.827874</v>
      </c>
      <c r="M354" s="5">
        <v>-1.558083</v>
      </c>
      <c r="N354" s="5">
        <v>-5.385957</v>
      </c>
      <c r="O354" s="5">
        <v>-0.23043</v>
      </c>
    </row>
    <row r="355">
      <c r="A355" s="12" t="str">
        <f>IFERROR(__xludf.DUMMYFUNCTION("""COMPUTED_VALUE"""),"Robert Fultz")</f>
        <v>Robert Fultz</v>
      </c>
      <c r="B355" s="13" t="str">
        <f>IFERROR(__xludf.DUMMYFUNCTION("""COMPUTED_VALUE"""),"BOL")</f>
        <v>BOL</v>
      </c>
      <c r="C355" s="14">
        <f>IFERROR(__xludf.DUMMYFUNCTION("""COMPUTED_VALUE"""),648.0)</f>
        <v>648</v>
      </c>
      <c r="D355" s="15">
        <f>IFERROR(__xludf.DUMMYFUNCTION("""COMPUTED_VALUE"""),-2.51179545059491)</f>
        <v>-2.511795451</v>
      </c>
      <c r="E355" s="15">
        <f>IFERROR(__xludf.DUMMYFUNCTION("""COMPUTED_VALUE"""),0.38757035738570383)</f>
        <v>0.3875703574</v>
      </c>
      <c r="F355" s="15">
        <f>IFERROR(__xludf.DUMMYFUNCTION("""COMPUTED_VALUE"""),-2.124254093209206)</f>
        <v>-2.124254093</v>
      </c>
      <c r="G355" s="17">
        <f>IFERROR(__xludf.DUMMYFUNCTION("""COMPUTED_VALUE"""),-0.024581486605973035)</f>
        <v>-0.02458148661</v>
      </c>
      <c r="H355" s="4"/>
      <c r="I355" s="5" t="s">
        <v>3550</v>
      </c>
      <c r="J355" s="5" t="s">
        <v>3220</v>
      </c>
      <c r="K355" s="5">
        <v>218.0</v>
      </c>
      <c r="L355" s="5">
        <v>-2.770297</v>
      </c>
      <c r="M355" s="5">
        <v>-2.844008</v>
      </c>
      <c r="N355" s="5">
        <v>-5.614305</v>
      </c>
      <c r="O355" s="5">
        <v>-0.241668</v>
      </c>
    </row>
    <row r="356">
      <c r="A356" s="18" t="str">
        <f>IFERROR(__xludf.DUMMYFUNCTION("""COMPUTED_VALUE"""),"Nicola Savoldelli")</f>
        <v>Nicola Savoldelli</v>
      </c>
      <c r="B356" s="19" t="str">
        <f>IFERROR(__xludf.DUMMYFUNCTION("""COMPUTED_VALUE"""),"RIET")</f>
        <v>RIET</v>
      </c>
      <c r="C356" s="20">
        <f>IFERROR(__xludf.DUMMYFUNCTION("""COMPUTED_VALUE"""),395.0)</f>
        <v>395</v>
      </c>
      <c r="D356" s="21">
        <f>IFERROR(__xludf.DUMMYFUNCTION("""COMPUTED_VALUE"""),-0.6711812904256657)</f>
        <v>-0.6711812904</v>
      </c>
      <c r="E356" s="21">
        <f>IFERROR(__xludf.DUMMYFUNCTION("""COMPUTED_VALUE"""),-1.4746813921126252)</f>
        <v>-1.474681392</v>
      </c>
      <c r="F356" s="21">
        <f>IFERROR(__xludf.DUMMYFUNCTION("""COMPUTED_VALUE"""),-2.1458714825382907)</f>
        <v>-2.145871483</v>
      </c>
      <c r="G356" s="23">
        <f>IFERROR(__xludf.DUMMYFUNCTION("""COMPUTED_VALUE"""),-0.01964090930956541)</f>
        <v>-0.01964090931</v>
      </c>
      <c r="H356" s="4"/>
      <c r="I356" s="5" t="s">
        <v>3551</v>
      </c>
      <c r="J356" s="5" t="s">
        <v>3223</v>
      </c>
      <c r="K356" s="5">
        <v>666.0</v>
      </c>
      <c r="L356" s="5">
        <v>-4.174864</v>
      </c>
      <c r="M356" s="5">
        <v>-1.490209</v>
      </c>
      <c r="N356" s="5">
        <v>-5.665073</v>
      </c>
      <c r="O356" s="5">
        <v>-0.741732</v>
      </c>
    </row>
    <row r="357">
      <c r="A357" s="12" t="str">
        <f>IFERROR(__xludf.DUMMYFUNCTION("""COMPUTED_VALUE"""),"Stefano Borsato")</f>
        <v>Stefano Borsato</v>
      </c>
      <c r="B357" s="13" t="str">
        <f>IFERROR(__xludf.DUMMYFUNCTION("""COMPUTED_VALUE"""),"SANA")</f>
        <v>SANA</v>
      </c>
      <c r="C357" s="14">
        <f>IFERROR(__xludf.DUMMYFUNCTION("""COMPUTED_VALUE"""),460.0)</f>
        <v>460</v>
      </c>
      <c r="D357" s="15">
        <f>IFERROR(__xludf.DUMMYFUNCTION("""COMPUTED_VALUE"""),-1.0284148673210782)</f>
        <v>-1.028414867</v>
      </c>
      <c r="E357" s="15">
        <f>IFERROR(__xludf.DUMMYFUNCTION("""COMPUTED_VALUE"""),-1.1692899638928984)</f>
        <v>-1.169289964</v>
      </c>
      <c r="F357" s="15">
        <f>IFERROR(__xludf.DUMMYFUNCTION("""COMPUTED_VALUE"""),-2.1977450312139766)</f>
        <v>-2.197745031</v>
      </c>
      <c r="G357" s="17">
        <f>IFERROR(__xludf.DUMMYFUNCTION("""COMPUTED_VALUE"""),-0.02762777625411516)</f>
        <v>-0.02762777625</v>
      </c>
      <c r="H357" s="4"/>
      <c r="I357" s="5" t="s">
        <v>3552</v>
      </c>
      <c r="J357" s="5" t="s">
        <v>3203</v>
      </c>
      <c r="K357" s="5">
        <v>528.0</v>
      </c>
      <c r="L357" s="5">
        <v>-4.263039</v>
      </c>
      <c r="M357" s="5">
        <v>-1.491363</v>
      </c>
      <c r="N357" s="5">
        <v>-5.754402</v>
      </c>
      <c r="O357" s="5">
        <v>-0.600554</v>
      </c>
    </row>
    <row r="358">
      <c r="A358" s="18" t="str">
        <f>IFERROR(__xludf.DUMMYFUNCTION("""COMPUTED_VALUE"""),"Andrea Quarisa")</f>
        <v>Andrea Quarisa</v>
      </c>
      <c r="B358" s="19" t="str">
        <f>IFERROR(__xludf.DUMMYFUNCTION("""COMPUTED_VALUE"""),"JES")</f>
        <v>JES</v>
      </c>
      <c r="C358" s="20">
        <f>IFERROR(__xludf.DUMMYFUNCTION("""COMPUTED_VALUE"""),226.0)</f>
        <v>226</v>
      </c>
      <c r="D358" s="21">
        <f>IFERROR(__xludf.DUMMYFUNCTION("""COMPUTED_VALUE"""),-2.1356994861735554)</f>
        <v>-2.135699486</v>
      </c>
      <c r="E358" s="21">
        <f>IFERROR(__xludf.DUMMYFUNCTION("""COMPUTED_VALUE"""),-0.06392248335662791)</f>
        <v>-0.06392248336</v>
      </c>
      <c r="F358" s="21">
        <f>IFERROR(__xludf.DUMMYFUNCTION("""COMPUTED_VALUE"""),-2.1996349695301833)</f>
        <v>-2.19963497</v>
      </c>
      <c r="G358" s="23">
        <f>IFERROR(__xludf.DUMMYFUNCTION("""COMPUTED_VALUE"""),-0.014408798201787204)</f>
        <v>-0.0144087982</v>
      </c>
      <c r="H358" s="4"/>
      <c r="I358" s="5" t="s">
        <v>1081</v>
      </c>
      <c r="J358" s="5" t="s">
        <v>3263</v>
      </c>
      <c r="K358" s="5">
        <v>411.0</v>
      </c>
      <c r="L358" s="5">
        <v>-5.115751</v>
      </c>
      <c r="M358" s="5">
        <v>-0.771523</v>
      </c>
      <c r="N358" s="5">
        <v>-5.887274</v>
      </c>
      <c r="O358" s="5">
        <v>-0.479956</v>
      </c>
    </row>
    <row r="359">
      <c r="A359" s="12" t="str">
        <f>IFERROR(__xludf.DUMMYFUNCTION("""COMPUTED_VALUE"""),"Mario Ghersetti")</f>
        <v>Mario Ghersetti</v>
      </c>
      <c r="B359" s="13" t="str">
        <f>IFERROR(__xludf.DUMMYFUNCTION("""COMPUTED_VALUE"""),"GAGA")</f>
        <v>GAGA</v>
      </c>
      <c r="C359" s="14">
        <f>IFERROR(__xludf.DUMMYFUNCTION("""COMPUTED_VALUE"""),776.0)</f>
        <v>776</v>
      </c>
      <c r="D359" s="15">
        <f>IFERROR(__xludf.DUMMYFUNCTION("""COMPUTED_VALUE"""),-0.5167390940471207)</f>
        <v>-0.516739094</v>
      </c>
      <c r="E359" s="15">
        <f>IFERROR(__xludf.DUMMYFUNCTION("""COMPUTED_VALUE"""),-1.6981945094903317)</f>
        <v>-1.698194509</v>
      </c>
      <c r="F359" s="15">
        <f>IFERROR(__xludf.DUMMYFUNCTION("""COMPUTED_VALUE"""),-2.214961603537452)</f>
        <v>-2.214961604</v>
      </c>
      <c r="G359" s="17">
        <f>IFERROR(__xludf.DUMMYFUNCTION("""COMPUTED_VALUE"""),-0.04878200347181255)</f>
        <v>-0.04878200347</v>
      </c>
      <c r="H359" s="4"/>
      <c r="I359" s="5" t="s">
        <v>3553</v>
      </c>
      <c r="J359" s="5" t="s">
        <v>3331</v>
      </c>
      <c r="K359" s="5">
        <v>305.0</v>
      </c>
      <c r="L359" s="5">
        <v>-0.19092</v>
      </c>
      <c r="M359" s="5">
        <v>-5.699536</v>
      </c>
      <c r="N359" s="5">
        <v>-5.890456</v>
      </c>
      <c r="O359" s="5">
        <v>-0.360262</v>
      </c>
    </row>
    <row r="360">
      <c r="A360" s="18" t="str">
        <f>IFERROR(__xludf.DUMMYFUNCTION("""COMPUTED_VALUE"""),"Marco Mollura")</f>
        <v>Marco Mollura</v>
      </c>
      <c r="B360" s="19" t="str">
        <f>IFERROR(__xludf.DUMMYFUNCTION("""COMPUTED_VALUE"""),"TRA")</f>
        <v>TRA</v>
      </c>
      <c r="C360" s="20">
        <f>IFERROR(__xludf.DUMMYFUNCTION("""COMPUTED_VALUE"""),512.0)</f>
        <v>512</v>
      </c>
      <c r="D360" s="21">
        <f>IFERROR(__xludf.DUMMYFUNCTION("""COMPUTED_VALUE"""),-0.9215970664531224)</f>
        <v>-0.9215970665</v>
      </c>
      <c r="E360" s="21">
        <f>IFERROR(__xludf.DUMMYFUNCTION("""COMPUTED_VALUE"""),-1.3626075722289175)</f>
        <v>-1.362607572</v>
      </c>
      <c r="F360" s="21">
        <f>IFERROR(__xludf.DUMMYFUNCTION("""COMPUTED_VALUE"""),-2.2842235386820398)</f>
        <v>-2.284223539</v>
      </c>
      <c r="G360" s="23">
        <f>IFERROR(__xludf.DUMMYFUNCTION("""COMPUTED_VALUE"""),-0.04504294099258023)</f>
        <v>-0.04504294099</v>
      </c>
      <c r="H360" s="4"/>
      <c r="I360" s="5" t="s">
        <v>3554</v>
      </c>
      <c r="J360" s="5" t="s">
        <v>3203</v>
      </c>
      <c r="K360" s="5">
        <v>178.0</v>
      </c>
      <c r="L360" s="5">
        <v>-5.252443</v>
      </c>
      <c r="M360" s="5">
        <v>-0.705728</v>
      </c>
      <c r="N360" s="5">
        <v>-5.95817</v>
      </c>
      <c r="O360" s="5">
        <v>-0.21389</v>
      </c>
    </row>
    <row r="361">
      <c r="A361" s="12" t="str">
        <f>IFERROR(__xludf.DUMMYFUNCTION("""COMPUTED_VALUE"""),"Riccardo Casagrande")</f>
        <v>Riccardo Casagrande</v>
      </c>
      <c r="B361" s="13" t="str">
        <f>IFERROR(__xludf.DUMMYFUNCTION("""COMPUTED_VALUE"""),"ROS")</f>
        <v>ROS</v>
      </c>
      <c r="C361" s="14">
        <f>IFERROR(__xludf.DUMMYFUNCTION("""COMPUTED_VALUE"""),645.0)</f>
        <v>645</v>
      </c>
      <c r="D361" s="15">
        <f>IFERROR(__xludf.DUMMYFUNCTION("""COMPUTED_VALUE"""),-1.0465923789612719)</f>
        <v>-1.046592379</v>
      </c>
      <c r="E361" s="15">
        <f>IFERROR(__xludf.DUMMYFUNCTION("""COMPUTED_VALUE"""),-1.23895817255085)</f>
        <v>-1.238958173</v>
      </c>
      <c r="F361" s="15">
        <f>IFERROR(__xludf.DUMMYFUNCTION("""COMPUTED_VALUE"""),-2.285588251512122)</f>
        <v>-2.285588252</v>
      </c>
      <c r="G361" s="17">
        <f>IFERROR(__xludf.DUMMYFUNCTION("""COMPUTED_VALUE"""),-0.05588915625705455)</f>
        <v>-0.05588915626</v>
      </c>
      <c r="H361" s="4"/>
      <c r="I361" s="5" t="s">
        <v>3555</v>
      </c>
      <c r="J361" s="5" t="s">
        <v>3229</v>
      </c>
      <c r="K361" s="5">
        <v>362.0</v>
      </c>
      <c r="L361" s="5">
        <v>-4.554743</v>
      </c>
      <c r="M361" s="5">
        <v>-1.418111</v>
      </c>
      <c r="N361" s="5">
        <v>-5.972854</v>
      </c>
      <c r="O361" s="5">
        <v>-0.454817</v>
      </c>
    </row>
    <row r="362">
      <c r="A362" s="18" t="str">
        <f>IFERROR(__xludf.DUMMYFUNCTION("""COMPUTED_VALUE"""),"Francesco Stefanelli")</f>
        <v>Francesco Stefanelli</v>
      </c>
      <c r="B362" s="19" t="str">
        <f>IFERROR(__xludf.DUMMYFUNCTION("""COMPUTED_VALUE"""),"TORT")</f>
        <v>TORT</v>
      </c>
      <c r="C362" s="20">
        <f>IFERROR(__xludf.DUMMYFUNCTION("""COMPUTED_VALUE"""),672.0)</f>
        <v>672</v>
      </c>
      <c r="D362" s="21">
        <f>IFERROR(__xludf.DUMMYFUNCTION("""COMPUTED_VALUE"""),-1.817186730833824)</f>
        <v>-1.817186731</v>
      </c>
      <c r="E362" s="21">
        <f>IFERROR(__xludf.DUMMYFUNCTION("""COMPUTED_VALUE"""),-0.47846643827792074)</f>
        <v>-0.4784664383</v>
      </c>
      <c r="F362" s="21">
        <f>IFERROR(__xludf.DUMMYFUNCTION("""COMPUTED_VALUE"""),-2.295659369111745)</f>
        <v>-2.295659369</v>
      </c>
      <c r="G362" s="23">
        <f>IFERROR(__xludf.DUMMYFUNCTION("""COMPUTED_VALUE"""),-0.06856087673528302)</f>
        <v>-0.06856087674</v>
      </c>
      <c r="H362" s="4"/>
      <c r="I362" s="5" t="s">
        <v>3556</v>
      </c>
      <c r="J362" s="5" t="s">
        <v>3207</v>
      </c>
      <c r="K362" s="5">
        <v>440.0</v>
      </c>
      <c r="L362" s="5">
        <v>-3.065739</v>
      </c>
      <c r="M362" s="5">
        <v>-2.931699</v>
      </c>
      <c r="N362" s="5">
        <v>-5.997438</v>
      </c>
      <c r="O362" s="5">
        <v>-0.524945</v>
      </c>
    </row>
    <row r="363">
      <c r="A363" s="12" t="str">
        <f>IFERROR(__xludf.DUMMYFUNCTION("""COMPUTED_VALUE"""),"Jacopo Vedovato")</f>
        <v>Jacopo Vedovato</v>
      </c>
      <c r="B363" s="13" t="str">
        <f>IFERROR(__xludf.DUMMYFUNCTION("""COMPUTED_VALUE"""),"ROM")</f>
        <v>ROM</v>
      </c>
      <c r="C363" s="14">
        <f>IFERROR(__xludf.DUMMYFUNCTION("""COMPUTED_VALUE"""),185.0)</f>
        <v>185</v>
      </c>
      <c r="D363" s="15">
        <f>IFERROR(__xludf.DUMMYFUNCTION("""COMPUTED_VALUE"""),-2.05043932111397)</f>
        <v>-2.050439321</v>
      </c>
      <c r="E363" s="15">
        <f>IFERROR(__xludf.DUMMYFUNCTION("""COMPUTED_VALUE"""),-0.25526180653065306)</f>
        <v>-0.2552618065</v>
      </c>
      <c r="F363" s="15">
        <f>IFERROR(__xludf.DUMMYFUNCTION("""COMPUTED_VALUE"""),-2.305703727644623)</f>
        <v>-2.305703728</v>
      </c>
      <c r="G363" s="17">
        <f>IFERROR(__xludf.DUMMYFUNCTION("""COMPUTED_VALUE"""),-0.01697916575368558)</f>
        <v>-0.01697916575</v>
      </c>
      <c r="H363" s="4"/>
      <c r="I363" s="5" t="s">
        <v>3557</v>
      </c>
      <c r="J363" s="5" t="s">
        <v>3283</v>
      </c>
      <c r="K363" s="5">
        <v>527.0</v>
      </c>
      <c r="L363" s="5">
        <v>-2.248328</v>
      </c>
      <c r="M363" s="5">
        <v>-3.756567</v>
      </c>
      <c r="N363" s="5">
        <v>-6.004895</v>
      </c>
      <c r="O363" s="5">
        <v>-0.641103</v>
      </c>
    </row>
    <row r="364">
      <c r="A364" s="18" t="str">
        <f>IFERROR(__xludf.DUMMYFUNCTION("""COMPUTED_VALUE"""),"Tommaso Baldasso")</f>
        <v>Tommaso Baldasso</v>
      </c>
      <c r="B364" s="19" t="str">
        <f>IFERROR(__xludf.DUMMYFUNCTION("""COMPUTED_VALUE"""),"ROM")</f>
        <v>ROM</v>
      </c>
      <c r="C364" s="20">
        <f>IFERROR(__xludf.DUMMYFUNCTION("""COMPUTED_VALUE"""),825.0)</f>
        <v>825</v>
      </c>
      <c r="D364" s="21">
        <f>IFERROR(__xludf.DUMMYFUNCTION("""COMPUTED_VALUE"""),-1.449127968182314)</f>
        <v>-1.449127968</v>
      </c>
      <c r="E364" s="21">
        <f>IFERROR(__xludf.DUMMYFUNCTION("""COMPUTED_VALUE"""),-0.8885790201374381)</f>
        <v>-0.8885790201</v>
      </c>
      <c r="F364" s="21">
        <f>IFERROR(__xludf.DUMMYFUNCTION("""COMPUTED_VALUE"""),-2.337749688319752)</f>
        <v>-2.337749688</v>
      </c>
      <c r="G364" s="23">
        <f>IFERROR(__xludf.DUMMYFUNCTION("""COMPUTED_VALUE"""),-0.08362528090283516)</f>
        <v>-0.0836252809</v>
      </c>
      <c r="H364" s="4"/>
      <c r="I364" s="5" t="s">
        <v>3102</v>
      </c>
      <c r="J364" s="5" t="s">
        <v>3281</v>
      </c>
      <c r="K364" s="5">
        <v>393.0</v>
      </c>
      <c r="L364" s="5">
        <v>-6.185429</v>
      </c>
      <c r="M364" s="5">
        <v>-0.142635</v>
      </c>
      <c r="N364" s="5">
        <v>-6.328064</v>
      </c>
      <c r="O364" s="5">
        <v>-0.518482</v>
      </c>
    </row>
    <row r="365">
      <c r="A365" s="12" t="str">
        <f>IFERROR(__xludf.DUMMYFUNCTION("""COMPUTED_VALUE"""),"Marco Lusvarghi")</f>
        <v>Marco Lusvarghi</v>
      </c>
      <c r="B365" s="13" t="str">
        <f>IFERROR(__xludf.DUMMYFUNCTION("""COMPUTED_VALUE"""),"ROS")</f>
        <v>ROS</v>
      </c>
      <c r="C365" s="14">
        <f>IFERROR(__xludf.DUMMYFUNCTION("""COMPUTED_VALUE"""),116.0)</f>
        <v>116</v>
      </c>
      <c r="D365" s="15">
        <f>IFERROR(__xludf.DUMMYFUNCTION("""COMPUTED_VALUE"""),-2.333589825517466)</f>
        <v>-2.333589826</v>
      </c>
      <c r="E365" s="15">
        <f>IFERROR(__xludf.DUMMYFUNCTION("""COMPUTED_VALUE"""),-0.02203127214088983)</f>
        <v>-0.02203127214</v>
      </c>
      <c r="F365" s="15">
        <f>IFERROR(__xludf.DUMMYFUNCTION("""COMPUTED_VALUE"""),-2.3556436976583557)</f>
        <v>-2.355643698</v>
      </c>
      <c r="G365" s="17">
        <f>IFERROR(__xludf.DUMMYFUNCTION("""COMPUTED_VALUE"""),-0.012502853576065964)</f>
        <v>-0.01250285358</v>
      </c>
      <c r="H365" s="4"/>
      <c r="I365" s="5" t="s">
        <v>3558</v>
      </c>
      <c r="J365" s="5" t="s">
        <v>3229</v>
      </c>
      <c r="K365" s="5">
        <v>404.0</v>
      </c>
      <c r="L365" s="5">
        <v>-4.968614</v>
      </c>
      <c r="M365" s="5">
        <v>-1.38248</v>
      </c>
      <c r="N365" s="5">
        <v>-6.351094</v>
      </c>
      <c r="O365" s="5">
        <v>-0.555313</v>
      </c>
    </row>
    <row r="366">
      <c r="A366" s="18" t="str">
        <f>IFERROR(__xludf.DUMMYFUNCTION("""COMPUTED_VALUE"""),"Kenneth Viglianisi")</f>
        <v>Kenneth Viglianisi</v>
      </c>
      <c r="B366" s="19" t="str">
        <f>IFERROR(__xludf.DUMMYFUNCTION("""COMPUTED_VALUE"""),"TRA")</f>
        <v>TRA</v>
      </c>
      <c r="C366" s="20">
        <f>IFERROR(__xludf.DUMMYFUNCTION("""COMPUTED_VALUE"""),828.0)</f>
        <v>828</v>
      </c>
      <c r="D366" s="21">
        <f>IFERROR(__xludf.DUMMYFUNCTION("""COMPUTED_VALUE"""),0.174283512140524)</f>
        <v>0.1742835121</v>
      </c>
      <c r="E366" s="21">
        <f>IFERROR(__xludf.DUMMYFUNCTION("""COMPUTED_VALUE"""),-2.570689525545768)</f>
        <v>-2.570689526</v>
      </c>
      <c r="F366" s="21">
        <f>IFERROR(__xludf.DUMMYFUNCTION("""COMPUTED_VALUE"""),-2.396408213405244)</f>
        <v>-2.396408213</v>
      </c>
      <c r="G366" s="23">
        <f>IFERROR(__xludf.DUMMYFUNCTION("""COMPUTED_VALUE"""),-0.10163481662305507)</f>
        <v>-0.1016348166</v>
      </c>
      <c r="H366" s="4"/>
      <c r="I366" s="5" t="s">
        <v>3096</v>
      </c>
      <c r="J366" s="5" t="s">
        <v>3205</v>
      </c>
      <c r="K366" s="5">
        <v>202.0</v>
      </c>
      <c r="L366" s="5">
        <v>-5.569053</v>
      </c>
      <c r="M366" s="5">
        <v>-0.857553</v>
      </c>
      <c r="N366" s="5">
        <v>-6.426606</v>
      </c>
      <c r="O366" s="5">
        <v>-0.27081</v>
      </c>
    </row>
    <row r="367">
      <c r="A367" s="12" t="str">
        <f>IFERROR(__xludf.DUMMYFUNCTION("""COMPUTED_VALUE"""),"Elston Turner")</f>
        <v>Elston Turner</v>
      </c>
      <c r="B367" s="13" t="str">
        <f>IFERROR(__xludf.DUMMYFUNCTION("""COMPUTED_VALUE"""),"SANA")</f>
        <v>SANA</v>
      </c>
      <c r="C367" s="14">
        <f>IFERROR(__xludf.DUMMYFUNCTION("""COMPUTED_VALUE"""),547.0)</f>
        <v>547</v>
      </c>
      <c r="D367" s="15">
        <f>IFERROR(__xludf.DUMMYFUNCTION("""COMPUTED_VALUE"""),1.0492658126110936)</f>
        <v>1.049265813</v>
      </c>
      <c r="E367" s="15">
        <f>IFERROR(__xludf.DUMMYFUNCTION("""COMPUTED_VALUE"""),-3.4709039472643153)</f>
        <v>-3.470903947</v>
      </c>
      <c r="F367" s="15">
        <f>IFERROR(__xludf.DUMMYFUNCTION("""COMPUTED_VALUE"""),-2.4216416346532217)</f>
        <v>-2.421641635</v>
      </c>
      <c r="G367" s="17">
        <f>IFERROR(__xludf.DUMMYFUNCTION("""COMPUTED_VALUE"""),-0.07014926574840988)</f>
        <v>-0.07014926575</v>
      </c>
      <c r="H367" s="4"/>
      <c r="I367" s="5" t="s">
        <v>3559</v>
      </c>
      <c r="J367" s="5" t="s">
        <v>3205</v>
      </c>
      <c r="K367" s="5">
        <v>439.0</v>
      </c>
      <c r="L367" s="5">
        <v>-5.368221</v>
      </c>
      <c r="M367" s="5">
        <v>-1.168503</v>
      </c>
      <c r="N367" s="5">
        <v>-6.536724</v>
      </c>
      <c r="O367" s="5">
        <v>-0.604218</v>
      </c>
    </row>
    <row r="368">
      <c r="A368" s="18" t="str">
        <f>IFERROR(__xludf.DUMMYFUNCTION("""COMPUTED_VALUE"""),"Lorenzo Caroti")</f>
        <v>Lorenzo Caroti</v>
      </c>
      <c r="B368" s="19" t="str">
        <f>IFERROR(__xludf.DUMMYFUNCTION("""COMPUTED_VALUE"""),"VRC")</f>
        <v>VRC</v>
      </c>
      <c r="C368" s="20">
        <f>IFERROR(__xludf.DUMMYFUNCTION("""COMPUTED_VALUE"""),845.0)</f>
        <v>845</v>
      </c>
      <c r="D368" s="21">
        <f>IFERROR(__xludf.DUMMYFUNCTION("""COMPUTED_VALUE"""),-1.8983192739113959)</f>
        <v>-1.898319274</v>
      </c>
      <c r="E368" s="21">
        <f>IFERROR(__xludf.DUMMYFUNCTION("""COMPUTED_VALUE"""),-0.5347653309217801)</f>
        <v>-0.5347653309</v>
      </c>
      <c r="F368" s="21">
        <f>IFERROR(__xludf.DUMMYFUNCTION("""COMPUTED_VALUE"""),-2.433122604833176)</f>
        <v>-2.433122605</v>
      </c>
      <c r="G368" s="23">
        <f>IFERROR(__xludf.DUMMYFUNCTION("""COMPUTED_VALUE"""),-0.11306130626681361)</f>
        <v>-0.1130613063</v>
      </c>
      <c r="H368" s="4"/>
      <c r="I368" s="5" t="s">
        <v>3560</v>
      </c>
      <c r="J368" s="5" t="s">
        <v>3203</v>
      </c>
      <c r="K368" s="5">
        <v>269.0</v>
      </c>
      <c r="L368" s="5">
        <v>-4.064724</v>
      </c>
      <c r="M368" s="5">
        <v>-2.500528</v>
      </c>
      <c r="N368" s="5">
        <v>-6.565251</v>
      </c>
      <c r="O368" s="5">
        <v>-0.37212</v>
      </c>
    </row>
    <row r="369">
      <c r="A369" s="12" t="str">
        <f>IFERROR(__xludf.DUMMYFUNCTION("""COMPUTED_VALUE"""),"Tommaso Marino")</f>
        <v>Tommaso Marino</v>
      </c>
      <c r="B369" s="13" t="str">
        <f>IFERROR(__xludf.DUMMYFUNCTION("""COMPUTED_VALUE"""),"TREV")</f>
        <v>TREV</v>
      </c>
      <c r="C369" s="14">
        <f>IFERROR(__xludf.DUMMYFUNCTION("""COMPUTED_VALUE"""),937.0)</f>
        <v>937</v>
      </c>
      <c r="D369" s="15">
        <f>IFERROR(__xludf.DUMMYFUNCTION("""COMPUTED_VALUE"""),2.0628911806872274)</f>
        <v>2.062891181</v>
      </c>
      <c r="E369" s="15">
        <f>IFERROR(__xludf.DUMMYFUNCTION("""COMPUTED_VALUE"""),-4.535764332651354)</f>
        <v>-4.535764333</v>
      </c>
      <c r="F369" s="15">
        <f>IFERROR(__xludf.DUMMYFUNCTION("""COMPUTED_VALUE"""),-2.472894451964127)</f>
        <v>-2.472894452</v>
      </c>
      <c r="G369" s="17">
        <f>IFERROR(__xludf.DUMMYFUNCTION("""COMPUTED_VALUE"""),-0.270457306709339)</f>
        <v>-0.2704573067</v>
      </c>
      <c r="H369" s="4"/>
      <c r="I369" s="5" t="s">
        <v>3561</v>
      </c>
      <c r="J369" s="5" t="s">
        <v>3331</v>
      </c>
      <c r="K369" s="5">
        <v>285.0</v>
      </c>
      <c r="L369" s="5">
        <v>-2.194669</v>
      </c>
      <c r="M369" s="5">
        <v>-4.548595</v>
      </c>
      <c r="N369" s="5">
        <v>-6.743264</v>
      </c>
      <c r="O369" s="5">
        <v>-0.410297</v>
      </c>
    </row>
    <row r="370">
      <c r="A370" s="18" t="str">
        <f>IFERROR(__xludf.DUMMYFUNCTION("""COMPUTED_VALUE"""),"Matteo Formenti")</f>
        <v>Matteo Formenti</v>
      </c>
      <c r="B370" s="19" t="str">
        <f>IFERROR(__xludf.DUMMYFUNCTION("""COMPUTED_VALUE"""),"CAS")</f>
        <v>CAS</v>
      </c>
      <c r="C370" s="20">
        <f>IFERROR(__xludf.DUMMYFUNCTION("""COMPUTED_VALUE"""),621.0)</f>
        <v>621</v>
      </c>
      <c r="D370" s="21">
        <f>IFERROR(__xludf.DUMMYFUNCTION("""COMPUTED_VALUE"""),-1.036894930462691)</f>
        <v>-1.03689493</v>
      </c>
      <c r="E370" s="21">
        <f>IFERROR(__xludf.DUMMYFUNCTION("""COMPUTED_VALUE"""),-1.4480595921127515)</f>
        <v>-1.448059592</v>
      </c>
      <c r="F370" s="21">
        <f>IFERROR(__xludf.DUMMYFUNCTION("""COMPUTED_VALUE"""),-2.4849838225754426)</f>
        <v>-2.484983823</v>
      </c>
      <c r="G370" s="23">
        <f>IFERROR(__xludf.DUMMYFUNCTION("""COMPUTED_VALUE"""),-0.09557004845077764)</f>
        <v>-0.09557004845</v>
      </c>
      <c r="H370" s="4"/>
      <c r="I370" s="5" t="s">
        <v>3562</v>
      </c>
      <c r="J370" s="5" t="s">
        <v>3331</v>
      </c>
      <c r="K370" s="5">
        <v>319.0</v>
      </c>
      <c r="L370" s="5">
        <v>-6.866288</v>
      </c>
      <c r="M370" s="5">
        <v>-0.174265</v>
      </c>
      <c r="N370" s="5">
        <v>-7.040553</v>
      </c>
      <c r="O370" s="5">
        <v>-0.487875</v>
      </c>
    </row>
    <row r="371">
      <c r="A371" s="12" t="str">
        <f>IFERROR(__xludf.DUMMYFUNCTION("""COMPUTED_VALUE"""),"Lorenzo De Zardo")</f>
        <v>Lorenzo De Zardo</v>
      </c>
      <c r="B371" s="13" t="str">
        <f>IFERROR(__xludf.DUMMYFUNCTION("""COMPUTED_VALUE"""),"TREV")</f>
        <v>TREV</v>
      </c>
      <c r="C371" s="14">
        <f>IFERROR(__xludf.DUMMYFUNCTION("""COMPUTED_VALUE"""),115.0)</f>
        <v>115</v>
      </c>
      <c r="D371" s="15">
        <f>IFERROR(__xludf.DUMMYFUNCTION("""COMPUTED_VALUE"""),-1.4429752473602155)</f>
        <v>-1.442975247</v>
      </c>
      <c r="E371" s="15">
        <f>IFERROR(__xludf.DUMMYFUNCTION("""COMPUTED_VALUE"""),-1.0590326095385452)</f>
        <v>-1.05903261</v>
      </c>
      <c r="F371" s="15">
        <f>IFERROR(__xludf.DUMMYFUNCTION("""COMPUTED_VALUE"""),-2.5020409568987607)</f>
        <v>-2.502040957</v>
      </c>
      <c r="G371" s="17">
        <f>IFERROR(__xludf.DUMMYFUNCTION("""COMPUTED_VALUE"""),-0.035209350619778416)</f>
        <v>-0.03520935062</v>
      </c>
      <c r="H371" s="4"/>
      <c r="I371" s="5" t="s">
        <v>3563</v>
      </c>
      <c r="J371" s="5" t="s">
        <v>3233</v>
      </c>
      <c r="K371" s="5">
        <v>385.0</v>
      </c>
      <c r="L371" s="5">
        <v>-4.702749</v>
      </c>
      <c r="M371" s="5">
        <v>-2.432518</v>
      </c>
      <c r="N371" s="5">
        <v>-7.135266</v>
      </c>
      <c r="O371" s="5">
        <v>-0.584601</v>
      </c>
    </row>
    <row r="372">
      <c r="A372" s="18" t="str">
        <f>IFERROR(__xludf.DUMMYFUNCTION("""COMPUTED_VALUE"""),"Daniele Bonessio")</f>
        <v>Daniele Bonessio</v>
      </c>
      <c r="B372" s="19" t="str">
        <f>IFERROR(__xludf.DUMMYFUNCTION("""COMPUTED_VALUE"""),"LEON")</f>
        <v>LEON</v>
      </c>
      <c r="C372" s="20">
        <f>IFERROR(__xludf.DUMMYFUNCTION("""COMPUTED_VALUE"""),574.0)</f>
        <v>574</v>
      </c>
      <c r="D372" s="21">
        <f>IFERROR(__xludf.DUMMYFUNCTION("""COMPUTED_VALUE"""),-3.556992194788741)</f>
        <v>-3.556992195</v>
      </c>
      <c r="E372" s="21">
        <f>IFERROR(__xludf.DUMMYFUNCTION("""COMPUTED_VALUE"""),1.0507919625668423)</f>
        <v>1.050791963</v>
      </c>
      <c r="F372" s="21">
        <f>IFERROR(__xludf.DUMMYFUNCTION("""COMPUTED_VALUE"""),-2.5062410322218986)</f>
        <v>-2.506241032</v>
      </c>
      <c r="G372" s="23">
        <f>IFERROR(__xludf.DUMMYFUNCTION("""COMPUTED_VALUE"""),-0.10215146835201261)</f>
        <v>-0.1021514684</v>
      </c>
      <c r="H372" s="4"/>
      <c r="I372" s="5" t="s">
        <v>3564</v>
      </c>
      <c r="J372" s="5" t="s">
        <v>3229</v>
      </c>
      <c r="K372" s="5">
        <v>541.0</v>
      </c>
      <c r="L372" s="5">
        <v>-4.882627</v>
      </c>
      <c r="M372" s="5">
        <v>-3.080248</v>
      </c>
      <c r="N372" s="5">
        <v>-7.962875</v>
      </c>
      <c r="O372" s="5">
        <v>-1.020092</v>
      </c>
    </row>
    <row r="373">
      <c r="A373" s="12" t="str">
        <f>IFERROR(__xludf.DUMMYFUNCTION("""COMPUTED_VALUE"""),"Bruno Mascolo")</f>
        <v>Bruno Mascolo</v>
      </c>
      <c r="B373" s="13" t="str">
        <f>IFERROR(__xludf.DUMMYFUNCTION("""COMPUTED_VALUE"""),"COUR")</f>
        <v>COUR</v>
      </c>
      <c r="C373" s="14">
        <f>IFERROR(__xludf.DUMMYFUNCTION("""COMPUTED_VALUE"""),884.0)</f>
        <v>884</v>
      </c>
      <c r="D373" s="15">
        <f>IFERROR(__xludf.DUMMYFUNCTION("""COMPUTED_VALUE"""),0.010822808785232195)</f>
        <v>0.01082280879</v>
      </c>
      <c r="E373" s="15">
        <f>IFERROR(__xludf.DUMMYFUNCTION("""COMPUTED_VALUE"""),-2.519630023800812)</f>
        <v>-2.519630024</v>
      </c>
      <c r="F373" s="15">
        <f>IFERROR(__xludf.DUMMYFUNCTION("""COMPUTED_VALUE"""),-2.5088277150155798)</f>
        <v>-2.508827715</v>
      </c>
      <c r="G373" s="17">
        <f>IFERROR(__xludf.DUMMYFUNCTION("""COMPUTED_VALUE"""),-0.1590512869708064)</f>
        <v>-0.159051287</v>
      </c>
      <c r="H373" s="4"/>
    </row>
    <row r="374">
      <c r="A374" s="18" t="str">
        <f>IFERROR(__xludf.DUMMYFUNCTION("""COMPUTED_VALUE"""),"Massimiliano Sanna")</f>
        <v>Massimiliano Sanna</v>
      </c>
      <c r="B374" s="19" t="str">
        <f>IFERROR(__xludf.DUMMYFUNCTION("""COMPUTED_VALUE"""),"BERG")</f>
        <v>BERG</v>
      </c>
      <c r="C374" s="20">
        <f>IFERROR(__xludf.DUMMYFUNCTION("""COMPUTED_VALUE"""),325.0)</f>
        <v>325</v>
      </c>
      <c r="D374" s="21">
        <f>IFERROR(__xludf.DUMMYFUNCTION("""COMPUTED_VALUE"""),-1.5571357326541189)</f>
        <v>-1.557135733</v>
      </c>
      <c r="E374" s="21">
        <f>IFERROR(__xludf.DUMMYFUNCTION("""COMPUTED_VALUE"""),-0.9779334954979579)</f>
        <v>-0.9779334955</v>
      </c>
      <c r="F374" s="21">
        <f>IFERROR(__xludf.DUMMYFUNCTION("""COMPUTED_VALUE"""),-2.535078428152077)</f>
        <v>-2.535078428</v>
      </c>
      <c r="G374" s="23">
        <f>IFERROR(__xludf.DUMMYFUNCTION("""COMPUTED_VALUE"""),-0.055573204336466744)</f>
        <v>-0.05557320434</v>
      </c>
      <c r="H374" s="4"/>
    </row>
    <row r="375">
      <c r="A375" s="12" t="str">
        <f>IFERROR(__xludf.DUMMYFUNCTION("""COMPUTED_VALUE"""),"Giulio Casale")</f>
        <v>Giulio Casale</v>
      </c>
      <c r="B375" s="13" t="str">
        <f>IFERROR(__xludf.DUMMYFUNCTION("""COMPUTED_VALUE"""),"LEON")</f>
        <v>LEON</v>
      </c>
      <c r="C375" s="14">
        <f>IFERROR(__xludf.DUMMYFUNCTION("""COMPUTED_VALUE"""),214.0)</f>
        <v>214</v>
      </c>
      <c r="D375" s="15">
        <f>IFERROR(__xludf.DUMMYFUNCTION("""COMPUTED_VALUE"""),-2.6168216300027933)</f>
        <v>-2.61682163</v>
      </c>
      <c r="E375" s="15">
        <f>IFERROR(__xludf.DUMMYFUNCTION("""COMPUTED_VALUE"""),0.006673275717836964)</f>
        <v>0.006673275718</v>
      </c>
      <c r="F375" s="15">
        <f>IFERROR(__xludf.DUMMYFUNCTION("""COMPUTED_VALUE"""),-2.6101859542849564)</f>
        <v>-2.610185954</v>
      </c>
      <c r="G375" s="17">
        <f>IFERROR(__xludf.DUMMYFUNCTION("""COMPUTED_VALUE"""),-0.04588482184488785)</f>
        <v>-0.04588482184</v>
      </c>
      <c r="H375" s="4"/>
    </row>
    <row r="376">
      <c r="A376" s="18" t="str">
        <f>IFERROR(__xludf.DUMMYFUNCTION("""COMPUTED_VALUE"""),"Giacomo Sanguinetti")</f>
        <v>Giacomo Sanguinetti</v>
      </c>
      <c r="B376" s="19" t="str">
        <f>IFERROR(__xludf.DUMMYFUNCTION("""COMPUTED_VALUE"""),"CAS")</f>
        <v>CAS</v>
      </c>
      <c r="C376" s="20">
        <f>IFERROR(__xludf.DUMMYFUNCTION("""COMPUTED_VALUE"""),768.0)</f>
        <v>768</v>
      </c>
      <c r="D376" s="21">
        <f>IFERROR(__xludf.DUMMYFUNCTION("""COMPUTED_VALUE"""),-1.8832327977978747)</f>
        <v>-1.883232798</v>
      </c>
      <c r="E376" s="21">
        <f>IFERROR(__xludf.DUMMYFUNCTION("""COMPUTED_VALUE"""),-0.7511651801058098)</f>
        <v>-0.7511651801</v>
      </c>
      <c r="F376" s="21">
        <f>IFERROR(__xludf.DUMMYFUNCTION("""COMPUTED_VALUE"""),-2.6344072779036845)</f>
        <v>-2.634407278</v>
      </c>
      <c r="G376" s="23">
        <f>IFERROR(__xludf.DUMMYFUNCTION("""COMPUTED_VALUE"""),-0.15464623103900105)</f>
        <v>-0.154646231</v>
      </c>
      <c r="H376" s="4"/>
    </row>
    <row r="377">
      <c r="A377" s="12" t="str">
        <f>IFERROR(__xludf.DUMMYFUNCTION("""COMPUTED_VALUE"""),"Giorgio DiBonaventura")</f>
        <v>Giorgio DiBonaventura</v>
      </c>
      <c r="B377" s="13" t="str">
        <f>IFERROR(__xludf.DUMMYFUNCTION("""COMPUTED_VALUE"""),"ROS")</f>
        <v>ROS</v>
      </c>
      <c r="C377" s="14">
        <f>IFERROR(__xludf.DUMMYFUNCTION("""COMPUTED_VALUE"""),461.0)</f>
        <v>461</v>
      </c>
      <c r="D377" s="15">
        <f>IFERROR(__xludf.DUMMYFUNCTION("""COMPUTED_VALUE"""),-2.4487193414879673)</f>
        <v>-2.448719341</v>
      </c>
      <c r="E377" s="15">
        <f>IFERROR(__xludf.DUMMYFUNCTION("""COMPUTED_VALUE"""),-0.19568452051010754)</f>
        <v>-0.1956845205</v>
      </c>
      <c r="F377" s="15">
        <f>IFERROR(__xludf.DUMMYFUNCTION("""COMPUTED_VALUE"""),-2.644436361998075)</f>
        <v>-2.644436362</v>
      </c>
      <c r="G377" s="17">
        <f>IFERROR(__xludf.DUMMYFUNCTION("""COMPUTED_VALUE"""),-0.09016641596430902)</f>
        <v>-0.09016641596</v>
      </c>
      <c r="H377" s="4"/>
    </row>
    <row r="378">
      <c r="A378" s="18" t="str">
        <f>IFERROR(__xludf.DUMMYFUNCTION("""COMPUTED_VALUE"""),"Iba Koite Thiam")</f>
        <v>Iba Koite Thiam</v>
      </c>
      <c r="B378" s="19" t="str">
        <f>IFERROR(__xludf.DUMMYFUNCTION("""COMPUTED_VALUE"""),"FOR")</f>
        <v>FOR</v>
      </c>
      <c r="C378" s="20">
        <f>IFERROR(__xludf.DUMMYFUNCTION("""COMPUTED_VALUE"""),145.0)</f>
        <v>145</v>
      </c>
      <c r="D378" s="21">
        <f>IFERROR(__xludf.DUMMYFUNCTION("""COMPUTED_VALUE"""),-2.0038546529969623)</f>
        <v>-2.003854653</v>
      </c>
      <c r="E378" s="21">
        <f>IFERROR(__xludf.DUMMYFUNCTION("""COMPUTED_VALUE"""),-0.6700301225406767)</f>
        <v>-0.6700301225</v>
      </c>
      <c r="F378" s="21">
        <f>IFERROR(__xludf.DUMMYFUNCTION("""COMPUTED_VALUE"""),-2.673889975537639)</f>
        <v>-2.673889976</v>
      </c>
      <c r="G378" s="23">
        <f>IFERROR(__xludf.DUMMYFUNCTION("""COMPUTED_VALUE"""),-0.029539462301841665)</f>
        <v>-0.0295394623</v>
      </c>
      <c r="H378" s="4"/>
    </row>
    <row r="379">
      <c r="A379" s="12" t="str">
        <f>IFERROR(__xludf.DUMMYFUNCTION("""COMPUTED_VALUE"""),"Nongo Ikangi")</f>
        <v>Nongo Ikangi</v>
      </c>
      <c r="B379" s="13" t="str">
        <f>IFERROR(__xludf.DUMMYFUNCTION("""COMPUTED_VALUE"""),"STV")</f>
        <v>STV</v>
      </c>
      <c r="C379" s="14">
        <f>IFERROR(__xludf.DUMMYFUNCTION("""COMPUTED_VALUE"""),364.0)</f>
        <v>364</v>
      </c>
      <c r="D379" s="15">
        <f>IFERROR(__xludf.DUMMYFUNCTION("""COMPUTED_VALUE"""),-3.273735182339484)</f>
        <v>-3.273735182</v>
      </c>
      <c r="E379" s="15">
        <f>IFERROR(__xludf.DUMMYFUNCTION("""COMPUTED_VALUE"""),0.5928644754353742)</f>
        <v>0.5928644754</v>
      </c>
      <c r="F379" s="15">
        <f>IFERROR(__xludf.DUMMYFUNCTION("""COMPUTED_VALUE"""),-2.6808962069041096)</f>
        <v>-2.680896207</v>
      </c>
      <c r="G379" s="17">
        <f>IFERROR(__xludf.DUMMYFUNCTION("""COMPUTED_VALUE"""),-0.0821140888195816)</f>
        <v>-0.08211408882</v>
      </c>
      <c r="H379" s="4"/>
    </row>
    <row r="380">
      <c r="A380" s="18" t="str">
        <f>IFERROR(__xludf.DUMMYFUNCTION("""COMPUTED_VALUE"""),"Adam Smith")</f>
        <v>Adam Smith</v>
      </c>
      <c r="B380" s="19" t="str">
        <f>IFERROR(__xludf.DUMMYFUNCTION("""COMPUTED_VALUE"""),"GAGA")</f>
        <v>GAGA</v>
      </c>
      <c r="C380" s="20">
        <f>IFERROR(__xludf.DUMMYFUNCTION("""COMPUTED_VALUE"""),215.0)</f>
        <v>215</v>
      </c>
      <c r="D380" s="21">
        <f>IFERROR(__xludf.DUMMYFUNCTION("""COMPUTED_VALUE"""),1.2136579907366016)</f>
        <v>1.213657991</v>
      </c>
      <c r="E380" s="21">
        <f>IFERROR(__xludf.DUMMYFUNCTION("""COMPUTED_VALUE"""),-3.895906155176965)</f>
        <v>-3.895906155</v>
      </c>
      <c r="F380" s="21">
        <f>IFERROR(__xludf.DUMMYFUNCTION("""COMPUTED_VALUE"""),-2.6822553644403637)</f>
        <v>-2.682255364</v>
      </c>
      <c r="G380" s="23">
        <f>IFERROR(__xludf.DUMMYFUNCTION("""COMPUTED_VALUE"""),-0.04291397901368807)</f>
        <v>-0.04291397901</v>
      </c>
      <c r="H380" s="4"/>
    </row>
    <row r="381">
      <c r="A381" s="12" t="str">
        <f>IFERROR(__xludf.DUMMYFUNCTION("""COMPUTED_VALUE"""),"Nenad Simic")</f>
        <v>Nenad Simic</v>
      </c>
      <c r="B381" s="13" t="str">
        <f>IFERROR(__xludf.DUMMYFUNCTION("""COMPUTED_VALUE"""),"TRA")</f>
        <v>TRA</v>
      </c>
      <c r="C381" s="14">
        <f>IFERROR(__xludf.DUMMYFUNCTION("""COMPUTED_VALUE"""),232.0)</f>
        <v>232</v>
      </c>
      <c r="D381" s="15">
        <f>IFERROR(__xludf.DUMMYFUNCTION("""COMPUTED_VALUE"""),-1.6599747172273083)</f>
        <v>-1.659974717</v>
      </c>
      <c r="E381" s="15">
        <f>IFERROR(__xludf.DUMMYFUNCTION("""COMPUTED_VALUE"""),-1.0237874040342296)</f>
        <v>-1.023787404</v>
      </c>
      <c r="F381" s="15">
        <f>IFERROR(__xludf.DUMMYFUNCTION("""COMPUTED_VALUE"""),-2.683769721261538)</f>
        <v>-2.683769721</v>
      </c>
      <c r="G381" s="17">
        <f>IFERROR(__xludf.DUMMYFUNCTION("""COMPUTED_VALUE"""),-0.049114483368519236)</f>
        <v>-0.04911448337</v>
      </c>
      <c r="H381" s="4"/>
    </row>
    <row r="382">
      <c r="A382" s="18" t="str">
        <f>IFERROR(__xludf.DUMMYFUNCTION("""COMPUTED_VALUE"""),"Marco Timperi")</f>
        <v>Marco Timperi</v>
      </c>
      <c r="B382" s="19" t="str">
        <f>IFERROR(__xludf.DUMMYFUNCTION("""COMPUTED_VALUE"""),"MAN")</f>
        <v>MAN</v>
      </c>
      <c r="C382" s="20">
        <f>IFERROR(__xludf.DUMMYFUNCTION("""COMPUTED_VALUE"""),389.0)</f>
        <v>389</v>
      </c>
      <c r="D382" s="21">
        <f>IFERROR(__xludf.DUMMYFUNCTION("""COMPUTED_VALUE"""),-3.824447519769344)</f>
        <v>-3.82444752</v>
      </c>
      <c r="E382" s="21">
        <f>IFERROR(__xludf.DUMMYFUNCTION("""COMPUTED_VALUE"""),1.1177946251893052)</f>
        <v>1.117794625</v>
      </c>
      <c r="F382" s="21">
        <f>IFERROR(__xludf.DUMMYFUNCTION("""COMPUTED_VALUE"""),-2.706657794580039)</f>
        <v>-2.706657795</v>
      </c>
      <c r="G382" s="23">
        <f>IFERROR(__xludf.DUMMYFUNCTION("""COMPUTED_VALUE"""),-0.08671534580315193)</f>
        <v>-0.0867153458</v>
      </c>
      <c r="H382" s="4"/>
    </row>
    <row r="383">
      <c r="A383" s="12" t="str">
        <f>IFERROR(__xludf.DUMMYFUNCTION("""COMPUTED_VALUE"""),"Matteo Negri")</f>
        <v>Matteo Negri</v>
      </c>
      <c r="B383" s="13" t="str">
        <f>IFERROR(__xludf.DUMMYFUNCTION("""COMPUTED_VALUE"""),"TREV")</f>
        <v>TREV</v>
      </c>
      <c r="C383" s="14">
        <f>IFERROR(__xludf.DUMMYFUNCTION("""COMPUTED_VALUE"""),554.0)</f>
        <v>554</v>
      </c>
      <c r="D383" s="15">
        <f>IFERROR(__xludf.DUMMYFUNCTION("""COMPUTED_VALUE"""),-1.9777991129630825)</f>
        <v>-1.977799113</v>
      </c>
      <c r="E383" s="15">
        <f>IFERROR(__xludf.DUMMYFUNCTION("""COMPUTED_VALUE"""),-0.8260968925320064)</f>
        <v>-0.8260968925</v>
      </c>
      <c r="F383" s="15">
        <f>IFERROR(__xludf.DUMMYFUNCTION("""COMPUTED_VALUE"""),-2.803913605495089)</f>
        <v>-2.803913605</v>
      </c>
      <c r="G383" s="17">
        <f>IFERROR(__xludf.DUMMYFUNCTION("""COMPUTED_VALUE"""),-0.2718442415112062)</f>
        <v>-0.2718442415</v>
      </c>
      <c r="H383" s="4"/>
    </row>
    <row r="384">
      <c r="A384" s="18" t="str">
        <f>IFERROR(__xludf.DUMMYFUNCTION("""COMPUTED_VALUE"""),"Curtis Nwohuocha")</f>
        <v>Curtis Nwohuocha</v>
      </c>
      <c r="B384" s="19" t="str">
        <f>IFERROR(__xludf.DUMMYFUNCTION("""COMPUTED_VALUE"""),"STV")</f>
        <v>STV</v>
      </c>
      <c r="C384" s="20">
        <f>IFERROR(__xludf.DUMMYFUNCTION("""COMPUTED_VALUE"""),372.0)</f>
        <v>372</v>
      </c>
      <c r="D384" s="21">
        <f>IFERROR(__xludf.DUMMYFUNCTION("""COMPUTED_VALUE"""),-4.606700679948786)</f>
        <v>-4.60670068</v>
      </c>
      <c r="E384" s="21">
        <f>IFERROR(__xludf.DUMMYFUNCTION("""COMPUTED_VALUE"""),1.766629341555032)</f>
        <v>1.766629342</v>
      </c>
      <c r="F384" s="21">
        <f>IFERROR(__xludf.DUMMYFUNCTION("""COMPUTED_VALUE"""),-2.840088538393754)</f>
        <v>-2.840088538</v>
      </c>
      <c r="G384" s="23">
        <f>IFERROR(__xludf.DUMMYFUNCTION("""COMPUTED_VALUE"""),-0.10355381334120038)</f>
        <v>-0.1035538133</v>
      </c>
      <c r="H384" s="4"/>
    </row>
    <row r="385">
      <c r="A385" s="12" t="str">
        <f>IFERROR(__xludf.DUMMYFUNCTION("""COMPUTED_VALUE"""),"Gabriele Romeo")</f>
        <v>Gabriele Romeo</v>
      </c>
      <c r="B385" s="13" t="str">
        <f>IFERROR(__xludf.DUMMYFUNCTION("""COMPUTED_VALUE"""),"SCAF")</f>
        <v>SCAF</v>
      </c>
      <c r="C385" s="14">
        <f>IFERROR(__xludf.DUMMYFUNCTION("""COMPUTED_VALUE"""),529.0)</f>
        <v>529</v>
      </c>
      <c r="D385" s="15">
        <f>IFERROR(__xludf.DUMMYFUNCTION("""COMPUTED_VALUE"""),-1.882165405112529)</f>
        <v>-1.882165405</v>
      </c>
      <c r="E385" s="15">
        <f>IFERROR(__xludf.DUMMYFUNCTION("""COMPUTED_VALUE"""),-0.9615646588144311)</f>
        <v>-0.9615646588</v>
      </c>
      <c r="F385" s="15">
        <f>IFERROR(__xludf.DUMMYFUNCTION("""COMPUTED_VALUE"""),-2.84374116392696)</f>
        <v>-2.843741164</v>
      </c>
      <c r="G385" s="17">
        <f>IFERROR(__xludf.DUMMYFUNCTION("""COMPUTED_VALUE"""),-0.1431761086425208)</f>
        <v>-0.1431761086</v>
      </c>
      <c r="H385" s="4"/>
    </row>
    <row r="386">
      <c r="A386" s="18" t="str">
        <f>IFERROR(__xludf.DUMMYFUNCTION("""COMPUTED_VALUE"""),"Davide Meluzzi")</f>
        <v>Davide Meluzzi</v>
      </c>
      <c r="B386" s="19" t="str">
        <f>IFERROR(__xludf.DUMMYFUNCTION("""COMPUTED_VALUE"""),"TORT")</f>
        <v>TORT</v>
      </c>
      <c r="C386" s="20">
        <f>IFERROR(__xludf.DUMMYFUNCTION("""COMPUTED_VALUE"""),182.0)</f>
        <v>182</v>
      </c>
      <c r="D386" s="21">
        <f>IFERROR(__xludf.DUMMYFUNCTION("""COMPUTED_VALUE"""),-1.6613877111877757)</f>
        <v>-1.661387711</v>
      </c>
      <c r="E386" s="21">
        <f>IFERROR(__xludf.DUMMYFUNCTION("""COMPUTED_VALUE"""),-1.2707974869839518)</f>
        <v>-1.270797487</v>
      </c>
      <c r="F386" s="21">
        <f>IFERROR(__xludf.DUMMYFUNCTION("""COMPUTED_VALUE"""),-2.9322047981717274)</f>
        <v>-2.932204798</v>
      </c>
      <c r="G386" s="23">
        <f>IFERROR(__xludf.DUMMYFUNCTION("""COMPUTED_VALUE"""),-0.05853182070364417)</f>
        <v>-0.0585318207</v>
      </c>
      <c r="H386" s="4"/>
    </row>
    <row r="387">
      <c r="A387" s="12" t="str">
        <f>IFERROR(__xludf.DUMMYFUNCTION("""COMPUTED_VALUE"""),"Marco Planezio")</f>
        <v>Marco Planezio</v>
      </c>
      <c r="B387" s="13" t="str">
        <f>IFERROR(__xludf.DUMMYFUNCTION("""COMPUTED_VALUE"""),"TREV")</f>
        <v>TREV</v>
      </c>
      <c r="C387" s="14">
        <f>IFERROR(__xludf.DUMMYFUNCTION("""COMPUTED_VALUE"""),358.0)</f>
        <v>358</v>
      </c>
      <c r="D387" s="15">
        <f>IFERROR(__xludf.DUMMYFUNCTION("""COMPUTED_VALUE"""),-1.259493837061234)</f>
        <v>-1.259493837</v>
      </c>
      <c r="E387" s="15">
        <f>IFERROR(__xludf.DUMMYFUNCTION("""COMPUTED_VALUE"""),-1.7030671483860211)</f>
        <v>-1.703067148</v>
      </c>
      <c r="F387" s="15">
        <f>IFERROR(__xludf.DUMMYFUNCTION("""COMPUTED_VALUE"""),-2.9625750854472552)</f>
        <v>-2.962575085</v>
      </c>
      <c r="G387" s="17">
        <f>IFERROR(__xludf.DUMMYFUNCTION("""COMPUTED_VALUE"""),-0.21033795253580825)</f>
        <v>-0.2103379525</v>
      </c>
      <c r="H387" s="4"/>
    </row>
    <row r="388">
      <c r="A388" s="18" t="str">
        <f>IFERROR(__xludf.DUMMYFUNCTION("""COMPUTED_VALUE"""),"Dario Zucca")</f>
        <v>Dario Zucca</v>
      </c>
      <c r="B388" s="19" t="str">
        <f>IFERROR(__xludf.DUMMYFUNCTION("""COMPUTED_VALUE"""),"POD")</f>
        <v>POD</v>
      </c>
      <c r="C388" s="20">
        <f>IFERROR(__xludf.DUMMYFUNCTION("""COMPUTED_VALUE"""),385.0)</f>
        <v>385</v>
      </c>
      <c r="D388" s="21">
        <f>IFERROR(__xludf.DUMMYFUNCTION("""COMPUTED_VALUE"""),-3.6962201202517067)</f>
        <v>-3.69622012</v>
      </c>
      <c r="E388" s="21">
        <f>IFERROR(__xludf.DUMMYFUNCTION("""COMPUTED_VALUE"""),0.7215289812536421)</f>
        <v>0.7215289813</v>
      </c>
      <c r="F388" s="21">
        <f>IFERROR(__xludf.DUMMYFUNCTION("""COMPUTED_VALUE"""),-2.9746914389980645)</f>
        <v>-2.974691439</v>
      </c>
      <c r="G388" s="23">
        <f>IFERROR(__xludf.DUMMYFUNCTION("""COMPUTED_VALUE"""),-0.11508852627029173)</f>
        <v>-0.1150885263</v>
      </c>
      <c r="H388" s="4"/>
    </row>
    <row r="389">
      <c r="A389" s="12" t="str">
        <f>IFERROR(__xludf.DUMMYFUNCTION("""COMPUTED_VALUE"""),"Tommaso Oxilia")</f>
        <v>Tommaso Oxilia</v>
      </c>
      <c r="B389" s="13" t="str">
        <f>IFERROR(__xludf.DUMMYFUNCTION("""COMPUTED_VALUE"""),"CAS")</f>
        <v>CAS</v>
      </c>
      <c r="C389" s="14">
        <f>IFERROR(__xludf.DUMMYFUNCTION("""COMPUTED_VALUE"""),611.0)</f>
        <v>611</v>
      </c>
      <c r="D389" s="15">
        <f>IFERROR(__xludf.DUMMYFUNCTION("""COMPUTED_VALUE"""),-4.036116893792496)</f>
        <v>-4.036116894</v>
      </c>
      <c r="E389" s="15">
        <f>IFERROR(__xludf.DUMMYFUNCTION("""COMPUTED_VALUE"""),1.0605194531343178)</f>
        <v>1.060519453</v>
      </c>
      <c r="F389" s="15">
        <f>IFERROR(__xludf.DUMMYFUNCTION("""COMPUTED_VALUE"""),-2.975614040658178)</f>
        <v>-2.975614041</v>
      </c>
      <c r="G389" s="17">
        <f>IFERROR(__xludf.DUMMYFUNCTION("""COMPUTED_VALUE"""),-0.18919829979835096)</f>
        <v>-0.1891982998</v>
      </c>
      <c r="H389" s="4"/>
    </row>
    <row r="390">
      <c r="A390" s="18" t="str">
        <f>IFERROR(__xludf.DUMMYFUNCTION("""COMPUTED_VALUE"""),"Mirco Turel")</f>
        <v>Mirco Turel</v>
      </c>
      <c r="B390" s="19" t="str">
        <f>IFERROR(__xludf.DUMMYFUNCTION("""COMPUTED_VALUE"""),"CAGL")</f>
        <v>CAGL</v>
      </c>
      <c r="C390" s="20">
        <f>IFERROR(__xludf.DUMMYFUNCTION("""COMPUTED_VALUE"""),535.0)</f>
        <v>535</v>
      </c>
      <c r="D390" s="21">
        <f>IFERROR(__xludf.DUMMYFUNCTION("""COMPUTED_VALUE"""),-0.7367711667189779)</f>
        <v>-0.7367711667</v>
      </c>
      <c r="E390" s="21">
        <f>IFERROR(__xludf.DUMMYFUNCTION("""COMPUTED_VALUE"""),-2.274439714544422)</f>
        <v>-2.274439715</v>
      </c>
      <c r="F390" s="21">
        <f>IFERROR(__xludf.DUMMYFUNCTION("""COMPUTED_VALUE"""),-3.0112144812633996)</f>
        <v>-3.011214481</v>
      </c>
      <c r="G390" s="23">
        <f>IFERROR(__xludf.DUMMYFUNCTION("""COMPUTED_VALUE"""),-0.16425095342857568)</f>
        <v>-0.1642509534</v>
      </c>
      <c r="H390" s="4"/>
    </row>
    <row r="391">
      <c r="A391" s="12" t="str">
        <f>IFERROR(__xludf.DUMMYFUNCTION("""COMPUTED_VALUE"""),"Leonardo Tote")</f>
        <v>Leonardo Tote</v>
      </c>
      <c r="B391" s="13" t="str">
        <f>IFERROR(__xludf.DUMMYFUNCTION("""COMPUTED_VALUE"""),"STV")</f>
        <v>STV</v>
      </c>
      <c r="C391" s="14">
        <f>IFERROR(__xludf.DUMMYFUNCTION("""COMPUTED_VALUE"""),489.0)</f>
        <v>489</v>
      </c>
      <c r="D391" s="15">
        <f>IFERROR(__xludf.DUMMYFUNCTION("""COMPUTED_VALUE"""),-2.502293179197214)</f>
        <v>-2.502293179</v>
      </c>
      <c r="E391" s="15">
        <f>IFERROR(__xludf.DUMMYFUNCTION("""COMPUTED_VALUE"""),-0.5398477924958835)</f>
        <v>-0.5398477925</v>
      </c>
      <c r="F391" s="15">
        <f>IFERROR(__xludf.DUMMYFUNCTION("""COMPUTED_VALUE"""),-3.0421450716930973)</f>
        <v>-3.042145072</v>
      </c>
      <c r="G391" s="17">
        <f>IFERROR(__xludf.DUMMYFUNCTION("""COMPUTED_VALUE"""),-0.16888719441293418)</f>
        <v>-0.1688871944</v>
      </c>
      <c r="H391" s="4"/>
    </row>
    <row r="392">
      <c r="A392" s="18" t="str">
        <f>IFERROR(__xludf.DUMMYFUNCTION("""COMPUTED_VALUE"""),"Andrea Saccaggi")</f>
        <v>Andrea Saccaggi</v>
      </c>
      <c r="B392" s="19" t="str">
        <f>IFERROR(__xludf.DUMMYFUNCTION("""COMPUTED_VALUE"""),"LAT")</f>
        <v>LAT</v>
      </c>
      <c r="C392" s="20">
        <f>IFERROR(__xludf.DUMMYFUNCTION("""COMPUTED_VALUE"""),824.0)</f>
        <v>824</v>
      </c>
      <c r="D392" s="21">
        <f>IFERROR(__xludf.DUMMYFUNCTION("""COMPUTED_VALUE"""),-1.0248606618587124)</f>
        <v>-1.024860662</v>
      </c>
      <c r="E392" s="21">
        <f>IFERROR(__xludf.DUMMYFUNCTION("""COMPUTED_VALUE"""),-2.065776583012575)</f>
        <v>-2.065776583</v>
      </c>
      <c r="F392" s="21">
        <f>IFERROR(__xludf.DUMMYFUNCTION("""COMPUTED_VALUE"""),-3.090646944871288)</f>
        <v>-3.090646945</v>
      </c>
      <c r="G392" s="23">
        <f>IFERROR(__xludf.DUMMYFUNCTION("""COMPUTED_VALUE"""),-0.2919627288794938)</f>
        <v>-0.2919627289</v>
      </c>
      <c r="H392" s="4"/>
    </row>
    <row r="393">
      <c r="A393" s="12" t="str">
        <f>IFERROR(__xludf.DUMMYFUNCTION("""COMPUTED_VALUE"""),"Vittorio Nobile")</f>
        <v>Vittorio Nobile</v>
      </c>
      <c r="B393" s="13" t="str">
        <f>IFERROR(__xludf.DUMMYFUNCTION("""COMPUTED_VALUE"""),"AMIC")</f>
        <v>AMIC</v>
      </c>
      <c r="C393" s="14">
        <f>IFERROR(__xludf.DUMMYFUNCTION("""COMPUTED_VALUE"""),384.0)</f>
        <v>384</v>
      </c>
      <c r="D393" s="15">
        <f>IFERROR(__xludf.DUMMYFUNCTION("""COMPUTED_VALUE"""),-3.7962193198272294)</f>
        <v>-3.79621932</v>
      </c>
      <c r="E393" s="15">
        <f>IFERROR(__xludf.DUMMYFUNCTION("""COMPUTED_VALUE"""),0.6877620206552993)</f>
        <v>0.6877620207</v>
      </c>
      <c r="F393" s="15">
        <f>IFERROR(__xludf.DUMMYFUNCTION("""COMPUTED_VALUE"""),-3.10847459917193)</f>
        <v>-3.108474599</v>
      </c>
      <c r="G393" s="17">
        <f>IFERROR(__xludf.DUMMYFUNCTION("""COMPUTED_VALUE"""),-0.12875651347303688)</f>
        <v>-0.1287565135</v>
      </c>
      <c r="H393" s="4"/>
    </row>
    <row r="394">
      <c r="A394" s="18" t="str">
        <f>IFERROR(__xludf.DUMMYFUNCTION("""COMPUTED_VALUE"""),"Luca Rattalino")</f>
        <v>Luca Rattalino</v>
      </c>
      <c r="B394" s="19" t="str">
        <f>IFERROR(__xludf.DUMMYFUNCTION("""COMPUTED_VALUE"""),"BEI")</f>
        <v>BEI</v>
      </c>
      <c r="C394" s="20">
        <f>IFERROR(__xludf.DUMMYFUNCTION("""COMPUTED_VALUE"""),178.0)</f>
        <v>178</v>
      </c>
      <c r="D394" s="21">
        <f>IFERROR(__xludf.DUMMYFUNCTION("""COMPUTED_VALUE"""),-2.966464426699832)</f>
        <v>-2.966464427</v>
      </c>
      <c r="E394" s="21">
        <f>IFERROR(__xludf.DUMMYFUNCTION("""COMPUTED_VALUE"""),-0.145036164029526)</f>
        <v>-0.145036164</v>
      </c>
      <c r="F394" s="21">
        <f>IFERROR(__xludf.DUMMYFUNCTION("""COMPUTED_VALUE"""),-3.111512890729358)</f>
        <v>-3.111512891</v>
      </c>
      <c r="G394" s="23">
        <f>IFERROR(__xludf.DUMMYFUNCTION("""COMPUTED_VALUE"""),-0.0600866548351119)</f>
        <v>-0.06008665484</v>
      </c>
      <c r="H394" s="4"/>
    </row>
    <row r="395">
      <c r="A395" s="12" t="str">
        <f>IFERROR(__xludf.DUMMYFUNCTION("""COMPUTED_VALUE"""),"Valerio Cucci")</f>
        <v>Valerio Cucci</v>
      </c>
      <c r="B395" s="13" t="str">
        <f>IFERROR(__xludf.DUMMYFUNCTION("""COMPUTED_VALUE"""),"MAN")</f>
        <v>MAN</v>
      </c>
      <c r="C395" s="14">
        <f>IFERROR(__xludf.DUMMYFUNCTION("""COMPUTED_VALUE"""),665.0)</f>
        <v>665</v>
      </c>
      <c r="D395" s="15">
        <f>IFERROR(__xludf.DUMMYFUNCTION("""COMPUTED_VALUE"""),-2.83388219339853)</f>
        <v>-2.833882193</v>
      </c>
      <c r="E395" s="15">
        <f>IFERROR(__xludf.DUMMYFUNCTION("""COMPUTED_VALUE"""),-0.3246950590978069)</f>
        <v>-0.3246950591</v>
      </c>
      <c r="F395" s="15">
        <f>IFERROR(__xludf.DUMMYFUNCTION("""COMPUTED_VALUE"""),-3.158611152496337)</f>
        <v>-3.158611152</v>
      </c>
      <c r="G395" s="17">
        <f>IFERROR(__xludf.DUMMYFUNCTION("""COMPUTED_VALUE"""),-0.24303035434144996)</f>
        <v>-0.2430303543</v>
      </c>
      <c r="H395" s="4"/>
    </row>
    <row r="396">
      <c r="A396" s="18" t="str">
        <f>IFERROR(__xludf.DUMMYFUNCTION("""COMPUTED_VALUE"""),"Luca Cesana")</f>
        <v>Luca Cesana</v>
      </c>
      <c r="B396" s="19" t="str">
        <f>IFERROR(__xludf.DUMMYFUNCTION("""COMPUTED_VALUE"""),"TREV")</f>
        <v>TREV</v>
      </c>
      <c r="C396" s="20">
        <f>IFERROR(__xludf.DUMMYFUNCTION("""COMPUTED_VALUE"""),290.0)</f>
        <v>290</v>
      </c>
      <c r="D396" s="21">
        <f>IFERROR(__xludf.DUMMYFUNCTION("""COMPUTED_VALUE"""),-2.226957407850738)</f>
        <v>-2.226957408</v>
      </c>
      <c r="E396" s="21">
        <f>IFERROR(__xludf.DUMMYFUNCTION("""COMPUTED_VALUE"""),-0.9557816822427784)</f>
        <v>-0.9557816822</v>
      </c>
      <c r="F396" s="21">
        <f>IFERROR(__xludf.DUMMYFUNCTION("""COMPUTED_VALUE"""),-3.1827753900935165)</f>
        <v>-3.18277539</v>
      </c>
      <c r="G396" s="23">
        <f>IFERROR(__xludf.DUMMYFUNCTION("""COMPUTED_VALUE"""),-0.2093409003362155)</f>
        <v>-0.2093409003</v>
      </c>
      <c r="H396" s="4"/>
    </row>
    <row r="397">
      <c r="A397" s="12" t="str">
        <f>IFERROR(__xludf.DUMMYFUNCTION("""COMPUTED_VALUE"""),"Roberto Marulli")</f>
        <v>Roberto Marulli</v>
      </c>
      <c r="B397" s="13" t="str">
        <f>IFERROR(__xludf.DUMMYFUNCTION("""COMPUTED_VALUE"""),"ROS")</f>
        <v>ROS</v>
      </c>
      <c r="C397" s="14">
        <f>IFERROR(__xludf.DUMMYFUNCTION("""COMPUTED_VALUE"""),731.0)</f>
        <v>731</v>
      </c>
      <c r="D397" s="15">
        <f>IFERROR(__xludf.DUMMYFUNCTION("""COMPUTED_VALUE"""),-1.6587860345079093)</f>
        <v>-1.658786035</v>
      </c>
      <c r="E397" s="15">
        <f>IFERROR(__xludf.DUMMYFUNCTION("""COMPUTED_VALUE"""),-1.5374321729751432)</f>
        <v>-1.537432173</v>
      </c>
      <c r="F397" s="15">
        <f>IFERROR(__xludf.DUMMYFUNCTION("""COMPUTED_VALUE"""),-3.1962391074830525)</f>
        <v>-3.196239107</v>
      </c>
      <c r="G397" s="17">
        <f>IFERROR(__xludf.DUMMYFUNCTION("""COMPUTED_VALUE"""),-0.2654737222761192)</f>
        <v>-0.2654737223</v>
      </c>
      <c r="H397" s="4"/>
    </row>
    <row r="398">
      <c r="A398" s="18" t="str">
        <f>IFERROR(__xludf.DUMMYFUNCTION("""COMPUTED_VALUE"""),"Luca Infante")</f>
        <v>Luca Infante</v>
      </c>
      <c r="B398" s="19" t="str">
        <f>IFERROR(__xludf.DUMMYFUNCTION("""COMPUTED_VALUE"""),"CAS")</f>
        <v>CAS</v>
      </c>
      <c r="C398" s="20">
        <f>IFERROR(__xludf.DUMMYFUNCTION("""COMPUTED_VALUE"""),746.0)</f>
        <v>746</v>
      </c>
      <c r="D398" s="21">
        <f>IFERROR(__xludf.DUMMYFUNCTION("""COMPUTED_VALUE"""),-4.435973452704985)</f>
        <v>-4.435973453</v>
      </c>
      <c r="E398" s="21">
        <f>IFERROR(__xludf.DUMMYFUNCTION("""COMPUTED_VALUE"""),1.1822307601904711)</f>
        <v>1.18223076</v>
      </c>
      <c r="F398" s="21">
        <f>IFERROR(__xludf.DUMMYFUNCTION("""COMPUTED_VALUE"""),-3.253767892514514)</f>
        <v>-3.253767893</v>
      </c>
      <c r="G398" s="23">
        <f>IFERROR(__xludf.DUMMYFUNCTION("""COMPUTED_VALUE"""),-0.29686239478907517)</f>
        <v>-0.2968623948</v>
      </c>
      <c r="H398" s="4"/>
    </row>
    <row r="399">
      <c r="A399" s="12" t="str">
        <f>IFERROR(__xludf.DUMMYFUNCTION("""COMPUTED_VALUE"""),"Ferdinando Matrone")</f>
        <v>Ferdinando Matrone</v>
      </c>
      <c r="B399" s="13" t="str">
        <f>IFERROR(__xludf.DUMMYFUNCTION("""COMPUTED_VALUE"""),"CAGL")</f>
        <v>CAGL</v>
      </c>
      <c r="C399" s="14">
        <f>IFERROR(__xludf.DUMMYFUNCTION("""COMPUTED_VALUE"""),278.0)</f>
        <v>278</v>
      </c>
      <c r="D399" s="15">
        <f>IFERROR(__xludf.DUMMYFUNCTION("""COMPUTED_VALUE"""),-3.7423300338376726)</f>
        <v>-3.742330034</v>
      </c>
      <c r="E399" s="15">
        <f>IFERROR(__xludf.DUMMYFUNCTION("""COMPUTED_VALUE"""),0.4753543332205999)</f>
        <v>0.4753543332</v>
      </c>
      <c r="F399" s="15">
        <f>IFERROR(__xludf.DUMMYFUNCTION("""COMPUTED_VALUE"""),-3.2669958006170727)</f>
        <v>-3.266995801</v>
      </c>
      <c r="G399" s="17">
        <f>IFERROR(__xludf.DUMMYFUNCTION("""COMPUTED_VALUE"""),-0.10691993620227089)</f>
        <v>-0.1069199362</v>
      </c>
      <c r="H399" s="4"/>
    </row>
    <row r="400">
      <c r="A400" s="18" t="str">
        <f>IFERROR(__xludf.DUMMYFUNCTION("""COMPUTED_VALUE"""),"Alberto Conti")</f>
        <v>Alberto Conti</v>
      </c>
      <c r="B400" s="19" t="str">
        <f>IFERROR(__xludf.DUMMYFUNCTION("""COMPUTED_VALUE"""),"RIET")</f>
        <v>RIET</v>
      </c>
      <c r="C400" s="20">
        <f>IFERROR(__xludf.DUMMYFUNCTION("""COMPUTED_VALUE"""),241.0)</f>
        <v>241</v>
      </c>
      <c r="D400" s="21">
        <f>IFERROR(__xludf.DUMMYFUNCTION("""COMPUTED_VALUE"""),-1.1201116142876226)</f>
        <v>-1.120111614</v>
      </c>
      <c r="E400" s="21">
        <f>IFERROR(__xludf.DUMMYFUNCTION("""COMPUTED_VALUE"""),-2.200429683200786)</f>
        <v>-2.200429683</v>
      </c>
      <c r="F400" s="21">
        <f>IFERROR(__xludf.DUMMYFUNCTION("""COMPUTED_VALUE"""),-3.3205760974884084)</f>
        <v>-3.320576097</v>
      </c>
      <c r="G400" s="23">
        <f>IFERROR(__xludf.DUMMYFUNCTION("""COMPUTED_VALUE"""),-0.10850002549472991)</f>
        <v>-0.1085000255</v>
      </c>
      <c r="H400" s="4"/>
    </row>
    <row r="401">
      <c r="A401" s="12" t="str">
        <f>IFERROR(__xludf.DUMMYFUNCTION("""COMPUTED_VALUE"""),"Franko Bushati")</f>
        <v>Franko Bushati</v>
      </c>
      <c r="B401" s="13" t="str">
        <f>IFERROR(__xludf.DUMMYFUNCTION("""COMPUTED_VALUE"""),"AMIC")</f>
        <v>AMIC</v>
      </c>
      <c r="C401" s="14">
        <f>IFERROR(__xludf.DUMMYFUNCTION("""COMPUTED_VALUE"""),428.0)</f>
        <v>428</v>
      </c>
      <c r="D401" s="15">
        <f>IFERROR(__xludf.DUMMYFUNCTION("""COMPUTED_VALUE"""),-3.337240886426958)</f>
        <v>-3.337240886</v>
      </c>
      <c r="E401" s="15">
        <f>IFERROR(__xludf.DUMMYFUNCTION("""COMPUTED_VALUE"""),-0.022011028451827685)</f>
        <v>-0.02201102845</v>
      </c>
      <c r="F401" s="15">
        <f>IFERROR(__xludf.DUMMYFUNCTION("""COMPUTED_VALUE"""),-3.3592909148787857)</f>
        <v>-3.359290915</v>
      </c>
      <c r="G401" s="17">
        <f>IFERROR(__xludf.DUMMYFUNCTION("""COMPUTED_VALUE"""),-0.17596671513911555)</f>
        <v>-0.1759667151</v>
      </c>
      <c r="H401" s="4"/>
    </row>
    <row r="402">
      <c r="A402" s="18" t="str">
        <f>IFERROR(__xludf.DUMMYFUNCTION("""COMPUTED_VALUE"""),"Ruben Zugno")</f>
        <v>Ruben Zugno</v>
      </c>
      <c r="B402" s="19" t="str">
        <f>IFERROR(__xludf.DUMMYFUNCTION("""COMPUTED_VALUE"""),"MON")</f>
        <v>MON</v>
      </c>
      <c r="C402" s="20">
        <f>IFERROR(__xludf.DUMMYFUNCTION("""COMPUTED_VALUE"""),612.0)</f>
        <v>612</v>
      </c>
      <c r="D402" s="21">
        <f>IFERROR(__xludf.DUMMYFUNCTION("""COMPUTED_VALUE"""),-2.046686415915868)</f>
        <v>-2.046686416</v>
      </c>
      <c r="E402" s="21">
        <f>IFERROR(__xludf.DUMMYFUNCTION("""COMPUTED_VALUE"""),-1.31391696270113)</f>
        <v>-1.313916963</v>
      </c>
      <c r="F402" s="21">
        <f>IFERROR(__xludf.DUMMYFUNCTION("""COMPUTED_VALUE"""),-3.360603578616998)</f>
        <v>-3.360603579</v>
      </c>
      <c r="G402" s="23">
        <f>IFERROR(__xludf.DUMMYFUNCTION("""COMPUTED_VALUE"""),-0.25291052134145325)</f>
        <v>-0.2529105213</v>
      </c>
      <c r="H402" s="4"/>
    </row>
    <row r="403">
      <c r="A403" s="12" t="str">
        <f>IFERROR(__xludf.DUMMYFUNCTION("""COMPUTED_VALUE"""),"Marco Evangelisti")</f>
        <v>Marco Evangelisti</v>
      </c>
      <c r="B403" s="13" t="str">
        <f>IFERROR(__xludf.DUMMYFUNCTION("""COMPUTED_VALUE"""),"MON")</f>
        <v>MON</v>
      </c>
      <c r="C403" s="14">
        <f>IFERROR(__xludf.DUMMYFUNCTION("""COMPUTED_VALUE"""),924.0)</f>
        <v>924</v>
      </c>
      <c r="D403" s="15">
        <f>IFERROR(__xludf.DUMMYFUNCTION("""COMPUTED_VALUE"""),-0.32344240770087257)</f>
        <v>-0.3234424077</v>
      </c>
      <c r="E403" s="15">
        <f>IFERROR(__xludf.DUMMYFUNCTION("""COMPUTED_VALUE"""),-3.037175736904546)</f>
        <v>-3.037175737</v>
      </c>
      <c r="F403" s="15">
        <f>IFERROR(__xludf.DUMMYFUNCTION("""COMPUTED_VALUE"""),-3.3606490446054185)</f>
        <v>-3.360649045</v>
      </c>
      <c r="G403" s="17">
        <f>IFERROR(__xludf.DUMMYFUNCTION("""COMPUTED_VALUE"""),-0.3818274586572335)</f>
        <v>-0.3818274587</v>
      </c>
      <c r="H403" s="4"/>
    </row>
    <row r="404">
      <c r="A404" s="18" t="str">
        <f>IFERROR(__xludf.DUMMYFUNCTION("""COMPUTED_VALUE"""),"Alessandro Simioni")</f>
        <v>Alessandro Simioni</v>
      </c>
      <c r="B404" s="19" t="str">
        <f>IFERROR(__xludf.DUMMYFUNCTION("""COMPUTED_VALUE"""),"IMOL")</f>
        <v>IMOL</v>
      </c>
      <c r="C404" s="20">
        <f>IFERROR(__xludf.DUMMYFUNCTION("""COMPUTED_VALUE"""),419.0)</f>
        <v>419</v>
      </c>
      <c r="D404" s="21">
        <f>IFERROR(__xludf.DUMMYFUNCTION("""COMPUTED_VALUE"""),-4.014870620518529)</f>
        <v>-4.014870621</v>
      </c>
      <c r="E404" s="21">
        <f>IFERROR(__xludf.DUMMYFUNCTION("""COMPUTED_VALUE"""),0.6302245353859347)</f>
        <v>0.6302245354</v>
      </c>
      <c r="F404" s="21">
        <f>IFERROR(__xludf.DUMMYFUNCTION("""COMPUTED_VALUE"""),-3.3846535851325945)</f>
        <v>-3.384653585</v>
      </c>
      <c r="G404" s="23">
        <f>IFERROR(__xludf.DUMMYFUNCTION("""COMPUTED_VALUE"""),-0.1768735524910235)</f>
        <v>-0.1768735525</v>
      </c>
      <c r="H404" s="4"/>
    </row>
    <row r="405">
      <c r="A405" s="12" t="str">
        <f>IFERROR(__xludf.DUMMYFUNCTION("""COMPUTED_VALUE"""),"Andrea Casella")</f>
        <v>Andrea Casella</v>
      </c>
      <c r="B405" s="13" t="str">
        <f>IFERROR(__xludf.DUMMYFUNCTION("""COMPUTED_VALUE"""),"SANA")</f>
        <v>SANA</v>
      </c>
      <c r="C405" s="14">
        <f>IFERROR(__xludf.DUMMYFUNCTION("""COMPUTED_VALUE"""),539.0)</f>
        <v>539</v>
      </c>
      <c r="D405" s="15">
        <f>IFERROR(__xludf.DUMMYFUNCTION("""COMPUTED_VALUE"""),-2.1989207036894847)</f>
        <v>-2.198920704</v>
      </c>
      <c r="E405" s="15">
        <f>IFERROR(__xludf.DUMMYFUNCTION("""COMPUTED_VALUE"""),-1.1992768620317356)</f>
        <v>-1.199276862</v>
      </c>
      <c r="F405" s="15">
        <f>IFERROR(__xludf.DUMMYFUNCTION("""COMPUTED_VALUE"""),-3.39823506572122)</f>
        <v>-3.398235066</v>
      </c>
      <c r="G405" s="17">
        <f>IFERROR(__xludf.DUMMYFUNCTION("""COMPUTED_VALUE"""),-0.2291985611085529)</f>
        <v>-0.2291985611</v>
      </c>
      <c r="H405" s="4"/>
    </row>
    <row r="406">
      <c r="A406" s="18" t="str">
        <f>IFERROR(__xludf.DUMMYFUNCTION("""COMPUTED_VALUE"""),"Alberto Chiumenti")</f>
        <v>Alberto Chiumenti</v>
      </c>
      <c r="B406" s="19" t="str">
        <f>IFERROR(__xludf.DUMMYFUNCTION("""COMPUTED_VALUE"""),"RAV")</f>
        <v>RAV</v>
      </c>
      <c r="C406" s="20">
        <f>IFERROR(__xludf.DUMMYFUNCTION("""COMPUTED_VALUE"""),641.0)</f>
        <v>641</v>
      </c>
      <c r="D406" s="21">
        <f>IFERROR(__xludf.DUMMYFUNCTION("""COMPUTED_VALUE"""),-4.227840287158046)</f>
        <v>-4.227840287</v>
      </c>
      <c r="E406" s="21">
        <f>IFERROR(__xludf.DUMMYFUNCTION("""COMPUTED_VALUE"""),0.8272008403391116)</f>
        <v>0.8272008403</v>
      </c>
      <c r="F406" s="21">
        <f>IFERROR(__xludf.DUMMYFUNCTION("""COMPUTED_VALUE"""),-3.4006752468189347)</f>
        <v>-3.400675247</v>
      </c>
      <c r="G406" s="23">
        <f>IFERROR(__xludf.DUMMYFUNCTION("""COMPUTED_VALUE"""),-0.2714314948632143)</f>
        <v>-0.2714314949</v>
      </c>
      <c r="H406" s="4"/>
    </row>
    <row r="407">
      <c r="A407" s="12" t="str">
        <f>IFERROR(__xludf.DUMMYFUNCTION("""COMPUTED_VALUE"""),"Leonardo Marini")</f>
        <v>Leonardo Marini</v>
      </c>
      <c r="B407" s="13" t="str">
        <f>IFERROR(__xludf.DUMMYFUNCTION("""COMPUTED_VALUE"""),"RIET")</f>
        <v>RIET</v>
      </c>
      <c r="C407" s="14">
        <f>IFERROR(__xludf.DUMMYFUNCTION("""COMPUTED_VALUE"""),74.0)</f>
        <v>74</v>
      </c>
      <c r="D407" s="15">
        <f>IFERROR(__xludf.DUMMYFUNCTION("""COMPUTED_VALUE"""),-2.305177424392732)</f>
        <v>-2.305177424</v>
      </c>
      <c r="E407" s="15">
        <f>IFERROR(__xludf.DUMMYFUNCTION("""COMPUTED_VALUE"""),-1.1130489863996018)</f>
        <v>-1.113048986</v>
      </c>
      <c r="F407" s="15">
        <f>IFERROR(__xludf.DUMMYFUNCTION("""COMPUTED_VALUE"""),-3.418248010792334)</f>
        <v>-3.418248011</v>
      </c>
      <c r="G407" s="17">
        <f>IFERROR(__xludf.DUMMYFUNCTION("""COMPUTED_VALUE"""),-0.035769293490012254)</f>
        <v>-0.03576929349</v>
      </c>
      <c r="H407" s="4"/>
    </row>
    <row r="408">
      <c r="A408" s="18" t="str">
        <f>IFERROR(__xludf.DUMMYFUNCTION("""COMPUTED_VALUE"""),"Mattia Palumbo")</f>
        <v>Mattia Palumbo</v>
      </c>
      <c r="B408" s="19" t="str">
        <f>IFERROR(__xludf.DUMMYFUNCTION("""COMPUTED_VALUE"""),"TREV")</f>
        <v>TREV</v>
      </c>
      <c r="C408" s="20">
        <f>IFERROR(__xludf.DUMMYFUNCTION("""COMPUTED_VALUE"""),384.0)</f>
        <v>384</v>
      </c>
      <c r="D408" s="21">
        <f>IFERROR(__xludf.DUMMYFUNCTION("""COMPUTED_VALUE"""),-4.044707419815064)</f>
        <v>-4.04470742</v>
      </c>
      <c r="E408" s="21">
        <f>IFERROR(__xludf.DUMMYFUNCTION("""COMPUTED_VALUE"""),0.5976731394663014)</f>
        <v>0.5976731395</v>
      </c>
      <c r="F408" s="21">
        <f>IFERROR(__xludf.DUMMYFUNCTION("""COMPUTED_VALUE"""),-3.447050480348763)</f>
        <v>-3.44705048</v>
      </c>
      <c r="G408" s="23">
        <f>IFERROR(__xludf.DUMMYFUNCTION("""COMPUTED_VALUE"""),-0.3391745631116952)</f>
        <v>-0.3391745631</v>
      </c>
      <c r="H408" s="4"/>
    </row>
    <row r="409">
      <c r="A409" s="12" t="str">
        <f>IFERROR(__xludf.DUMMYFUNCTION("""COMPUTED_VALUE"""),"Dontay Thomas")</f>
        <v>Dontay Thomas</v>
      </c>
      <c r="B409" s="13" t="str">
        <f>IFERROR(__xludf.DUMMYFUNCTION("""COMPUTED_VALUE"""),"COUR")</f>
        <v>COUR</v>
      </c>
      <c r="C409" s="14">
        <f>IFERROR(__xludf.DUMMYFUNCTION("""COMPUTED_VALUE"""),464.0)</f>
        <v>464</v>
      </c>
      <c r="D409" s="15">
        <f>IFERROR(__xludf.DUMMYFUNCTION("""COMPUTED_VALUE"""),0.17318972795800905)</f>
        <v>0.173189728</v>
      </c>
      <c r="E409" s="15">
        <f>IFERROR(__xludf.DUMMYFUNCTION("""COMPUTED_VALUE"""),-3.6560620769606924)</f>
        <v>-3.656062077</v>
      </c>
      <c r="F409" s="15">
        <f>IFERROR(__xludf.DUMMYFUNCTION("""COMPUTED_VALUE"""),-3.482877349002683)</f>
        <v>-3.482877349</v>
      </c>
      <c r="G409" s="17">
        <f>IFERROR(__xludf.DUMMYFUNCTION("""COMPUTED_VALUE"""),-0.24332370688419303)</f>
        <v>-0.2433237069</v>
      </c>
      <c r="H409" s="4"/>
    </row>
    <row r="410">
      <c r="A410" s="18" t="str">
        <f>IFERROR(__xludf.DUMMYFUNCTION("""COMPUTED_VALUE"""),"Stefano Spizzichini")</f>
        <v>Stefano Spizzichini</v>
      </c>
      <c r="B410" s="19" t="str">
        <f>IFERROR(__xludf.DUMMYFUNCTION("""COMPUTED_VALUE"""),"TRA")</f>
        <v>TRA</v>
      </c>
      <c r="C410" s="20">
        <f>IFERROR(__xludf.DUMMYFUNCTION("""COMPUTED_VALUE"""),325.0)</f>
        <v>325</v>
      </c>
      <c r="D410" s="21">
        <f>IFERROR(__xludf.DUMMYFUNCTION("""COMPUTED_VALUE"""),-2.3565849464365876)</f>
        <v>-2.356584946</v>
      </c>
      <c r="E410" s="21">
        <f>IFERROR(__xludf.DUMMYFUNCTION("""COMPUTED_VALUE"""),-1.130716864377588)</f>
        <v>-1.130716864</v>
      </c>
      <c r="F410" s="21">
        <f>IFERROR(__xludf.DUMMYFUNCTION("""COMPUTED_VALUE"""),-3.4873082108141755)</f>
        <v>-3.487308211</v>
      </c>
      <c r="G410" s="23">
        <f>IFERROR(__xludf.DUMMYFUNCTION("""COMPUTED_VALUE"""),-0.14967342406263934)</f>
        <v>-0.1496734241</v>
      </c>
      <c r="H410" s="4"/>
    </row>
    <row r="411">
      <c r="A411" s="12" t="str">
        <f>IFERROR(__xludf.DUMMYFUNCTION("""COMPUTED_VALUE"""),"Lorenzo Benvenuti")</f>
        <v>Lorenzo Benvenuti</v>
      </c>
      <c r="B411" s="13" t="str">
        <f>IFERROR(__xludf.DUMMYFUNCTION("""COMPUTED_VALUE"""),"VRC")</f>
        <v>VRC</v>
      </c>
      <c r="C411" s="14">
        <f>IFERROR(__xludf.DUMMYFUNCTION("""COMPUTED_VALUE"""),470.0)</f>
        <v>470</v>
      </c>
      <c r="D411" s="15">
        <f>IFERROR(__xludf.DUMMYFUNCTION("""COMPUTED_VALUE"""),-2.8410996271121918)</f>
        <v>-2.841099627</v>
      </c>
      <c r="E411" s="15">
        <f>IFERROR(__xludf.DUMMYFUNCTION("""COMPUTED_VALUE"""),-0.656045862969641)</f>
        <v>-0.656045863</v>
      </c>
      <c r="F411" s="15">
        <f>IFERROR(__xludf.DUMMYFUNCTION("""COMPUTED_VALUE"""),-3.4971871900818328)</f>
        <v>-3.49718719</v>
      </c>
      <c r="G411" s="17">
        <f>IFERROR(__xludf.DUMMYFUNCTION("""COMPUTED_VALUE"""),-0.21741177003345538)</f>
        <v>-0.21741177</v>
      </c>
      <c r="H411" s="4"/>
    </row>
    <row r="412">
      <c r="A412" s="18" t="str">
        <f>IFERROR(__xludf.DUMMYFUNCTION("""COMPUTED_VALUE"""),"Francesco Infante")</f>
        <v>Francesco Infante</v>
      </c>
      <c r="B412" s="19" t="str">
        <f>IFERROR(__xludf.DUMMYFUNCTION("""COMPUTED_VALUE"""),"ROS")</f>
        <v>ROS</v>
      </c>
      <c r="C412" s="20">
        <f>IFERROR(__xludf.DUMMYFUNCTION("""COMPUTED_VALUE"""),620.0)</f>
        <v>620</v>
      </c>
      <c r="D412" s="21">
        <f>IFERROR(__xludf.DUMMYFUNCTION("""COMPUTED_VALUE"""),-1.9503178996409594)</f>
        <v>-1.9503179</v>
      </c>
      <c r="E412" s="21">
        <f>IFERROR(__xludf.DUMMYFUNCTION("""COMPUTED_VALUE"""),-1.551626803679275)</f>
        <v>-1.551626804</v>
      </c>
      <c r="F412" s="21">
        <f>IFERROR(__xludf.DUMMYFUNCTION("""COMPUTED_VALUE"""),-3.5019700033202343)</f>
        <v>-3.501970003</v>
      </c>
      <c r="G412" s="23">
        <f>IFERROR(__xludf.DUMMYFUNCTION("""COMPUTED_VALUE"""),-0.2827056185482882)</f>
        <v>-0.2827056185</v>
      </c>
      <c r="H412" s="4"/>
    </row>
    <row r="413">
      <c r="A413" s="12" t="str">
        <f>IFERROR(__xludf.DUMMYFUNCTION("""COMPUTED_VALUE"""),"Giuliano Maresca")</f>
        <v>Giuliano Maresca</v>
      </c>
      <c r="B413" s="13" t="str">
        <f>IFERROR(__xludf.DUMMYFUNCTION("""COMPUTED_VALUE"""),"ROM")</f>
        <v>ROM</v>
      </c>
      <c r="C413" s="14">
        <f>IFERROR(__xludf.DUMMYFUNCTION("""COMPUTED_VALUE"""),637.0)</f>
        <v>637</v>
      </c>
      <c r="D413" s="15">
        <f>IFERROR(__xludf.DUMMYFUNCTION("""COMPUTED_VALUE"""),-1.9568950773187188)</f>
        <v>-1.956895077</v>
      </c>
      <c r="E413" s="15">
        <f>IFERROR(__xludf.DUMMYFUNCTION("""COMPUTED_VALUE"""),-1.5525559875650923)</f>
        <v>-1.552555988</v>
      </c>
      <c r="F413" s="15">
        <f>IFERROR(__xludf.DUMMYFUNCTION("""COMPUTED_VALUE"""),-3.509472764883811)</f>
        <v>-3.509472765</v>
      </c>
      <c r="G413" s="17">
        <f>IFERROR(__xludf.DUMMYFUNCTION("""COMPUTED_VALUE"""),-0.28869712194623137)</f>
        <v>-0.2886971219</v>
      </c>
      <c r="H413" s="4"/>
    </row>
    <row r="414">
      <c r="A414" s="18" t="str">
        <f>IFERROR(__xludf.DUMMYFUNCTION("""COMPUTED_VALUE"""),"Antonio Ruggiero")</f>
        <v>Antonio Ruggiero</v>
      </c>
      <c r="B414" s="19" t="str">
        <f>IFERROR(__xludf.DUMMYFUNCTION("""COMPUTED_VALUE"""),"GAGA")</f>
        <v>GAGA</v>
      </c>
      <c r="C414" s="20">
        <f>IFERROR(__xludf.DUMMYFUNCTION("""COMPUTED_VALUE"""),519.0)</f>
        <v>519</v>
      </c>
      <c r="D414" s="21">
        <f>IFERROR(__xludf.DUMMYFUNCTION("""COMPUTED_VALUE"""),-1.4881982308259631)</f>
        <v>-1.488198231</v>
      </c>
      <c r="E414" s="21">
        <f>IFERROR(__xludf.DUMMYFUNCTION("""COMPUTED_VALUE"""),-2.0260615324621654)</f>
        <v>-2.026061532</v>
      </c>
      <c r="F414" s="21">
        <f>IFERROR(__xludf.DUMMYFUNCTION("""COMPUTED_VALUE"""),-3.5142698632881286)</f>
        <v>-3.514269863</v>
      </c>
      <c r="G414" s="23">
        <f>IFERROR(__xludf.DUMMYFUNCTION("""COMPUTED_VALUE"""),-0.22995231519630643)</f>
        <v>-0.2299523152</v>
      </c>
      <c r="H414" s="4"/>
    </row>
    <row r="415">
      <c r="A415" s="12" t="str">
        <f>IFERROR(__xludf.DUMMYFUNCTION("""COMPUTED_VALUE"""),"Marco Venuto")</f>
        <v>Marco Venuto</v>
      </c>
      <c r="B415" s="13" t="str">
        <f>IFERROR(__xludf.DUMMYFUNCTION("""COMPUTED_VALUE"""),"FER")</f>
        <v>FER</v>
      </c>
      <c r="C415" s="14">
        <f>IFERROR(__xludf.DUMMYFUNCTION("""COMPUTED_VALUE"""),380.0)</f>
        <v>380</v>
      </c>
      <c r="D415" s="15">
        <f>IFERROR(__xludf.DUMMYFUNCTION("""COMPUTED_VALUE"""),-4.643570374736721)</f>
        <v>-4.643570375</v>
      </c>
      <c r="E415" s="15">
        <f>IFERROR(__xludf.DUMMYFUNCTION("""COMPUTED_VALUE"""),1.119663987313053)</f>
        <v>1.119663987</v>
      </c>
      <c r="F415" s="15">
        <f>IFERROR(__xludf.DUMMYFUNCTION("""COMPUTED_VALUE"""),-3.5239086874236683)</f>
        <v>-3.523908687</v>
      </c>
      <c r="G415" s="17">
        <f>IFERROR(__xludf.DUMMYFUNCTION("""COMPUTED_VALUE"""),-0.17911704521749489)</f>
        <v>-0.1791170452</v>
      </c>
      <c r="H415" s="4"/>
    </row>
    <row r="416">
      <c r="A416" s="18" t="str">
        <f>IFERROR(__xludf.DUMMYFUNCTION("""COMPUTED_VALUE"""),"Giacomo Zilli")</f>
        <v>Giacomo Zilli</v>
      </c>
      <c r="B416" s="19" t="str">
        <f>IFERROR(__xludf.DUMMYFUNCTION("""COMPUTED_VALUE"""),"MON")</f>
        <v>MON</v>
      </c>
      <c r="C416" s="20">
        <f>IFERROR(__xludf.DUMMYFUNCTION("""COMPUTED_VALUE"""),329.0)</f>
        <v>329</v>
      </c>
      <c r="D416" s="21">
        <f>IFERROR(__xludf.DUMMYFUNCTION("""COMPUTED_VALUE"""),-2.8425600942945195)</f>
        <v>-2.842560094</v>
      </c>
      <c r="E416" s="21">
        <f>IFERROR(__xludf.DUMMYFUNCTION("""COMPUTED_VALUE"""),-0.8003365468462317)</f>
        <v>-0.8003365468</v>
      </c>
      <c r="F416" s="21">
        <f>IFERROR(__xludf.DUMMYFUNCTION("""COMPUTED_VALUE"""),-3.642897141140751)</f>
        <v>-3.642897141</v>
      </c>
      <c r="G416" s="23">
        <f>IFERROR(__xludf.DUMMYFUNCTION("""COMPUTED_VALUE"""),-0.164168246077912)</f>
        <v>-0.1641682461</v>
      </c>
      <c r="H416" s="4"/>
    </row>
    <row r="417">
      <c r="A417" s="12" t="str">
        <f>IFERROR(__xludf.DUMMYFUNCTION("""COMPUTED_VALUE"""),"Ion Lupusor")</f>
        <v>Ion Lupusor</v>
      </c>
      <c r="B417" s="13" t="str">
        <f>IFERROR(__xludf.DUMMYFUNCTION("""COMPUTED_VALUE"""),"ROS")</f>
        <v>ROS</v>
      </c>
      <c r="C417" s="14">
        <f>IFERROR(__xludf.DUMMYFUNCTION("""COMPUTED_VALUE"""),729.0)</f>
        <v>729</v>
      </c>
      <c r="D417" s="15">
        <f>IFERROR(__xludf.DUMMYFUNCTION("""COMPUTED_VALUE"""),-1.7729187609975823)</f>
        <v>-1.772918761</v>
      </c>
      <c r="E417" s="15">
        <f>IFERROR(__xludf.DUMMYFUNCTION("""COMPUTED_VALUE"""),-1.8922555776873835)</f>
        <v>-1.892255578</v>
      </c>
      <c r="F417" s="15">
        <f>IFERROR(__xludf.DUMMYFUNCTION("""COMPUTED_VALUE"""),-3.6651971386849658)</f>
        <v>-3.665197139</v>
      </c>
      <c r="G417" s="17">
        <f>IFERROR(__xludf.DUMMYFUNCTION("""COMPUTED_VALUE"""),-0.3685417321631434)</f>
        <v>-0.3685417322</v>
      </c>
      <c r="H417" s="4"/>
    </row>
    <row r="418">
      <c r="A418" s="18" t="str">
        <f>IFERROR(__xludf.DUMMYFUNCTION("""COMPUTED_VALUE"""),"Filippo Testa")</f>
        <v>Filippo Testa</v>
      </c>
      <c r="B418" s="19" t="str">
        <f>IFERROR(__xludf.DUMMYFUNCTION("""COMPUTED_VALUE"""),"TRA")</f>
        <v>TRA</v>
      </c>
      <c r="C418" s="20">
        <f>IFERROR(__xludf.DUMMYFUNCTION("""COMPUTED_VALUE"""),271.0)</f>
        <v>271</v>
      </c>
      <c r="D418" s="21">
        <f>IFERROR(__xludf.DUMMYFUNCTION("""COMPUTED_VALUE"""),-0.8614284120408434)</f>
        <v>-0.861428412</v>
      </c>
      <c r="E418" s="21">
        <f>IFERROR(__xludf.DUMMYFUNCTION("""COMPUTED_VALUE"""),-2.851569130995642)</f>
        <v>-2.851569131</v>
      </c>
      <c r="F418" s="21">
        <f>IFERROR(__xludf.DUMMYFUNCTION("""COMPUTED_VALUE"""),-3.7130028430364854)</f>
        <v>-3.713002843</v>
      </c>
      <c r="G418" s="23">
        <f>IFERROR(__xludf.DUMMYFUNCTION("""COMPUTED_VALUE"""),-0.14374418655741777)</f>
        <v>-0.1437441866</v>
      </c>
      <c r="H418" s="4"/>
    </row>
    <row r="419">
      <c r="A419" s="12" t="str">
        <f>IFERROR(__xludf.DUMMYFUNCTION("""COMPUTED_VALUE"""),"Andrea Scanzi")</f>
        <v>Andrea Scanzi</v>
      </c>
      <c r="B419" s="13" t="str">
        <f>IFERROR(__xludf.DUMMYFUNCTION("""COMPUTED_VALUE"""),"GAGA")</f>
        <v>GAGA</v>
      </c>
      <c r="C419" s="14">
        <f>IFERROR(__xludf.DUMMYFUNCTION("""COMPUTED_VALUE"""),670.0)</f>
        <v>670</v>
      </c>
      <c r="D419" s="15">
        <f>IFERROR(__xludf.DUMMYFUNCTION("""COMPUTED_VALUE"""),-1.9168849930442444)</f>
        <v>-1.916884993</v>
      </c>
      <c r="E419" s="15">
        <f>IFERROR(__xludf.DUMMYFUNCTION("""COMPUTED_VALUE"""),-1.829938688865099)</f>
        <v>-1.829938689</v>
      </c>
      <c r="F419" s="15">
        <f>IFERROR(__xludf.DUMMYFUNCTION("""COMPUTED_VALUE"""),-3.7468322819093434)</f>
        <v>-3.746832282</v>
      </c>
      <c r="G419" s="17">
        <f>IFERROR(__xludf.DUMMYFUNCTION("""COMPUTED_VALUE"""),-0.34245327967468425)</f>
        <v>-0.3424532797</v>
      </c>
      <c r="H419" s="4"/>
    </row>
    <row r="420">
      <c r="A420" s="18" t="str">
        <f>IFERROR(__xludf.DUMMYFUNCTION("""COMPUTED_VALUE"""),"Nicolo Basile")</f>
        <v>Nicolo Basile</v>
      </c>
      <c r="B420" s="19" t="str">
        <f>IFERROR(__xludf.DUMMYFUNCTION("""COMPUTED_VALUE"""),"ROM")</f>
        <v>ROM</v>
      </c>
      <c r="C420" s="20">
        <f>IFERROR(__xludf.DUMMYFUNCTION("""COMPUTED_VALUE"""),214.0)</f>
        <v>214</v>
      </c>
      <c r="D420" s="21">
        <f>IFERROR(__xludf.DUMMYFUNCTION("""COMPUTED_VALUE"""),-4.208837134781716)</f>
        <v>-4.208837135</v>
      </c>
      <c r="E420" s="21">
        <f>IFERROR(__xludf.DUMMYFUNCTION("""COMPUTED_VALUE"""),0.35863948339809454)</f>
        <v>0.3586394834</v>
      </c>
      <c r="F420" s="21">
        <f>IFERROR(__xludf.DUMMYFUNCTION("""COMPUTED_VALUE"""),-3.850239951383622)</f>
        <v>-3.850239951</v>
      </c>
      <c r="G420" s="23">
        <f>IFERROR(__xludf.DUMMYFUNCTION("""COMPUTED_VALUE"""),-0.11884958445054242)</f>
        <v>-0.1188495845</v>
      </c>
      <c r="H420" s="4"/>
    </row>
    <row r="421">
      <c r="A421" s="12" t="str">
        <f>IFERROR(__xludf.DUMMYFUNCTION("""COMPUTED_VALUE"""),"Dane DiLiegro")</f>
        <v>Dane DiLiegro</v>
      </c>
      <c r="B421" s="13" t="str">
        <f>IFERROR(__xludf.DUMMYFUNCTION("""COMPUTED_VALUE"""),"FOR")</f>
        <v>FOR</v>
      </c>
      <c r="C421" s="14">
        <f>IFERROR(__xludf.DUMMYFUNCTION("""COMPUTED_VALUE"""),636.0)</f>
        <v>636</v>
      </c>
      <c r="D421" s="15">
        <f>IFERROR(__xludf.DUMMYFUNCTION("""COMPUTED_VALUE"""),-3.234274583109185)</f>
        <v>-3.234274583</v>
      </c>
      <c r="E421" s="15">
        <f>IFERROR(__xludf.DUMMYFUNCTION("""COMPUTED_VALUE"""),-0.7149003150876481)</f>
        <v>-0.7149003151</v>
      </c>
      <c r="F421" s="15">
        <f>IFERROR(__xludf.DUMMYFUNCTION("""COMPUTED_VALUE"""),-3.949207198196833)</f>
        <v>-3.949207198</v>
      </c>
      <c r="G421" s="17">
        <f>IFERROR(__xludf.DUMMYFUNCTION("""COMPUTED_VALUE"""),-0.37480012634141885)</f>
        <v>-0.3748001263</v>
      </c>
      <c r="H421" s="4"/>
    </row>
    <row r="422">
      <c r="A422" s="18" t="str">
        <f>IFERROR(__xludf.DUMMYFUNCTION("""COMPUTED_VALUE"""),"Andrea Iannilli")</f>
        <v>Andrea Iannilli</v>
      </c>
      <c r="B422" s="19" t="str">
        <f>IFERROR(__xludf.DUMMYFUNCTION("""COMPUTED_VALUE"""),"GAGA")</f>
        <v>GAGA</v>
      </c>
      <c r="C422" s="20">
        <f>IFERROR(__xludf.DUMMYFUNCTION("""COMPUTED_VALUE"""),132.0)</f>
        <v>132</v>
      </c>
      <c r="D422" s="21">
        <f>IFERROR(__xludf.DUMMYFUNCTION("""COMPUTED_VALUE"""),-3.750580425136001)</f>
        <v>-3.750580425</v>
      </c>
      <c r="E422" s="21">
        <f>IFERROR(__xludf.DUMMYFUNCTION("""COMPUTED_VALUE"""),-0.21607416347931643)</f>
        <v>-0.2160741635</v>
      </c>
      <c r="F422" s="21">
        <f>IFERROR(__xludf.DUMMYFUNCTION("""COMPUTED_VALUE"""),-3.9666804886153173)</f>
        <v>-3.966680489</v>
      </c>
      <c r="G422" s="23">
        <f>IFERROR(__xludf.DUMMYFUNCTION("""COMPUTED_VALUE"""),-0.07593567564070092)</f>
        <v>-0.07593567564</v>
      </c>
      <c r="H422" s="4"/>
    </row>
    <row r="423">
      <c r="A423" s="12" t="str">
        <f>IFERROR(__xludf.DUMMYFUNCTION("""COMPUTED_VALUE"""),"Marco Passera")</f>
        <v>Marco Passera</v>
      </c>
      <c r="B423" s="13" t="str">
        <f>IFERROR(__xludf.DUMMYFUNCTION("""COMPUTED_VALUE"""),"VRC")</f>
        <v>VRC</v>
      </c>
      <c r="C423" s="14">
        <f>IFERROR(__xludf.DUMMYFUNCTION("""COMPUTED_VALUE"""),290.5)</f>
        <v>290.5</v>
      </c>
      <c r="D423" s="15">
        <f>IFERROR(__xludf.DUMMYFUNCTION("""COMPUTED_VALUE"""),-4.916463994707594)</f>
        <v>-4.916463995</v>
      </c>
      <c r="E423" s="15">
        <f>IFERROR(__xludf.DUMMYFUNCTION("""COMPUTED_VALUE"""),0.7209709831207778)</f>
        <v>0.7209709831</v>
      </c>
      <c r="F423" s="15">
        <f>IFERROR(__xludf.DUMMYFUNCTION("""COMPUTED_VALUE"""),-4.195508911586816)</f>
        <v>-4.195508912</v>
      </c>
      <c r="G423" s="17">
        <f>IFERROR(__xludf.DUMMYFUNCTION("""COMPUTED_VALUE"""),-0.19707824486308276)</f>
        <v>-0.1970782449</v>
      </c>
      <c r="H423" s="4"/>
    </row>
    <row r="424">
      <c r="A424" s="18" t="str">
        <f>IFERROR(__xludf.DUMMYFUNCTION("""COMPUTED_VALUE"""),"Guglielmo Caruso")</f>
        <v>Guglielmo Caruso</v>
      </c>
      <c r="B424" s="19" t="str">
        <f>IFERROR(__xludf.DUMMYFUNCTION("""COMPUTED_VALUE"""),"COUR")</f>
        <v>COUR</v>
      </c>
      <c r="C424" s="20">
        <f>IFERROR(__xludf.DUMMYFUNCTION("""COMPUTED_VALUE"""),296.0)</f>
        <v>296</v>
      </c>
      <c r="D424" s="21">
        <f>IFERROR(__xludf.DUMMYFUNCTION("""COMPUTED_VALUE"""),-4.373378513075452)</f>
        <v>-4.373378513</v>
      </c>
      <c r="E424" s="21">
        <f>IFERROR(__xludf.DUMMYFUNCTION("""COMPUTED_VALUE"""),0.0948188985601123)</f>
        <v>0.09481889856</v>
      </c>
      <c r="F424" s="21">
        <f>IFERROR(__xludf.DUMMYFUNCTION("""COMPUTED_VALUE"""),-4.27859741451534)</f>
        <v>-4.278597415</v>
      </c>
      <c r="G424" s="23">
        <f>IFERROR(__xludf.DUMMYFUNCTION("""COMPUTED_VALUE"""),-0.2384847521411937)</f>
        <v>-0.2384847521</v>
      </c>
      <c r="H424" s="4"/>
    </row>
    <row r="425">
      <c r="A425" s="12" t="str">
        <f>IFERROR(__xludf.DUMMYFUNCTION("""COMPUTED_VALUE"""),"Matteo Martini")</f>
        <v>Matteo Martini</v>
      </c>
      <c r="B425" s="13" t="str">
        <f>IFERROR(__xludf.DUMMYFUNCTION("""COMPUTED_VALUE"""),"LEGN")</f>
        <v>LEGN</v>
      </c>
      <c r="C425" s="14">
        <f>IFERROR(__xludf.DUMMYFUNCTION("""COMPUTED_VALUE"""),680.0)</f>
        <v>680</v>
      </c>
      <c r="D425" s="15">
        <f>IFERROR(__xludf.DUMMYFUNCTION("""COMPUTED_VALUE"""),-3.520800786908118)</f>
        <v>-3.520800787</v>
      </c>
      <c r="E425" s="15">
        <f>IFERROR(__xludf.DUMMYFUNCTION("""COMPUTED_VALUE"""),-0.9787084693573523)</f>
        <v>-0.9787084694</v>
      </c>
      <c r="F425" s="15">
        <f>IFERROR(__xludf.DUMMYFUNCTION("""COMPUTED_VALUE"""),-4.4995303562654705)</f>
        <v>-4.499530356</v>
      </c>
      <c r="G425" s="17">
        <f>IFERROR(__xludf.DUMMYFUNCTION("""COMPUTED_VALUE"""),-0.5162187637330617)</f>
        <v>-0.5162187637</v>
      </c>
      <c r="H425" s="4"/>
    </row>
    <row r="426">
      <c r="A426" s="18" t="str">
        <f>IFERROR(__xludf.DUMMYFUNCTION("""COMPUTED_VALUE"""),"Matteo Frassineti")</f>
        <v>Matteo Frassineti</v>
      </c>
      <c r="B426" s="19" t="str">
        <f>IFERROR(__xludf.DUMMYFUNCTION("""COMPUTED_VALUE"""),"LEON")</f>
        <v>LEON</v>
      </c>
      <c r="C426" s="20">
        <f>IFERROR(__xludf.DUMMYFUNCTION("""COMPUTED_VALUE"""),159.0)</f>
        <v>159</v>
      </c>
      <c r="D426" s="21">
        <f>IFERROR(__xludf.DUMMYFUNCTION("""COMPUTED_VALUE"""),-4.008518294295821)</f>
        <v>-4.008518294</v>
      </c>
      <c r="E426" s="21">
        <f>IFERROR(__xludf.DUMMYFUNCTION("""COMPUTED_VALUE"""),-0.4919728494157846)</f>
        <v>-0.4919728494</v>
      </c>
      <c r="F426" s="21">
        <f>IFERROR(__xludf.DUMMYFUNCTION("""COMPUTED_VALUE"""),-4.500520343711606)</f>
        <v>-4.500520344</v>
      </c>
      <c r="G426" s="23">
        <f>IFERROR(__xludf.DUMMYFUNCTION("""COMPUTED_VALUE"""),-0.13979306092736335)</f>
        <v>-0.1397930609</v>
      </c>
      <c r="H426" s="4"/>
    </row>
    <row r="427">
      <c r="A427" s="12" t="str">
        <f>IFERROR(__xludf.DUMMYFUNCTION("""COMPUTED_VALUE"""),"Michele Ebeling")</f>
        <v>Michele Ebeling</v>
      </c>
      <c r="B427" s="13" t="str">
        <f>IFERROR(__xludf.DUMMYFUNCTION("""COMPUTED_VALUE"""),"CAGL")</f>
        <v>CAGL</v>
      </c>
      <c r="C427" s="14">
        <f>IFERROR(__xludf.DUMMYFUNCTION("""COMPUTED_VALUE"""),453.0)</f>
        <v>453</v>
      </c>
      <c r="D427" s="15">
        <f>IFERROR(__xludf.DUMMYFUNCTION("""COMPUTED_VALUE"""),-3.3977314542850103)</f>
        <v>-3.397731454</v>
      </c>
      <c r="E427" s="15">
        <f>IFERROR(__xludf.DUMMYFUNCTION("""COMPUTED_VALUE"""),-1.1183923396377151)</f>
        <v>-1.11839234</v>
      </c>
      <c r="F427" s="15">
        <f>IFERROR(__xludf.DUMMYFUNCTION("""COMPUTED_VALUE"""),-4.516154893922725)</f>
        <v>-4.516154894</v>
      </c>
      <c r="G427" s="17">
        <f>IFERROR(__xludf.DUMMYFUNCTION("""COMPUTED_VALUE"""),-0.34603250700748744)</f>
        <v>-0.346032507</v>
      </c>
      <c r="H427" s="4"/>
    </row>
    <row r="428">
      <c r="A428" s="18" t="str">
        <f>IFERROR(__xludf.DUMMYFUNCTION("""COMPUTED_VALUE"""),"Federico Massone")</f>
        <v>Federico Massone</v>
      </c>
      <c r="B428" s="19" t="str">
        <f>IFERROR(__xludf.DUMMYFUNCTION("""COMPUTED_VALUE"""),"JES")</f>
        <v>JES</v>
      </c>
      <c r="C428" s="20">
        <f>IFERROR(__xludf.DUMMYFUNCTION("""COMPUTED_VALUE"""),306.0)</f>
        <v>306</v>
      </c>
      <c r="D428" s="21">
        <f>IFERROR(__xludf.DUMMYFUNCTION("""COMPUTED_VALUE"""),-5.3720895214440185)</f>
        <v>-5.372089521</v>
      </c>
      <c r="E428" s="21">
        <f>IFERROR(__xludf.DUMMYFUNCTION("""COMPUTED_VALUE"""),0.8027797845821406)</f>
        <v>0.8027797846</v>
      </c>
      <c r="F428" s="21">
        <f>IFERROR(__xludf.DUMMYFUNCTION("""COMPUTED_VALUE"""),-4.569330036861878)</f>
        <v>-4.569330037</v>
      </c>
      <c r="G428" s="23">
        <f>IFERROR(__xludf.DUMMYFUNCTION("""COMPUTED_VALUE"""),-0.25129311862716486)</f>
        <v>-0.2512931186</v>
      </c>
      <c r="H428" s="4"/>
    </row>
    <row r="429">
      <c r="A429" s="12" t="str">
        <f>IFERROR(__xludf.DUMMYFUNCTION("""COMPUTED_VALUE"""),"Michele Antelli")</f>
        <v>Michele Antelli</v>
      </c>
      <c r="B429" s="13" t="str">
        <f>IFERROR(__xludf.DUMMYFUNCTION("""COMPUTED_VALUE"""),"GAGA")</f>
        <v>GAGA</v>
      </c>
      <c r="C429" s="14">
        <f>IFERROR(__xludf.DUMMYFUNCTION("""COMPUTED_VALUE"""),255.0)</f>
        <v>255</v>
      </c>
      <c r="D429" s="15">
        <f>IFERROR(__xludf.DUMMYFUNCTION("""COMPUTED_VALUE"""),-3.7528127632731074)</f>
        <v>-3.752812763</v>
      </c>
      <c r="E429" s="15">
        <f>IFERROR(__xludf.DUMMYFUNCTION("""COMPUTED_VALUE"""),-0.8824407738071111)</f>
        <v>-0.8824407738</v>
      </c>
      <c r="F429" s="15">
        <f>IFERROR(__xludf.DUMMYFUNCTION("""COMPUTED_VALUE"""),-4.6352970370802185)</f>
        <v>-4.635297037</v>
      </c>
      <c r="G429" s="17">
        <f>IFERROR(__xludf.DUMMYFUNCTION("""COMPUTED_VALUE"""),-0.1965893067201496)</f>
        <v>-0.1965893067</v>
      </c>
      <c r="H429" s="4"/>
    </row>
    <row r="430">
      <c r="A430" s="18" t="str">
        <f>IFERROR(__xludf.DUMMYFUNCTION("""COMPUTED_VALUE"""),"Jonas Bergstedt")</f>
        <v>Jonas Bergstedt</v>
      </c>
      <c r="B430" s="19" t="str">
        <f>IFERROR(__xludf.DUMMYFUNCTION("""COMPUTED_VALUE"""),"BERG")</f>
        <v>BERG</v>
      </c>
      <c r="C430" s="20">
        <f>IFERROR(__xludf.DUMMYFUNCTION("""COMPUTED_VALUE"""),296.0)</f>
        <v>296</v>
      </c>
      <c r="D430" s="21">
        <f>IFERROR(__xludf.DUMMYFUNCTION("""COMPUTED_VALUE"""),-3.452828061657716)</f>
        <v>-3.452828062</v>
      </c>
      <c r="E430" s="21">
        <f>IFERROR(__xludf.DUMMYFUNCTION("""COMPUTED_VALUE"""),-1.2360871523364014)</f>
        <v>-1.236087152</v>
      </c>
      <c r="F430" s="21">
        <f>IFERROR(__xludf.DUMMYFUNCTION("""COMPUTED_VALUE"""),-4.688956813994118)</f>
        <v>-4.688956814</v>
      </c>
      <c r="G430" s="23">
        <f>IFERROR(__xludf.DUMMYFUNCTION("""COMPUTED_VALUE"""),-0.2543554459225528)</f>
        <v>-0.2543554459</v>
      </c>
      <c r="H430" s="4"/>
    </row>
    <row r="431">
      <c r="A431" s="12" t="str">
        <f>IFERROR(__xludf.DUMMYFUNCTION("""COMPUTED_VALUE"""),"Francesco Quaglia")</f>
        <v>Francesco Quaglia</v>
      </c>
      <c r="B431" s="13" t="str">
        <f>IFERROR(__xludf.DUMMYFUNCTION("""COMPUTED_VALUE"""),"TORT")</f>
        <v>TORT</v>
      </c>
      <c r="C431" s="14">
        <f>IFERROR(__xludf.DUMMYFUNCTION("""COMPUTED_VALUE"""),451.0)</f>
        <v>451</v>
      </c>
      <c r="D431" s="15">
        <f>IFERROR(__xludf.DUMMYFUNCTION("""COMPUTED_VALUE"""),-2.3761347219282705)</f>
        <v>-2.376134722</v>
      </c>
      <c r="E431" s="15">
        <f>IFERROR(__xludf.DUMMYFUNCTION("""COMPUTED_VALUE"""),-2.4754206838505035)</f>
        <v>-2.475420684</v>
      </c>
      <c r="F431" s="15">
        <f>IFERROR(__xludf.DUMMYFUNCTION("""COMPUTED_VALUE"""),-4.851568505778774)</f>
        <v>-4.851568506</v>
      </c>
      <c r="G431" s="17">
        <f>IFERROR(__xludf.DUMMYFUNCTION("""COMPUTED_VALUE"""),-0.44381527755693234)</f>
        <v>-0.4438152776</v>
      </c>
      <c r="H431" s="4"/>
    </row>
    <row r="432">
      <c r="A432" s="18" t="str">
        <f>IFERROR(__xludf.DUMMYFUNCTION("""COMPUTED_VALUE"""),"Andrea Rovatti")</f>
        <v>Andrea Rovatti</v>
      </c>
      <c r="B432" s="19" t="str">
        <f>IFERROR(__xludf.DUMMYFUNCTION("""COMPUTED_VALUE"""),"CAGL")</f>
        <v>CAGL</v>
      </c>
      <c r="C432" s="20">
        <f>IFERROR(__xludf.DUMMYFUNCTION("""COMPUTED_VALUE"""),435.0)</f>
        <v>435</v>
      </c>
      <c r="D432" s="21">
        <f>IFERROR(__xludf.DUMMYFUNCTION("""COMPUTED_VALUE"""),-2.9398066099838953)</f>
        <v>-2.93980661</v>
      </c>
      <c r="E432" s="21">
        <f>IFERROR(__xludf.DUMMYFUNCTION("""COMPUTED_VALUE"""),-1.9286488286373706)</f>
        <v>-1.928648829</v>
      </c>
      <c r="F432" s="21">
        <f>IFERROR(__xludf.DUMMYFUNCTION("""COMPUTED_VALUE"""),-4.868465738621266)</f>
        <v>-4.868465739</v>
      </c>
      <c r="G432" s="23">
        <f>IFERROR(__xludf.DUMMYFUNCTION("""COMPUTED_VALUE"""),-0.3788327107176148)</f>
        <v>-0.3788327107</v>
      </c>
      <c r="H432" s="4"/>
    </row>
    <row r="433">
      <c r="A433" s="12" t="str">
        <f>IFERROR(__xludf.DUMMYFUNCTION("""COMPUTED_VALUE"""),"Giacomo Sgorbati")</f>
        <v>Giacomo Sgorbati</v>
      </c>
      <c r="B433" s="13" t="str">
        <f>IFERROR(__xludf.DUMMYFUNCTION("""COMPUTED_VALUE"""),"RAV")</f>
        <v>RAV</v>
      </c>
      <c r="C433" s="14">
        <f>IFERROR(__xludf.DUMMYFUNCTION("""COMPUTED_VALUE"""),431.0)</f>
        <v>431</v>
      </c>
      <c r="D433" s="15">
        <f>IFERROR(__xludf.DUMMYFUNCTION("""COMPUTED_VALUE"""),-5.602759879504058)</f>
        <v>-5.60275988</v>
      </c>
      <c r="E433" s="15">
        <f>IFERROR(__xludf.DUMMYFUNCTION("""COMPUTED_VALUE"""),0.614618168321217)</f>
        <v>0.6146181683</v>
      </c>
      <c r="F433" s="15">
        <f>IFERROR(__xludf.DUMMYFUNCTION("""COMPUTED_VALUE"""),-4.988149511182841)</f>
        <v>-4.988149511</v>
      </c>
      <c r="G433" s="17">
        <f>IFERROR(__xludf.DUMMYFUNCTION("""COMPUTED_VALUE"""),-0.38939729150971714)</f>
        <v>-0.3893972915</v>
      </c>
      <c r="H433" s="4"/>
    </row>
    <row r="434">
      <c r="A434" s="18" t="str">
        <f>IFERROR(__xludf.DUMMYFUNCTION("""COMPUTED_VALUE"""),"Darell Combs")</f>
        <v>Darell Combs</v>
      </c>
      <c r="B434" s="19" t="str">
        <f>IFERROR(__xludf.DUMMYFUNCTION("""COMPUTED_VALUE"""),"ROS")</f>
        <v>ROS</v>
      </c>
      <c r="C434" s="20">
        <f>IFERROR(__xludf.DUMMYFUNCTION("""COMPUTED_VALUE"""),214.0)</f>
        <v>214</v>
      </c>
      <c r="D434" s="21">
        <f>IFERROR(__xludf.DUMMYFUNCTION("""COMPUTED_VALUE"""),-2.252850128978734)</f>
        <v>-2.252850129</v>
      </c>
      <c r="E434" s="21">
        <f>IFERROR(__xludf.DUMMYFUNCTION("""COMPUTED_VALUE"""),-2.737243509640863)</f>
        <v>-2.73724351</v>
      </c>
      <c r="F434" s="21">
        <f>IFERROR(__xludf.DUMMYFUNCTION("""COMPUTED_VALUE"""),-4.990128738619597)</f>
        <v>-4.990128739</v>
      </c>
      <c r="G434" s="23">
        <f>IFERROR(__xludf.DUMMYFUNCTION("""COMPUTED_VALUE"""),-0.19424307530551374)</f>
        <v>-0.1942430753</v>
      </c>
      <c r="H434" s="4"/>
    </row>
    <row r="435">
      <c r="A435" s="12" t="str">
        <f>IFERROR(__xludf.DUMMYFUNCTION("""COMPUTED_VALUE"""),"Nicolo Cazzolato")</f>
        <v>Nicolo Cazzolato</v>
      </c>
      <c r="B435" s="13" t="str">
        <f>IFERROR(__xludf.DUMMYFUNCTION("""COMPUTED_VALUE"""),"BERG")</f>
        <v>BERG</v>
      </c>
      <c r="C435" s="14">
        <f>IFERROR(__xludf.DUMMYFUNCTION("""COMPUTED_VALUE"""),527.0)</f>
        <v>527</v>
      </c>
      <c r="D435" s="15">
        <f>IFERROR(__xludf.DUMMYFUNCTION("""COMPUTED_VALUE"""),-4.310750634956514)</f>
        <v>-4.310750635</v>
      </c>
      <c r="E435" s="15">
        <f>IFERROR(__xludf.DUMMYFUNCTION("""COMPUTED_VALUE"""),-0.8347975300845841)</f>
        <v>-0.8347975301</v>
      </c>
      <c r="F435" s="15">
        <f>IFERROR(__xludf.DUMMYFUNCTION("""COMPUTED_VALUE"""),-5.145584865041098)</f>
        <v>-5.145584865</v>
      </c>
      <c r="G435" s="17">
        <f>IFERROR(__xludf.DUMMYFUNCTION("""COMPUTED_VALUE"""),-0.529807942520192)</f>
        <v>-0.5298079425</v>
      </c>
      <c r="H435" s="4"/>
    </row>
    <row r="436">
      <c r="A436" s="18" t="str">
        <f>IFERROR(__xludf.DUMMYFUNCTION("""COMPUTED_VALUE"""),"Alessio Ronconi")</f>
        <v>Alessio Ronconi</v>
      </c>
      <c r="B436" s="19" t="str">
        <f>IFERROR(__xludf.DUMMYFUNCTION("""COMPUTED_VALUE"""),"COUR")</f>
        <v>COUR</v>
      </c>
      <c r="C436" s="20">
        <f>IFERROR(__xludf.DUMMYFUNCTION("""COMPUTED_VALUE"""),434.0)</f>
        <v>434</v>
      </c>
      <c r="D436" s="21">
        <f>IFERROR(__xludf.DUMMYFUNCTION("""COMPUTED_VALUE"""),-3.1900733141230195)</f>
        <v>-3.190073314</v>
      </c>
      <c r="E436" s="21">
        <f>IFERROR(__xludf.DUMMYFUNCTION("""COMPUTED_VALUE"""),-2.0202289413586403)</f>
        <v>-2.020228941</v>
      </c>
      <c r="F436" s="21">
        <f>IFERROR(__xludf.DUMMYFUNCTION("""COMPUTED_VALUE"""),-5.21031325548166)</f>
        <v>-5.210313255</v>
      </c>
      <c r="G436" s="23">
        <f>IFERROR(__xludf.DUMMYFUNCTION("""COMPUTED_VALUE"""),-0.49271704010187606)</f>
        <v>-0.4927170401</v>
      </c>
      <c r="H436" s="4"/>
    </row>
    <row r="437">
      <c r="A437" s="12" t="str">
        <f>IFERROR(__xludf.DUMMYFUNCTION("""COMPUTED_VALUE"""),"Fabio Valentini")</f>
        <v>Fabio Valentini</v>
      </c>
      <c r="B437" s="13" t="str">
        <f>IFERROR(__xludf.DUMMYFUNCTION("""COMPUTED_VALUE"""),"NCM")</f>
        <v>NCM</v>
      </c>
      <c r="C437" s="14">
        <f>IFERROR(__xludf.DUMMYFUNCTION("""COMPUTED_VALUE"""),474.0)</f>
        <v>474</v>
      </c>
      <c r="D437" s="15">
        <f>IFERROR(__xludf.DUMMYFUNCTION("""COMPUTED_VALUE"""),-4.234296272518168)</f>
        <v>-4.234296273</v>
      </c>
      <c r="E437" s="15">
        <f>IFERROR(__xludf.DUMMYFUNCTION("""COMPUTED_VALUE"""),-1.0050857969222562)</f>
        <v>-1.005085797</v>
      </c>
      <c r="F437" s="15">
        <f>IFERROR(__xludf.DUMMYFUNCTION("""COMPUTED_VALUE"""),-5.239384869440424)</f>
        <v>-5.239384869</v>
      </c>
      <c r="G437" s="17">
        <f>IFERROR(__xludf.DUMMYFUNCTION("""COMPUTED_VALUE"""),-0.4733877129156224)</f>
        <v>-0.4733877129</v>
      </c>
      <c r="H437" s="4"/>
    </row>
    <row r="438">
      <c r="A438" s="18" t="str">
        <f>IFERROR(__xludf.DUMMYFUNCTION("""COMPUTED_VALUE"""),"Kaspar Treier")</f>
        <v>Kaspar Treier</v>
      </c>
      <c r="B438" s="19" t="str">
        <f>IFERROR(__xludf.DUMMYFUNCTION("""COMPUTED_VALUE"""),"POD")</f>
        <v>POD</v>
      </c>
      <c r="C438" s="20">
        <f>IFERROR(__xludf.DUMMYFUNCTION("""COMPUTED_VALUE"""),356.0)</f>
        <v>356</v>
      </c>
      <c r="D438" s="21">
        <f>IFERROR(__xludf.DUMMYFUNCTION("""COMPUTED_VALUE"""),-5.151331027340584)</f>
        <v>-5.151331027</v>
      </c>
      <c r="E438" s="21">
        <f>IFERROR(__xludf.DUMMYFUNCTION("""COMPUTED_VALUE"""),-0.10167733991998329)</f>
        <v>-0.1016773399</v>
      </c>
      <c r="F438" s="21">
        <f>IFERROR(__xludf.DUMMYFUNCTION("""COMPUTED_VALUE"""),-5.253012167260567)</f>
        <v>-5.253012167</v>
      </c>
      <c r="G438" s="23">
        <f>IFERROR(__xludf.DUMMYFUNCTION("""COMPUTED_VALUE"""),-0.35517003576294937)</f>
        <v>-0.3551700358</v>
      </c>
      <c r="H438" s="4"/>
    </row>
    <row r="439">
      <c r="A439" s="12" t="str">
        <f>IFERROR(__xludf.DUMMYFUNCTION("""COMPUTED_VALUE"""),"Norman Hassan")</f>
        <v>Norman Hassan</v>
      </c>
      <c r="B439" s="13" t="str">
        <f>IFERROR(__xludf.DUMMYFUNCTION("""COMPUTED_VALUE"""),"RIET")</f>
        <v>RIET</v>
      </c>
      <c r="C439" s="14">
        <f>IFERROR(__xludf.DUMMYFUNCTION("""COMPUTED_VALUE"""),275.0)</f>
        <v>275</v>
      </c>
      <c r="D439" s="15">
        <f>IFERROR(__xludf.DUMMYFUNCTION("""COMPUTED_VALUE"""),-3.269258583826876)</f>
        <v>-3.269258584</v>
      </c>
      <c r="E439" s="15">
        <f>IFERROR(__xludf.DUMMYFUNCTION("""COMPUTED_VALUE"""),-1.9992021059700182)</f>
        <v>-1.999202106</v>
      </c>
      <c r="F439" s="15">
        <f>IFERROR(__xludf.DUMMYFUNCTION("""COMPUTED_VALUE"""),-5.268486889796894)</f>
        <v>-5.26848689</v>
      </c>
      <c r="G439" s="17">
        <f>IFERROR(__xludf.DUMMYFUNCTION("""COMPUTED_VALUE"""),-0.30650033690393474)</f>
        <v>-0.3065003369</v>
      </c>
      <c r="H439" s="4"/>
    </row>
    <row r="440">
      <c r="A440" s="18" t="str">
        <f>IFERROR(__xludf.DUMMYFUNCTION("""COMPUTED_VALUE"""),"Federico Zampini")</f>
        <v>Federico Zampini</v>
      </c>
      <c r="B440" s="19" t="str">
        <f>IFERROR(__xludf.DUMMYFUNCTION("""COMPUTED_VALUE"""),"ROS")</f>
        <v>ROS</v>
      </c>
      <c r="C440" s="20">
        <f>IFERROR(__xludf.DUMMYFUNCTION("""COMPUTED_VALUE"""),307.0)</f>
        <v>307</v>
      </c>
      <c r="D440" s="21">
        <f>IFERROR(__xludf.DUMMYFUNCTION("""COMPUTED_VALUE"""),-4.507628528733043)</f>
        <v>-4.507628529</v>
      </c>
      <c r="E440" s="21">
        <f>IFERROR(__xludf.DUMMYFUNCTION("""COMPUTED_VALUE"""),-0.8104947271098148)</f>
        <v>-0.8104947271</v>
      </c>
      <c r="F440" s="21">
        <f>IFERROR(__xludf.DUMMYFUNCTION("""COMPUTED_VALUE"""),-5.3181240558428575)</f>
        <v>-5.318124056</v>
      </c>
      <c r="G440" s="23">
        <f>IFERROR(__xludf.DUMMYFUNCTION("""COMPUTED_VALUE"""),-0.30927885341881095)</f>
        <v>-0.3092788534</v>
      </c>
      <c r="H440" s="4"/>
    </row>
    <row r="441">
      <c r="A441" s="12" t="str">
        <f>IFERROR(__xludf.DUMMYFUNCTION("""COMPUTED_VALUE"""),"Tommaso Guariglia")</f>
        <v>Tommaso Guariglia</v>
      </c>
      <c r="B441" s="13" t="str">
        <f>IFERROR(__xludf.DUMMYFUNCTION("""COMPUTED_VALUE"""),"MON")</f>
        <v>MON</v>
      </c>
      <c r="C441" s="14">
        <f>IFERROR(__xludf.DUMMYFUNCTION("""COMPUTED_VALUE"""),480.0)</f>
        <v>480</v>
      </c>
      <c r="D441" s="15">
        <f>IFERROR(__xludf.DUMMYFUNCTION("""COMPUTED_VALUE"""),-2.3143055218349518)</f>
        <v>-2.314305522</v>
      </c>
      <c r="E441" s="15">
        <f>IFERROR(__xludf.DUMMYFUNCTION("""COMPUTED_VALUE"""),-3.0659808048953)</f>
        <v>-3.065980805</v>
      </c>
      <c r="F441" s="15">
        <f>IFERROR(__xludf.DUMMYFUNCTION("""COMPUTED_VALUE"""),-5.380313326730252)</f>
        <v>-5.380313327</v>
      </c>
      <c r="G441" s="17">
        <f>IFERROR(__xludf.DUMMYFUNCTION("""COMPUTED_VALUE"""),-0.4927862820562097)</f>
        <v>-0.4927862821</v>
      </c>
      <c r="H441" s="4"/>
    </row>
    <row r="442">
      <c r="A442" s="18" t="str">
        <f>IFERROR(__xludf.DUMMYFUNCTION("""COMPUTED_VALUE"""),"Luca Fontecchio")</f>
        <v>Luca Fontecchio</v>
      </c>
      <c r="B442" s="19" t="str">
        <f>IFERROR(__xludf.DUMMYFUNCTION("""COMPUTED_VALUE"""),"CAS")</f>
        <v>CAS</v>
      </c>
      <c r="C442" s="20">
        <f>IFERROR(__xludf.DUMMYFUNCTION("""COMPUTED_VALUE"""),260.0)</f>
        <v>260</v>
      </c>
      <c r="D442" s="21">
        <f>IFERROR(__xludf.DUMMYFUNCTION("""COMPUTED_VALUE"""),-6.5884743830307935)</f>
        <v>-6.588474383</v>
      </c>
      <c r="E442" s="21">
        <f>IFERROR(__xludf.DUMMYFUNCTION("""COMPUTED_VALUE"""),0.9139347894923581)</f>
        <v>0.9139347895</v>
      </c>
      <c r="F442" s="21">
        <f>IFERROR(__xludf.DUMMYFUNCTION("""COMPUTED_VALUE"""),-5.674568993538435)</f>
        <v>-5.674568994</v>
      </c>
      <c r="G442" s="23">
        <f>IFERROR(__xludf.DUMMYFUNCTION("""COMPUTED_VALUE"""),-0.30323109116257896)</f>
        <v>-0.3032310912</v>
      </c>
      <c r="H442" s="4"/>
    </row>
    <row r="443">
      <c r="A443" s="12" t="str">
        <f>IFERROR(__xludf.DUMMYFUNCTION("""COMPUTED_VALUE"""),"Lorenzo Gergati")</f>
        <v>Lorenzo Gergati</v>
      </c>
      <c r="B443" s="13" t="str">
        <f>IFERROR(__xludf.DUMMYFUNCTION("""COMPUTED_VALUE"""),"MAN")</f>
        <v>MAN</v>
      </c>
      <c r="C443" s="14">
        <f>IFERROR(__xludf.DUMMYFUNCTION("""COMPUTED_VALUE"""),370.5)</f>
        <v>370.5</v>
      </c>
      <c r="D443" s="15">
        <f>IFERROR(__xludf.DUMMYFUNCTION("""COMPUTED_VALUE"""),-4.323211995225593)</f>
        <v>-4.323211995</v>
      </c>
      <c r="E443" s="15">
        <f>IFERROR(__xludf.DUMMYFUNCTION("""COMPUTED_VALUE"""),-1.351925237736318)</f>
        <v>-1.351925238</v>
      </c>
      <c r="F443" s="15">
        <f>IFERROR(__xludf.DUMMYFUNCTION("""COMPUTED_VALUE"""),-5.675165332961911)</f>
        <v>-5.675165333</v>
      </c>
      <c r="G443" s="17">
        <f>IFERROR(__xludf.DUMMYFUNCTION("""COMPUTED_VALUE"""),-0.42953487229804643)</f>
        <v>-0.4295348723</v>
      </c>
      <c r="H443" s="4"/>
    </row>
    <row r="444">
      <c r="A444" s="18" t="str">
        <f>IFERROR(__xludf.DUMMYFUNCTION("""COMPUTED_VALUE"""),"Giulio Mascherpa")</f>
        <v>Giulio Mascherpa</v>
      </c>
      <c r="B444" s="19" t="str">
        <f>IFERROR(__xludf.DUMMYFUNCTION("""COMPUTED_VALUE"""),"BERG")</f>
        <v>BERG</v>
      </c>
      <c r="C444" s="20">
        <f>IFERROR(__xludf.DUMMYFUNCTION("""COMPUTED_VALUE"""),397.0)</f>
        <v>397</v>
      </c>
      <c r="D444" s="21">
        <f>IFERROR(__xludf.DUMMYFUNCTION("""COMPUTED_VALUE"""),-3.631844178828489)</f>
        <v>-3.631844179</v>
      </c>
      <c r="E444" s="21">
        <f>IFERROR(__xludf.DUMMYFUNCTION("""COMPUTED_VALUE"""),-2.134193437315363)</f>
        <v>-2.134193437</v>
      </c>
      <c r="F444" s="21">
        <f>IFERROR(__xludf.DUMMYFUNCTION("""COMPUTED_VALUE"""),-5.766058416143852)</f>
        <v>-5.766058416</v>
      </c>
      <c r="G444" s="23">
        <f>IFERROR(__xludf.DUMMYFUNCTION("""COMPUTED_VALUE"""),-0.4778539507720662)</f>
        <v>-0.4778539508</v>
      </c>
      <c r="H444" s="4"/>
    </row>
    <row r="445">
      <c r="A445" s="12" t="str">
        <f>IFERROR(__xludf.DUMMYFUNCTION("""COMPUTED_VALUE"""),"Davide Parente")</f>
        <v>Davide Parente</v>
      </c>
      <c r="B445" s="13" t="str">
        <f>IFERROR(__xludf.DUMMYFUNCTION("""COMPUTED_VALUE"""),"ROM")</f>
        <v>ROM</v>
      </c>
      <c r="C445" s="14">
        <f>IFERROR(__xludf.DUMMYFUNCTION("""COMPUTED_VALUE"""),299.0)</f>
        <v>299</v>
      </c>
      <c r="D445" s="15">
        <f>IFERROR(__xludf.DUMMYFUNCTION("""COMPUTED_VALUE"""),-3.145594177257158)</f>
        <v>-3.145594177</v>
      </c>
      <c r="E445" s="15">
        <f>IFERROR(__xludf.DUMMYFUNCTION("""COMPUTED_VALUE"""),-3.004023779942001)</f>
        <v>-3.00402378</v>
      </c>
      <c r="F445" s="15">
        <f>IFERROR(__xludf.DUMMYFUNCTION("""COMPUTED_VALUE"""),-6.149633957199159)</f>
        <v>-6.149633957</v>
      </c>
      <c r="G445" s="17">
        <f>IFERROR(__xludf.DUMMYFUNCTION("""COMPUTED_VALUE"""),-0.3725398269593893)</f>
        <v>-0.372539827</v>
      </c>
      <c r="H445" s="4"/>
    </row>
    <row r="446">
      <c r="A446" s="18" t="str">
        <f>IFERROR(__xludf.DUMMYFUNCTION("""COMPUTED_VALUE"""),"Arturs Strautins")</f>
        <v>Arturs Strautins</v>
      </c>
      <c r="B446" s="19" t="str">
        <f>IFERROR(__xludf.DUMMYFUNCTION("""COMPUTED_VALUE"""),"GAGA")</f>
        <v>GAGA</v>
      </c>
      <c r="C446" s="20">
        <f>IFERROR(__xludf.DUMMYFUNCTION("""COMPUTED_VALUE"""),576.0)</f>
        <v>576</v>
      </c>
      <c r="D446" s="21">
        <f>IFERROR(__xludf.DUMMYFUNCTION("""COMPUTED_VALUE"""),-3.7871909184183474)</f>
        <v>-3.787190918</v>
      </c>
      <c r="E446" s="21">
        <f>IFERROR(__xludf.DUMMYFUNCTION("""COMPUTED_VALUE"""),-2.3936336640646023)</f>
        <v>-2.393633664</v>
      </c>
      <c r="F446" s="21">
        <f>IFERROR(__xludf.DUMMYFUNCTION("""COMPUTED_VALUE"""),-6.18083048248295)</f>
        <v>-6.180830482</v>
      </c>
      <c r="G446" s="23">
        <f>IFERROR(__xludf.DUMMYFUNCTION("""COMPUTED_VALUE"""),-0.7046405469710912)</f>
        <v>-0.704640547</v>
      </c>
      <c r="H446" s="4"/>
    </row>
    <row r="447">
      <c r="A447" s="12" t="str">
        <f>IFERROR(__xludf.DUMMYFUNCTION("""COMPUTED_VALUE"""),"Mohamed Toure")</f>
        <v>Mohamed Toure</v>
      </c>
      <c r="B447" s="13" t="str">
        <f>IFERROR(__xludf.DUMMYFUNCTION("""COMPUTED_VALUE"""),"GAGA")</f>
        <v>GAGA</v>
      </c>
      <c r="C447" s="14">
        <f>IFERROR(__xludf.DUMMYFUNCTION("""COMPUTED_VALUE"""),337.1)</f>
        <v>337.1</v>
      </c>
      <c r="D447" s="15">
        <f>IFERROR(__xludf.DUMMYFUNCTION("""COMPUTED_VALUE"""),-2.7087908287675426)</f>
        <v>-2.708790829</v>
      </c>
      <c r="E447" s="15">
        <f>IFERROR(__xludf.DUMMYFUNCTION("""COMPUTED_VALUE"""),-3.5232438693449764)</f>
        <v>-3.523243869</v>
      </c>
      <c r="F447" s="15">
        <f>IFERROR(__xludf.DUMMYFUNCTION("""COMPUTED_VALUE"""),-6.232038698112519)</f>
        <v>-6.232038698</v>
      </c>
      <c r="G447" s="17">
        <f>IFERROR(__xludf.DUMMYFUNCTION("""COMPUTED_VALUE"""),-0.41743652404547266)</f>
        <v>-0.417436524</v>
      </c>
      <c r="H447" s="4"/>
    </row>
    <row r="448">
      <c r="A448" s="18" t="str">
        <f>IFERROR(__xludf.DUMMYFUNCTION("""COMPUTED_VALUE"""),"Nikolai Vangelov")</f>
        <v>Nikolai Vangelov</v>
      </c>
      <c r="B448" s="19" t="str">
        <f>IFERROR(__xludf.DUMMYFUNCTION("""COMPUTED_VALUE"""),"COUR")</f>
        <v>COUR</v>
      </c>
      <c r="C448" s="20">
        <f>IFERROR(__xludf.DUMMYFUNCTION("""COMPUTED_VALUE"""),464.0)</f>
        <v>464</v>
      </c>
      <c r="D448" s="21">
        <f>IFERROR(__xludf.DUMMYFUNCTION("""COMPUTED_VALUE"""),-2.3127761464886794)</f>
        <v>-2.312776146</v>
      </c>
      <c r="E448" s="21">
        <f>IFERROR(__xludf.DUMMYFUNCTION("""COMPUTED_VALUE"""),-4.590582385908782)</f>
        <v>-4.590582386</v>
      </c>
      <c r="F448" s="21">
        <f>IFERROR(__xludf.DUMMYFUNCTION("""COMPUTED_VALUE"""),-6.903361232397461)</f>
        <v>-6.903361232</v>
      </c>
      <c r="G448" s="23">
        <f>IFERROR(__xludf.DUMMYFUNCTION("""COMPUTED_VALUE"""),-0.8046009638618845)</f>
        <v>-0.8046009639</v>
      </c>
      <c r="H448" s="4"/>
    </row>
    <row r="449">
      <c r="A449" s="12" t="str">
        <f>IFERROR(__xludf.DUMMYFUNCTION("""COMPUTED_VALUE"""),"Gennaro Sorrentino")</f>
        <v>Gennaro Sorrentino</v>
      </c>
      <c r="B449" s="13" t="str">
        <f>IFERROR(__xludf.DUMMYFUNCTION("""COMPUTED_VALUE"""),"COUR")</f>
        <v>COUR</v>
      </c>
      <c r="C449" s="14">
        <f>IFERROR(__xludf.DUMMYFUNCTION("""COMPUTED_VALUE"""),306.0)</f>
        <v>306</v>
      </c>
      <c r="D449" s="15">
        <f>IFERROR(__xludf.DUMMYFUNCTION("""COMPUTED_VALUE"""),-2.3151737138432553)</f>
        <v>-2.315173714</v>
      </c>
      <c r="E449" s="15">
        <f>IFERROR(__xludf.DUMMYFUNCTION("""COMPUTED_VALUE"""),-4.808523095075547)</f>
        <v>-4.808523095</v>
      </c>
      <c r="F449" s="15">
        <f>IFERROR(__xludf.DUMMYFUNCTION("""COMPUTED_VALUE"""),-7.123703608918802)</f>
        <v>-7.123703609</v>
      </c>
      <c r="G449" s="17">
        <f>IFERROR(__xludf.DUMMYFUNCTION("""COMPUTED_VALUE"""),-0.5544600191631541)</f>
        <v>-0.5544600192</v>
      </c>
      <c r="H449" s="4"/>
    </row>
    <row r="450">
      <c r="A450" s="18" t="str">
        <f>IFERROR(__xludf.DUMMYFUNCTION("""COMPUTED_VALUE"""),"Isacco Lovisotto")</f>
        <v>Isacco Lovisotto</v>
      </c>
      <c r="B450" s="19" t="str">
        <f>IFERROR(__xludf.DUMMYFUNCTION("""COMPUTED_VALUE"""),"MON")</f>
        <v>MON</v>
      </c>
      <c r="C450" s="20">
        <f>IFERROR(__xludf.DUMMYFUNCTION("""COMPUTED_VALUE"""),347.0)</f>
        <v>347</v>
      </c>
      <c r="D450" s="21">
        <f>IFERROR(__xludf.DUMMYFUNCTION("""COMPUTED_VALUE"""),-5.293272555505948)</f>
        <v>-5.293272556</v>
      </c>
      <c r="E450" s="21">
        <f>IFERROR(__xludf.DUMMYFUNCTION("""COMPUTED_VALUE"""),-1.8761058870992318)</f>
        <v>-1.876105887</v>
      </c>
      <c r="F450" s="21">
        <f>IFERROR(__xludf.DUMMYFUNCTION("""COMPUTED_VALUE"""),-7.16940144260518)</f>
        <v>-7.169401443</v>
      </c>
      <c r="G450" s="23">
        <f>IFERROR(__xludf.DUMMYFUNCTION("""COMPUTED_VALUE"""),-0.5447981313324614)</f>
        <v>-0.5447981313</v>
      </c>
      <c r="H450" s="4"/>
    </row>
    <row r="451">
      <c r="A451" s="12" t="str">
        <f>IFERROR(__xludf.DUMMYFUNCTION("""COMPUTED_VALUE"""),"Matteo Fioravanti")</f>
        <v>Matteo Fioravanti</v>
      </c>
      <c r="B451" s="13" t="str">
        <f>IFERROR(__xludf.DUMMYFUNCTION("""COMPUTED_VALUE"""),"COUR")</f>
        <v>COUR</v>
      </c>
      <c r="C451" s="14">
        <f>IFERROR(__xludf.DUMMYFUNCTION("""COMPUTED_VALUE"""),280.0)</f>
        <v>280</v>
      </c>
      <c r="D451" s="15">
        <f>IFERROR(__xludf.DUMMYFUNCTION("""COMPUTED_VALUE"""),-2.9038428879453067)</f>
        <v>-2.903842888</v>
      </c>
      <c r="E451" s="15">
        <f>IFERROR(__xludf.DUMMYFUNCTION("""COMPUTED_VALUE"""),-4.65340113759357)</f>
        <v>-4.653401138</v>
      </c>
      <c r="F451" s="15">
        <f>IFERROR(__xludf.DUMMYFUNCTION("""COMPUTED_VALUE"""),-7.557273625538877)</f>
        <v>-7.557273626</v>
      </c>
      <c r="G451" s="17">
        <f>IFERROR(__xludf.DUMMYFUNCTION("""COMPUTED_VALUE"""),-0.5502582809655417)</f>
        <v>-0.550258281</v>
      </c>
      <c r="H451" s="4"/>
    </row>
    <row r="452">
      <c r="A452" s="18" t="str">
        <f>IFERROR(__xludf.DUMMYFUNCTION("""COMPUTED_VALUE"""),"Stefan Nikolic")</f>
        <v>Stefan Nikolic</v>
      </c>
      <c r="B452" s="19" t="str">
        <f>IFERROR(__xludf.DUMMYFUNCTION("""COMPUTED_VALUE"""),"COUR")</f>
        <v>COUR</v>
      </c>
      <c r="C452" s="20">
        <f>IFERROR(__xludf.DUMMYFUNCTION("""COMPUTED_VALUE"""),290.0)</f>
        <v>290</v>
      </c>
      <c r="D452" s="21">
        <f>IFERROR(__xludf.DUMMYFUNCTION("""COMPUTED_VALUE"""),-3.53474259441733)</f>
        <v>-3.534742594</v>
      </c>
      <c r="E452" s="21">
        <f>IFERROR(__xludf.DUMMYFUNCTION("""COMPUTED_VALUE"""),-4.664835152831262)</f>
        <v>-4.664835153</v>
      </c>
      <c r="F452" s="21">
        <f>IFERROR(__xludf.DUMMYFUNCTION("""COMPUTED_VALUE"""),-8.199595147248592)</f>
        <v>-8.199595147</v>
      </c>
      <c r="G452" s="23">
        <f>IFERROR(__xludf.DUMMYFUNCTION("""COMPUTED_VALUE"""),-0.6357986164932448)</f>
        <v>-0.6357986165</v>
      </c>
      <c r="H452" s="4"/>
    </row>
    <row r="453">
      <c r="A453" s="12" t="str">
        <f>IFERROR(__xludf.DUMMYFUNCTION("""COMPUTED_VALUE"""),"Roberto Maggio")</f>
        <v>Roberto Maggio</v>
      </c>
      <c r="B453" s="13" t="str">
        <f>IFERROR(__xludf.DUMMYFUNCTION("""COMPUTED_VALUE"""),"COUR")</f>
        <v>COUR</v>
      </c>
      <c r="C453" s="14">
        <f>IFERROR(__xludf.DUMMYFUNCTION("""COMPUTED_VALUE"""),341.0)</f>
        <v>341</v>
      </c>
      <c r="D453" s="15">
        <f>IFERROR(__xludf.DUMMYFUNCTION("""COMPUTED_VALUE"""),-3.9306326908239133)</f>
        <v>-3.930632691</v>
      </c>
      <c r="E453" s="15">
        <f>IFERROR(__xludf.DUMMYFUNCTION("""COMPUTED_VALUE"""),-4.568237318652323)</f>
        <v>-4.568237319</v>
      </c>
      <c r="F453" s="15">
        <f>IFERROR(__xludf.DUMMYFUNCTION("""COMPUTED_VALUE"""),-8.498892409476236)</f>
        <v>-8.498892409</v>
      </c>
      <c r="G453" s="17">
        <f>IFERROR(__xludf.DUMMYFUNCTION("""COMPUTED_VALUE"""),-0.7837028921647003)</f>
        <v>-0.7837028922</v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CC4125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25.0"/>
    <col customWidth="1" min="2" max="2" width="6.86"/>
    <col customWidth="1" min="3" max="3" width="9.57"/>
    <col customWidth="1" min="4" max="4" width="7.86"/>
    <col customWidth="1" min="5" max="5" width="7.71"/>
    <col customWidth="1" min="6" max="6" width="6.43"/>
    <col customWidth="1" min="7" max="7" width="7.43"/>
    <col hidden="1" min="8" max="26" width="14.43"/>
  </cols>
  <sheetData>
    <row r="1">
      <c r="A1" s="1" t="s">
        <v>3565</v>
      </c>
      <c r="B1" s="2"/>
      <c r="C1" s="2"/>
      <c r="D1" s="2"/>
      <c r="E1" s="2"/>
      <c r="F1" s="2"/>
      <c r="G1" s="3"/>
      <c r="H1" s="4"/>
      <c r="I1" s="5" t="s">
        <v>3</v>
      </c>
      <c r="J1" s="5"/>
    </row>
    <row r="2">
      <c r="A2" s="6" t="s">
        <v>4</v>
      </c>
      <c r="B2" s="7" t="s">
        <v>5</v>
      </c>
      <c r="C2" s="8" t="s">
        <v>6</v>
      </c>
      <c r="D2" s="9" t="s">
        <v>7</v>
      </c>
      <c r="E2" s="9" t="s">
        <v>8</v>
      </c>
      <c r="F2" s="9" t="s">
        <v>9</v>
      </c>
      <c r="G2" s="10" t="s">
        <v>10</v>
      </c>
      <c r="H2" s="4"/>
      <c r="I2" s="5" t="s">
        <v>4</v>
      </c>
      <c r="J2" s="5" t="s">
        <v>5</v>
      </c>
      <c r="K2" s="5" t="s">
        <v>6</v>
      </c>
      <c r="L2" s="5" t="s">
        <v>7</v>
      </c>
      <c r="M2" s="5" t="s">
        <v>8</v>
      </c>
      <c r="N2" s="5" t="s">
        <v>9</v>
      </c>
      <c r="O2" s="5" t="s">
        <v>10</v>
      </c>
    </row>
    <row r="3">
      <c r="A3" s="12" t="str">
        <f>IFERROR(__xludf.DUMMYFUNCTION("IMPORTRANGE(""https://docs.google.com/spreadsheets/d/1NdSWgvaEr2QlCoyiMEXfCu6BzJI7zERhofUnCM4W-3M/edit#gid=1120027332"",""Leaders!A3:G502"")"),"Lucas Dias")</f>
        <v>Lucas Dias</v>
      </c>
      <c r="B3" s="13" t="str">
        <f>IFERROR(__xludf.DUMMYFUNCTION("""COMPUTED_VALUE"""),"PAU")</f>
        <v>PAU</v>
      </c>
      <c r="C3" s="14">
        <f>IFERROR(__xludf.DUMMYFUNCTION("""COMPUTED_VALUE"""),725.5)</f>
        <v>725.5</v>
      </c>
      <c r="D3" s="15">
        <f>IFERROR(__xludf.DUMMYFUNCTION("""COMPUTED_VALUE"""),3.6813934782639053)</f>
        <v>3.681393478</v>
      </c>
      <c r="E3" s="15">
        <f>IFERROR(__xludf.DUMMYFUNCTION("""COMPUTED_VALUE"""),3.330648489002491)</f>
        <v>3.330648489</v>
      </c>
      <c r="F3" s="15">
        <f>IFERROR(__xludf.DUMMYFUNCTION("""COMPUTED_VALUE"""),7.0120266672663965)</f>
        <v>7.012026667</v>
      </c>
      <c r="G3" s="17">
        <f>IFERROR(__xludf.DUMMYFUNCTION("""COMPUTED_VALUE"""),1.9882073868856132)</f>
        <v>1.988207387</v>
      </c>
      <c r="H3" s="4"/>
      <c r="I3" s="5" t="s">
        <v>760</v>
      </c>
      <c r="J3" s="5" t="s">
        <v>3203</v>
      </c>
      <c r="K3" s="24">
        <v>787.0</v>
      </c>
      <c r="L3" s="5">
        <v>9.304387</v>
      </c>
      <c r="M3" s="5">
        <v>4.0299</v>
      </c>
      <c r="N3" s="5">
        <v>13.334288</v>
      </c>
      <c r="O3" s="5">
        <v>3.657688</v>
      </c>
    </row>
    <row r="4">
      <c r="A4" s="18" t="str">
        <f>IFERROR(__xludf.DUMMYFUNCTION("""COMPUTED_VALUE"""),"Alex Garcia")</f>
        <v>Alex Garcia</v>
      </c>
      <c r="B4" s="19" t="str">
        <f>IFERROR(__xludf.DUMMYFUNCTION("""COMPUTED_VALUE"""),"BAU")</f>
        <v>BAU</v>
      </c>
      <c r="C4" s="20">
        <f>IFERROR(__xludf.DUMMYFUNCTION("""COMPUTED_VALUE"""),712.0)</f>
        <v>712</v>
      </c>
      <c r="D4" s="21">
        <f>IFERROR(__xludf.DUMMYFUNCTION("""COMPUTED_VALUE"""),5.692339768828037)</f>
        <v>5.692339769</v>
      </c>
      <c r="E4" s="21">
        <f>IFERROR(__xludf.DUMMYFUNCTION("""COMPUTED_VALUE"""),1.0519427851948235)</f>
        <v>1.051942785</v>
      </c>
      <c r="F4" s="21">
        <f>IFERROR(__xludf.DUMMYFUNCTION("""COMPUTED_VALUE"""),6.744269954022861)</f>
        <v>6.744269954</v>
      </c>
      <c r="G4" s="23">
        <f>IFERROR(__xludf.DUMMYFUNCTION("""COMPUTED_VALUE"""),1.8969430236129656)</f>
        <v>1.896943024</v>
      </c>
      <c r="H4" s="4"/>
      <c r="I4" s="5" t="s">
        <v>3204</v>
      </c>
      <c r="J4" s="5" t="s">
        <v>3205</v>
      </c>
      <c r="K4" s="24">
        <v>319.0</v>
      </c>
      <c r="L4" s="5">
        <v>7.686434</v>
      </c>
      <c r="M4" s="5">
        <v>2.529961</v>
      </c>
      <c r="N4" s="5">
        <v>10.216395</v>
      </c>
      <c r="O4" s="5">
        <v>1.181641</v>
      </c>
    </row>
    <row r="5">
      <c r="A5" s="12" t="str">
        <f>IFERROR(__xludf.DUMMYFUNCTION("""COMPUTED_VALUE"""),"Marquinhos Vinicius")</f>
        <v>Marquinhos Vinicius</v>
      </c>
      <c r="B5" s="13" t="str">
        <f>IFERROR(__xludf.DUMMYFUNCTION("""COMPUTED_VALUE"""),"FLA")</f>
        <v>FLA</v>
      </c>
      <c r="C5" s="14">
        <f>IFERROR(__xludf.DUMMYFUNCTION("""COMPUTED_VALUE"""),1009.0)</f>
        <v>1009</v>
      </c>
      <c r="D5" s="15">
        <f>IFERROR(__xludf.DUMMYFUNCTION("""COMPUTED_VALUE"""),7.542564437825185)</f>
        <v>7.542564438</v>
      </c>
      <c r="E5" s="15">
        <f>IFERROR(__xludf.DUMMYFUNCTION("""COMPUTED_VALUE"""),-0.8371947014309437)</f>
        <v>-0.8371947014</v>
      </c>
      <c r="F5" s="15">
        <f>IFERROR(__xludf.DUMMYFUNCTION("""COMPUTED_VALUE"""),6.705369136394241)</f>
        <v>6.705369136</v>
      </c>
      <c r="G5" s="17">
        <f>IFERROR(__xludf.DUMMYFUNCTION("""COMPUTED_VALUE"""),2.6801073252038785)</f>
        <v>2.680107325</v>
      </c>
      <c r="H5" s="4"/>
      <c r="I5" s="5" t="s">
        <v>3206</v>
      </c>
      <c r="J5" s="5" t="s">
        <v>3207</v>
      </c>
      <c r="K5" s="24">
        <v>675.0</v>
      </c>
      <c r="L5" s="5">
        <v>5.835798</v>
      </c>
      <c r="M5" s="5">
        <v>3.764705</v>
      </c>
      <c r="N5" s="5">
        <v>9.600503</v>
      </c>
      <c r="O5" s="5">
        <v>2.335577</v>
      </c>
    </row>
    <row r="6">
      <c r="A6" s="18" t="str">
        <f>IFERROR(__xludf.DUMMYFUNCTION("""COMPUTED_VALUE"""),"Anderson Varejao")</f>
        <v>Anderson Varejao</v>
      </c>
      <c r="B6" s="19" t="str">
        <f>IFERROR(__xludf.DUMMYFUNCTION("""COMPUTED_VALUE"""),"FLA")</f>
        <v>FLA</v>
      </c>
      <c r="C6" s="20">
        <f>IFERROR(__xludf.DUMMYFUNCTION("""COMPUTED_VALUE"""),415.5)</f>
        <v>415.5</v>
      </c>
      <c r="D6" s="21">
        <f>IFERROR(__xludf.DUMMYFUNCTION("""COMPUTED_VALUE"""),3.3124056340676833)</f>
        <v>3.312405634</v>
      </c>
      <c r="E6" s="21">
        <f>IFERROR(__xludf.DUMMYFUNCTION("""COMPUTED_VALUE"""),3.323895851262061)</f>
        <v>3.323895851</v>
      </c>
      <c r="F6" s="21">
        <f>IFERROR(__xludf.DUMMYFUNCTION("""COMPUTED_VALUE"""),6.6363000853297445)</f>
        <v>6.636300085</v>
      </c>
      <c r="G6" s="23">
        <f>IFERROR(__xludf.DUMMYFUNCTION("""COMPUTED_VALUE"""),1.09489642744101)</f>
        <v>1.094896427</v>
      </c>
      <c r="H6" s="4"/>
      <c r="I6" s="5" t="s">
        <v>3209</v>
      </c>
      <c r="J6" s="5" t="s">
        <v>3210</v>
      </c>
      <c r="K6" s="24">
        <v>980.0</v>
      </c>
      <c r="L6" s="5">
        <v>4.540372</v>
      </c>
      <c r="M6" s="5">
        <v>4.283512</v>
      </c>
      <c r="N6" s="5">
        <v>8.823884</v>
      </c>
      <c r="O6" s="5">
        <v>3.192114</v>
      </c>
    </row>
    <row r="7">
      <c r="A7" s="12" t="str">
        <f>IFERROR(__xludf.DUMMYFUNCTION("""COMPUTED_VALUE"""),"Mooch Jackson")</f>
        <v>Mooch Jackson</v>
      </c>
      <c r="B7" s="13" t="str">
        <f>IFERROR(__xludf.DUMMYFUNCTION("""COMPUTED_VALUE"""),"VAS")</f>
        <v>VAS</v>
      </c>
      <c r="C7" s="14">
        <f>IFERROR(__xludf.DUMMYFUNCTION("""COMPUTED_VALUE"""),849.6)</f>
        <v>849.6</v>
      </c>
      <c r="D7" s="15">
        <f>IFERROR(__xludf.DUMMYFUNCTION("""COMPUTED_VALUE"""),7.061682156768655)</f>
        <v>7.061682157</v>
      </c>
      <c r="E7" s="15">
        <f>IFERROR(__xludf.DUMMYFUNCTION("""COMPUTED_VALUE"""),-0.49773093476220054)</f>
        <v>-0.4977309348</v>
      </c>
      <c r="F7" s="15">
        <f>IFERROR(__xludf.DUMMYFUNCTION("""COMPUTED_VALUE"""),6.563940222006455)</f>
        <v>6.563940222</v>
      </c>
      <c r="G7" s="17">
        <f>IFERROR(__xludf.DUMMYFUNCTION("""COMPUTED_VALUE"""),2.2072099120472157)</f>
        <v>2.207209912</v>
      </c>
      <c r="H7" s="4"/>
      <c r="I7" s="5" t="s">
        <v>3211</v>
      </c>
      <c r="J7" s="5" t="s">
        <v>3212</v>
      </c>
      <c r="K7" s="24">
        <v>609.0</v>
      </c>
      <c r="L7" s="5">
        <v>1.44291</v>
      </c>
      <c r="M7" s="5">
        <v>6.472633</v>
      </c>
      <c r="N7" s="5">
        <v>7.915543</v>
      </c>
      <c r="O7" s="5">
        <v>1.83412</v>
      </c>
    </row>
    <row r="8">
      <c r="A8" s="18" t="str">
        <f>IFERROR(__xludf.DUMMYFUNCTION("""COMPUTED_VALUE"""),"Lucas Alves")</f>
        <v>Lucas Alves</v>
      </c>
      <c r="B8" s="19" t="str">
        <f>IFERROR(__xludf.DUMMYFUNCTION("""COMPUTED_VALUE"""),"FRA")</f>
        <v>FRA</v>
      </c>
      <c r="C8" s="20">
        <f>IFERROR(__xludf.DUMMYFUNCTION("""COMPUTED_VALUE"""),650.3)</f>
        <v>650.3</v>
      </c>
      <c r="D8" s="21">
        <f>IFERROR(__xludf.DUMMYFUNCTION("""COMPUTED_VALUE"""),4.336422817490361)</f>
        <v>4.336422817</v>
      </c>
      <c r="E8" s="21">
        <f>IFERROR(__xludf.DUMMYFUNCTION("""COMPUTED_VALUE"""),1.9642646615562502)</f>
        <v>1.964264662</v>
      </c>
      <c r="F8" s="21">
        <f>IFERROR(__xludf.DUMMYFUNCTION("""COMPUTED_VALUE"""),6.300665479046612)</f>
        <v>6.300665479</v>
      </c>
      <c r="G8" s="23">
        <f>IFERROR(__xludf.DUMMYFUNCTION("""COMPUTED_VALUE"""),1.8285866209430932)</f>
        <v>1.828586621</v>
      </c>
      <c r="H8" s="4"/>
      <c r="I8" s="5" t="s">
        <v>3214</v>
      </c>
      <c r="J8" s="5" t="s">
        <v>3215</v>
      </c>
      <c r="K8" s="24">
        <v>928.0</v>
      </c>
      <c r="L8" s="5">
        <v>6.881294</v>
      </c>
      <c r="M8" s="5">
        <v>0.935864</v>
      </c>
      <c r="N8" s="5">
        <v>7.817158</v>
      </c>
      <c r="O8" s="5">
        <v>2.767511</v>
      </c>
    </row>
    <row r="9">
      <c r="A9" s="12" t="str">
        <f>IFERROR(__xludf.DUMMYFUNCTION("""COMPUTED_VALUE"""),"David Nesbitt")</f>
        <v>David Nesbitt</v>
      </c>
      <c r="B9" s="13" t="str">
        <f>IFERROR(__xludf.DUMMYFUNCTION("""COMPUTED_VALUE"""),"PAU")</f>
        <v>PAU</v>
      </c>
      <c r="C9" s="14">
        <f>IFERROR(__xludf.DUMMYFUNCTION("""COMPUTED_VALUE"""),870.7)</f>
        <v>870.7</v>
      </c>
      <c r="D9" s="15">
        <f>IFERROR(__xludf.DUMMYFUNCTION("""COMPUTED_VALUE"""),2.4366761019969054)</f>
        <v>2.436676102</v>
      </c>
      <c r="E9" s="15">
        <f>IFERROR(__xludf.DUMMYFUNCTION("""COMPUTED_VALUE"""),3.3322911068950485)</f>
        <v>3.332291107</v>
      </c>
      <c r="F9" s="15">
        <f>IFERROR(__xludf.DUMMYFUNCTION("""COMPUTED_VALUE"""),5.768960108891954)</f>
        <v>5.768960109</v>
      </c>
      <c r="G9" s="17">
        <f>IFERROR(__xludf.DUMMYFUNCTION("""COMPUTED_VALUE"""),2.0569862611359926)</f>
        <v>2.056986261</v>
      </c>
      <c r="H9" s="4"/>
      <c r="I9" s="5" t="s">
        <v>1140</v>
      </c>
      <c r="J9" s="5" t="s">
        <v>3217</v>
      </c>
      <c r="K9" s="24">
        <v>457.0</v>
      </c>
      <c r="L9" s="5">
        <v>5.895741</v>
      </c>
      <c r="M9" s="5">
        <v>1.733466</v>
      </c>
      <c r="N9" s="5">
        <v>7.629206</v>
      </c>
      <c r="O9" s="5">
        <v>1.325572</v>
      </c>
    </row>
    <row r="10">
      <c r="A10" s="18" t="str">
        <f>IFERROR(__xludf.DUMMYFUNCTION("""COMPUTED_VALUE"""),"Caue dos Santos")</f>
        <v>Caue dos Santos</v>
      </c>
      <c r="B10" s="19" t="str">
        <f>IFERROR(__xludf.DUMMYFUNCTION("""COMPUTED_VALUE"""),"CAX")</f>
        <v>CAX</v>
      </c>
      <c r="C10" s="20">
        <f>IFERROR(__xludf.DUMMYFUNCTION("""COMPUTED_VALUE"""),1147.9)</f>
        <v>1147.9</v>
      </c>
      <c r="D10" s="21">
        <f>IFERROR(__xludf.DUMMYFUNCTION("""COMPUTED_VALUE"""),4.063227519726965)</f>
        <v>4.06322752</v>
      </c>
      <c r="E10" s="21">
        <f>IFERROR(__xludf.DUMMYFUNCTION("""COMPUTED_VALUE"""),1.3543091278951311)</f>
        <v>1.354309128</v>
      </c>
      <c r="F10" s="21">
        <f>IFERROR(__xludf.DUMMYFUNCTION("""COMPUTED_VALUE"""),5.417521947622096)</f>
        <v>5.417521948</v>
      </c>
      <c r="G10" s="23">
        <f>IFERROR(__xludf.DUMMYFUNCTION("""COMPUTED_VALUE"""),2.5768891790534783)</f>
        <v>2.576889179</v>
      </c>
      <c r="H10" s="4"/>
      <c r="I10" s="5" t="s">
        <v>3218</v>
      </c>
      <c r="J10" s="5" t="s">
        <v>3212</v>
      </c>
      <c r="K10" s="24">
        <v>834.0</v>
      </c>
      <c r="L10" s="5">
        <v>4.064481</v>
      </c>
      <c r="M10" s="5">
        <v>3.393426</v>
      </c>
      <c r="N10" s="5">
        <v>7.457906</v>
      </c>
      <c r="O10" s="5">
        <v>2.395249</v>
      </c>
    </row>
    <row r="11">
      <c r="A11" s="12" t="str">
        <f>IFERROR(__xludf.DUMMYFUNCTION("""COMPUTED_VALUE"""),"Corderro Bennett")</f>
        <v>Corderro Bennett</v>
      </c>
      <c r="B11" s="13" t="str">
        <f>IFERROR(__xludf.DUMMYFUNCTION("""COMPUTED_VALUE"""),"PIN")</f>
        <v>PIN</v>
      </c>
      <c r="C11" s="14">
        <f>IFERROR(__xludf.DUMMYFUNCTION("""COMPUTED_VALUE"""),1009.6)</f>
        <v>1009.6</v>
      </c>
      <c r="D11" s="15">
        <f>IFERROR(__xludf.DUMMYFUNCTION("""COMPUTED_VALUE"""),4.059959114491507)</f>
        <v>4.059959114</v>
      </c>
      <c r="E11" s="15">
        <f>IFERROR(__xludf.DUMMYFUNCTION("""COMPUTED_VALUE"""),1.2223011058673292)</f>
        <v>1.222301106</v>
      </c>
      <c r="F11" s="15">
        <f>IFERROR(__xludf.DUMMYFUNCTION("""COMPUTED_VALUE"""),5.282240020358836)</f>
        <v>5.28224002</v>
      </c>
      <c r="G11" s="17">
        <f>IFERROR(__xludf.DUMMYFUNCTION("""COMPUTED_VALUE"""),2.240734109356148)</f>
        <v>2.240734109</v>
      </c>
      <c r="H11" s="4"/>
      <c r="I11" s="5" t="s">
        <v>3219</v>
      </c>
      <c r="J11" s="5" t="s">
        <v>3220</v>
      </c>
      <c r="K11" s="24">
        <v>910.0</v>
      </c>
      <c r="L11" s="5">
        <v>5.471494</v>
      </c>
      <c r="M11" s="5">
        <v>1.969011</v>
      </c>
      <c r="N11" s="5">
        <v>7.440505</v>
      </c>
      <c r="O11" s="5">
        <v>2.637379</v>
      </c>
    </row>
    <row r="12">
      <c r="A12" s="18" t="str">
        <f>IFERROR(__xludf.DUMMYFUNCTION("""COMPUTED_VALUE"""),"Guilherme Hubner")</f>
        <v>Guilherme Hubner</v>
      </c>
      <c r="B12" s="19" t="str">
        <f>IFERROR(__xludf.DUMMYFUNCTION("""COMPUTED_VALUE"""),"PAU")</f>
        <v>PAU</v>
      </c>
      <c r="C12" s="20">
        <f>IFERROR(__xludf.DUMMYFUNCTION("""COMPUTED_VALUE"""),624.1)</f>
        <v>624.1</v>
      </c>
      <c r="D12" s="21">
        <f>IFERROR(__xludf.DUMMYFUNCTION("""COMPUTED_VALUE"""),3.728910621998267)</f>
        <v>3.728910622</v>
      </c>
      <c r="E12" s="21">
        <f>IFERROR(__xludf.DUMMYFUNCTION("""COMPUTED_VALUE"""),1.514292046300975)</f>
        <v>1.514292046</v>
      </c>
      <c r="F12" s="21">
        <f>IFERROR(__xludf.DUMMYFUNCTION("""COMPUTED_VALUE"""),5.243191368299242)</f>
        <v>5.243191368</v>
      </c>
      <c r="G12" s="23">
        <f>IFERROR(__xludf.DUMMYFUNCTION("""COMPUTED_VALUE"""),1.3746311095182882)</f>
        <v>1.37463111</v>
      </c>
      <c r="H12" s="4"/>
      <c r="I12" s="5" t="s">
        <v>3222</v>
      </c>
      <c r="J12" s="5" t="s">
        <v>3220</v>
      </c>
      <c r="K12" s="24">
        <v>925.0</v>
      </c>
      <c r="L12" s="5">
        <v>3.51806</v>
      </c>
      <c r="M12" s="5">
        <v>3.3403</v>
      </c>
      <c r="N12" s="5">
        <v>6.85836</v>
      </c>
      <c r="O12" s="5">
        <v>2.514995</v>
      </c>
    </row>
    <row r="13">
      <c r="A13" s="12" t="str">
        <f>IFERROR(__xludf.DUMMYFUNCTION("""COMPUTED_VALUE"""),"Desmond Holloway")</f>
        <v>Desmond Holloway</v>
      </c>
      <c r="B13" s="13" t="str">
        <f>IFERROR(__xludf.DUMMYFUNCTION("""COMPUTED_VALUE"""),"PIN")</f>
        <v>PIN</v>
      </c>
      <c r="C13" s="14">
        <f>IFERROR(__xludf.DUMMYFUNCTION("""COMPUTED_VALUE"""),912.6)</f>
        <v>912.6</v>
      </c>
      <c r="D13" s="15">
        <f>IFERROR(__xludf.DUMMYFUNCTION("""COMPUTED_VALUE"""),3.6106551880523154)</f>
        <v>3.610655188</v>
      </c>
      <c r="E13" s="15">
        <f>IFERROR(__xludf.DUMMYFUNCTION("""COMPUTED_VALUE"""),1.5968732382686328)</f>
        <v>1.596873238</v>
      </c>
      <c r="F13" s="15">
        <f>IFERROR(__xludf.DUMMYFUNCTION("""COMPUTED_VALUE"""),5.207517026320948)</f>
        <v>5.207517026</v>
      </c>
      <c r="G13" s="17">
        <f>IFERROR(__xludf.DUMMYFUNCTION("""COMPUTED_VALUE"""),2.0046598408840315)</f>
        <v>2.004659841</v>
      </c>
      <c r="H13" s="4"/>
      <c r="I13" s="5" t="s">
        <v>775</v>
      </c>
      <c r="J13" s="5" t="s">
        <v>3223</v>
      </c>
      <c r="K13" s="24">
        <v>867.0</v>
      </c>
      <c r="L13" s="5">
        <v>5.796982</v>
      </c>
      <c r="M13" s="5">
        <v>0.726599</v>
      </c>
      <c r="N13" s="5">
        <v>6.523581</v>
      </c>
      <c r="O13" s="5">
        <v>2.245933</v>
      </c>
    </row>
    <row r="14">
      <c r="A14" s="18" t="str">
        <f>IFERROR(__xludf.DUMMYFUNCTION("""COMPUTED_VALUE"""),"Guilherme Teichmann")</f>
        <v>Guilherme Teichmann</v>
      </c>
      <c r="B14" s="19" t="str">
        <f>IFERROR(__xludf.DUMMYFUNCTION("""COMPUTED_VALUE"""),"MIN")</f>
        <v>MIN</v>
      </c>
      <c r="C14" s="20">
        <f>IFERROR(__xludf.DUMMYFUNCTION("""COMPUTED_VALUE"""),883.0)</f>
        <v>883</v>
      </c>
      <c r="D14" s="21">
        <f>IFERROR(__xludf.DUMMYFUNCTION("""COMPUTED_VALUE"""),-1.3004248218990975)</f>
        <v>-1.300424822</v>
      </c>
      <c r="E14" s="21">
        <f>IFERROR(__xludf.DUMMYFUNCTION("""COMPUTED_VALUE"""),6.300587354731881)</f>
        <v>6.300587355</v>
      </c>
      <c r="F14" s="21">
        <f>IFERROR(__xludf.DUMMYFUNCTION("""COMPUTED_VALUE"""),5.000160732832784)</f>
        <v>5.000160733</v>
      </c>
      <c r="G14" s="23">
        <f>IFERROR(__xludf.DUMMYFUNCTION("""COMPUTED_VALUE"""),1.889219333801378)</f>
        <v>1.889219334</v>
      </c>
      <c r="H14" s="4"/>
      <c r="I14" s="5" t="s">
        <v>3225</v>
      </c>
      <c r="J14" s="5" t="s">
        <v>3226</v>
      </c>
      <c r="K14" s="24">
        <v>610.0</v>
      </c>
      <c r="L14" s="5">
        <v>2.714476</v>
      </c>
      <c r="M14" s="5">
        <v>3.702478</v>
      </c>
      <c r="N14" s="5">
        <v>6.416954</v>
      </c>
      <c r="O14" s="5">
        <v>1.5672</v>
      </c>
    </row>
    <row r="15">
      <c r="A15" s="12" t="str">
        <f>IFERROR(__xludf.DUMMYFUNCTION("""COMPUTED_VALUE"""),"Gabriel Galvanini")</f>
        <v>Gabriel Galvanini</v>
      </c>
      <c r="B15" s="13" t="str">
        <f>IFERROR(__xludf.DUMMYFUNCTION("""COMPUTED_VALUE"""),"BAU")</f>
        <v>BAU</v>
      </c>
      <c r="C15" s="14">
        <f>IFERROR(__xludf.DUMMYFUNCTION("""COMPUTED_VALUE"""),784.5)</f>
        <v>784.5</v>
      </c>
      <c r="D15" s="15">
        <f>IFERROR(__xludf.DUMMYFUNCTION("""COMPUTED_VALUE"""),3.0289990006492813)</f>
        <v>3.028999001</v>
      </c>
      <c r="E15" s="15">
        <f>IFERROR(__xludf.DUMMYFUNCTION("""COMPUTED_VALUE"""),1.9351183557853684)</f>
        <v>1.935118356</v>
      </c>
      <c r="F15" s="15">
        <f>IFERROR(__xludf.DUMMYFUNCTION("""COMPUTED_VALUE"""),4.96410465643465)</f>
        <v>4.964104656</v>
      </c>
      <c r="G15" s="17">
        <f>IFERROR(__xludf.DUMMYFUNCTION("""COMPUTED_VALUE"""),1.6645981284772609)</f>
        <v>1.664598128</v>
      </c>
      <c r="H15" s="4"/>
      <c r="I15" s="5" t="s">
        <v>3228</v>
      </c>
      <c r="J15" s="5" t="s">
        <v>3229</v>
      </c>
      <c r="K15" s="24">
        <v>405.0</v>
      </c>
      <c r="L15" s="5">
        <v>5.820243</v>
      </c>
      <c r="M15" s="5">
        <v>0.396638</v>
      </c>
      <c r="N15" s="5">
        <v>6.216881</v>
      </c>
      <c r="O15" s="5">
        <v>1.050765</v>
      </c>
    </row>
    <row r="16">
      <c r="A16" s="18" t="str">
        <f>IFERROR(__xludf.DUMMYFUNCTION("""COMPUTED_VALUE"""),"Deryk Ramos")</f>
        <v>Deryk Ramos</v>
      </c>
      <c r="B16" s="19" t="str">
        <f>IFERROR(__xludf.DUMMYFUNCTION("""COMPUTED_VALUE"""),"PAU")</f>
        <v>PAU</v>
      </c>
      <c r="C16" s="20">
        <f>IFERROR(__xludf.DUMMYFUNCTION("""COMPUTED_VALUE"""),866.9)</f>
        <v>866.9</v>
      </c>
      <c r="D16" s="21">
        <f>IFERROR(__xludf.DUMMYFUNCTION("""COMPUTED_VALUE"""),6.67311042247329)</f>
        <v>6.673110422</v>
      </c>
      <c r="E16" s="21">
        <f>IFERROR(__xludf.DUMMYFUNCTION("""COMPUTED_VALUE"""),-1.7738595596924644)</f>
        <v>-1.77385956</v>
      </c>
      <c r="F16" s="21">
        <f>IFERROR(__xludf.DUMMYFUNCTION("""COMPUTED_VALUE"""),4.899245562780825)</f>
        <v>4.899245563</v>
      </c>
      <c r="G16" s="23">
        <f>IFERROR(__xludf.DUMMYFUNCTION("""COMPUTED_VALUE"""),1.8187387814770306)</f>
        <v>1.818738781</v>
      </c>
      <c r="H16" s="4"/>
      <c r="I16" s="5" t="s">
        <v>3230</v>
      </c>
      <c r="J16" s="5" t="s">
        <v>3229</v>
      </c>
      <c r="K16" s="24">
        <v>915.0</v>
      </c>
      <c r="L16" s="5">
        <v>5.388908</v>
      </c>
      <c r="M16" s="5">
        <v>0.784124</v>
      </c>
      <c r="N16" s="5">
        <v>6.173032</v>
      </c>
      <c r="O16" s="5">
        <v>2.363291</v>
      </c>
    </row>
    <row r="17">
      <c r="A17" s="12" t="str">
        <f>IFERROR(__xludf.DUMMYFUNCTION("""COMPUTED_VALUE"""),"J.P. Batista")</f>
        <v>J.P. Batista</v>
      </c>
      <c r="B17" s="13" t="str">
        <f>IFERROR(__xludf.DUMMYFUNCTION("""COMPUTED_VALUE"""),"FLA")</f>
        <v>FLA</v>
      </c>
      <c r="C17" s="14">
        <f>IFERROR(__xludf.DUMMYFUNCTION("""COMPUTED_VALUE"""),840.5)</f>
        <v>840.5</v>
      </c>
      <c r="D17" s="15">
        <f>IFERROR(__xludf.DUMMYFUNCTION("""COMPUTED_VALUE"""),2.910670829661467)</f>
        <v>2.91067083</v>
      </c>
      <c r="E17" s="15">
        <f>IFERROR(__xludf.DUMMYFUNCTION("""COMPUTED_VALUE"""),1.9758511592691752)</f>
        <v>1.975851159</v>
      </c>
      <c r="F17" s="15">
        <f>IFERROR(__xludf.DUMMYFUNCTION("""COMPUTED_VALUE"""),4.886501388930642)</f>
        <v>4.886501389</v>
      </c>
      <c r="G17" s="17">
        <f>IFERROR(__xludf.DUMMYFUNCTION("""COMPUTED_VALUE"""),1.7660994439886675)</f>
        <v>1.766099444</v>
      </c>
      <c r="H17" s="4"/>
      <c r="I17" s="5" t="s">
        <v>3231</v>
      </c>
      <c r="J17" s="5" t="s">
        <v>3233</v>
      </c>
      <c r="K17" s="24">
        <v>960.0</v>
      </c>
      <c r="L17" s="5">
        <v>5.432202</v>
      </c>
      <c r="M17" s="5">
        <v>0.563188</v>
      </c>
      <c r="N17" s="5">
        <v>5.995391</v>
      </c>
      <c r="O17" s="5">
        <v>2.269116</v>
      </c>
    </row>
    <row r="18">
      <c r="A18" s="18" t="str">
        <f>IFERROR(__xludf.DUMMYFUNCTION("""COMPUTED_VALUE"""),"Jhonatan dos Santos")</f>
        <v>Jhonatan dos Santos</v>
      </c>
      <c r="B18" s="19" t="str">
        <f>IFERROR(__xludf.DUMMYFUNCTION("""COMPUTED_VALUE"""),"PAU")</f>
        <v>PAU</v>
      </c>
      <c r="C18" s="20">
        <f>IFERROR(__xludf.DUMMYFUNCTION("""COMPUTED_VALUE"""),835.3)</f>
        <v>835.3</v>
      </c>
      <c r="D18" s="21">
        <f>IFERROR(__xludf.DUMMYFUNCTION("""COMPUTED_VALUE"""),3.630836865250407)</f>
        <v>3.630836865</v>
      </c>
      <c r="E18" s="21">
        <f>IFERROR(__xludf.DUMMYFUNCTION("""COMPUTED_VALUE"""),1.1517098525060447)</f>
        <v>1.151709853</v>
      </c>
      <c r="F18" s="21">
        <f>IFERROR(__xludf.DUMMYFUNCTION("""COMPUTED_VALUE"""),4.7825321177564515)</f>
        <v>4.782532118</v>
      </c>
      <c r="G18" s="23">
        <f>IFERROR(__xludf.DUMMYFUNCTION("""COMPUTED_VALUE"""),1.7228064016699156)</f>
        <v>1.722806402</v>
      </c>
      <c r="H18" s="4"/>
      <c r="I18" s="5" t="s">
        <v>3234</v>
      </c>
      <c r="J18" s="5" t="s">
        <v>3212</v>
      </c>
      <c r="K18" s="24">
        <v>772.0</v>
      </c>
      <c r="L18" s="5">
        <v>3.281958</v>
      </c>
      <c r="M18" s="5">
        <v>2.330674</v>
      </c>
      <c r="N18" s="5">
        <v>5.612631</v>
      </c>
      <c r="O18" s="5">
        <v>1.7848</v>
      </c>
    </row>
    <row r="19">
      <c r="A19" s="12" t="str">
        <f>IFERROR(__xludf.DUMMYFUNCTION("""COMPUTED_VALUE"""),"Tyrone Curnell")</f>
        <v>Tyrone Curnell</v>
      </c>
      <c r="B19" s="13" t="str">
        <f>IFERROR(__xludf.DUMMYFUNCTION("""COMPUTED_VALUE"""),"MOG")</f>
        <v>MOG</v>
      </c>
      <c r="C19" s="14">
        <f>IFERROR(__xludf.DUMMYFUNCTION("""COMPUTED_VALUE"""),937.0)</f>
        <v>937</v>
      </c>
      <c r="D19" s="15">
        <f>IFERROR(__xludf.DUMMYFUNCTION("""COMPUTED_VALUE"""),1.4720057591445823)</f>
        <v>1.472005759</v>
      </c>
      <c r="E19" s="15">
        <f>IFERROR(__xludf.DUMMYFUNCTION("""COMPUTED_VALUE"""),3.1706537746173664)</f>
        <v>3.170653775</v>
      </c>
      <c r="F19" s="15">
        <f>IFERROR(__xludf.DUMMYFUNCTION("""COMPUTED_VALUE"""),4.642642133761949)</f>
        <v>4.642642134</v>
      </c>
      <c r="G19" s="17">
        <f>IFERROR(__xludf.DUMMYFUNCTION("""COMPUTED_VALUE"""),1.8990751197129898)</f>
        <v>1.89907512</v>
      </c>
      <c r="H19" s="4"/>
      <c r="I19" s="5" t="s">
        <v>3235</v>
      </c>
      <c r="J19" s="5" t="s">
        <v>3212</v>
      </c>
      <c r="K19" s="24">
        <v>621.0</v>
      </c>
      <c r="L19" s="5">
        <v>3.630073</v>
      </c>
      <c r="M19" s="5">
        <v>1.849615</v>
      </c>
      <c r="N19" s="5">
        <v>5.479688</v>
      </c>
      <c r="O19" s="5">
        <v>1.410357</v>
      </c>
    </row>
    <row r="20">
      <c r="A20" s="18" t="str">
        <f>IFERROR(__xludf.DUMMYFUNCTION("""COMPUTED_VALUE"""),"Luiz da Silva")</f>
        <v>Luiz da Silva</v>
      </c>
      <c r="B20" s="19" t="str">
        <f>IFERROR(__xludf.DUMMYFUNCTION("""COMPUTED_VALUE"""),"PAU")</f>
        <v>PAU</v>
      </c>
      <c r="C20" s="20">
        <f>IFERROR(__xludf.DUMMYFUNCTION("""COMPUTED_VALUE"""),175.0)</f>
        <v>175</v>
      </c>
      <c r="D20" s="21">
        <f>IFERROR(__xludf.DUMMYFUNCTION("""COMPUTED_VALUE"""),2.832111398825434)</f>
        <v>2.832111399</v>
      </c>
      <c r="E20" s="21">
        <f>IFERROR(__xludf.DUMMYFUNCTION("""COMPUTED_VALUE"""),1.5429739091681711)</f>
        <v>1.542973909</v>
      </c>
      <c r="F20" s="21">
        <f>IFERROR(__xludf.DUMMYFUNCTION("""COMPUTED_VALUE"""),4.375068107993605)</f>
        <v>4.375068108</v>
      </c>
      <c r="G20" s="23">
        <f>IFERROR(__xludf.DUMMYFUNCTION("""COMPUTED_VALUE"""),0.33926835398101546)</f>
        <v>0.339268354</v>
      </c>
      <c r="H20" s="4"/>
      <c r="I20" s="5" t="s">
        <v>3236</v>
      </c>
      <c r="J20" s="5" t="s">
        <v>3237</v>
      </c>
      <c r="K20" s="5">
        <v>694.0</v>
      </c>
      <c r="L20" s="5">
        <v>4.652773</v>
      </c>
      <c r="M20" s="5">
        <v>0.735438</v>
      </c>
      <c r="N20" s="5">
        <v>5.388211</v>
      </c>
      <c r="O20" s="5">
        <v>1.729146</v>
      </c>
    </row>
    <row r="21">
      <c r="A21" s="12" t="str">
        <f>IFERROR(__xludf.DUMMYFUNCTION("""COMPUTED_VALUE"""),"Luis Gruber")</f>
        <v>Luis Gruber</v>
      </c>
      <c r="B21" s="13" t="str">
        <f>IFERROR(__xludf.DUMMYFUNCTION("""COMPUTED_VALUE"""),"FRA")</f>
        <v>FRA</v>
      </c>
      <c r="C21" s="14">
        <f>IFERROR(__xludf.DUMMYFUNCTION("""COMPUTED_VALUE"""),549.4)</f>
        <v>549.4</v>
      </c>
      <c r="D21" s="15">
        <f>IFERROR(__xludf.DUMMYFUNCTION("""COMPUTED_VALUE"""),2.4360897183423664)</f>
        <v>2.436089718</v>
      </c>
      <c r="E21" s="15">
        <f>IFERROR(__xludf.DUMMYFUNCTION("""COMPUTED_VALUE"""),1.8647817103642055)</f>
        <v>1.86478171</v>
      </c>
      <c r="F21" s="15">
        <f>IFERROR(__xludf.DUMMYFUNCTION("""COMPUTED_VALUE"""),4.300859528706572)</f>
        <v>4.300859529</v>
      </c>
      <c r="G21" s="17">
        <f>IFERROR(__xludf.DUMMYFUNCTION("""COMPUTED_VALUE"""),1.172671867842612)</f>
        <v>1.172671868</v>
      </c>
      <c r="H21" s="4"/>
      <c r="I21" s="5" t="s">
        <v>3238</v>
      </c>
      <c r="J21" s="5" t="s">
        <v>2838</v>
      </c>
      <c r="K21" s="24">
        <v>353.0</v>
      </c>
      <c r="L21" s="5">
        <v>3.646424</v>
      </c>
      <c r="M21" s="5">
        <v>1.637954</v>
      </c>
      <c r="N21" s="5">
        <v>5.284378</v>
      </c>
      <c r="O21" s="5">
        <v>0.770777</v>
      </c>
    </row>
    <row r="22">
      <c r="A22" s="18" t="str">
        <f>IFERROR(__xludf.DUMMYFUNCTION("""COMPUTED_VALUE"""),"Jamaal Smith")</f>
        <v>Jamaal Smith</v>
      </c>
      <c r="B22" s="19" t="str">
        <f>IFERROR(__xludf.DUMMYFUNCTION("""COMPUTED_VALUE"""),"BOT")</f>
        <v>BOT</v>
      </c>
      <c r="C22" s="20">
        <f>IFERROR(__xludf.DUMMYFUNCTION("""COMPUTED_VALUE"""),491.1)</f>
        <v>491.1</v>
      </c>
      <c r="D22" s="21">
        <f>IFERROR(__xludf.DUMMYFUNCTION("""COMPUTED_VALUE"""),5.999394739931189)</f>
        <v>5.99939474</v>
      </c>
      <c r="E22" s="21">
        <f>IFERROR(__xludf.DUMMYFUNCTION("""COMPUTED_VALUE"""),-2.056740111237758)</f>
        <v>-2.056740111</v>
      </c>
      <c r="F22" s="21">
        <f>IFERROR(__xludf.DUMMYFUNCTION("""COMPUTED_VALUE"""),3.9426519286934307)</f>
        <v>3.942651929</v>
      </c>
      <c r="G22" s="23">
        <f>IFERROR(__xludf.DUMMYFUNCTION("""COMPUTED_VALUE"""),0.8939116617814606)</f>
        <v>0.8939116618</v>
      </c>
      <c r="H22" s="4"/>
      <c r="I22" s="5" t="s">
        <v>963</v>
      </c>
      <c r="J22" s="5" t="s">
        <v>3217</v>
      </c>
      <c r="K22" s="5">
        <v>808.0</v>
      </c>
      <c r="L22" s="5">
        <v>2.128232</v>
      </c>
      <c r="M22" s="5">
        <v>3.143818</v>
      </c>
      <c r="N22" s="5">
        <v>5.272049</v>
      </c>
      <c r="O22" s="5">
        <v>1.769293</v>
      </c>
    </row>
    <row r="23">
      <c r="A23" s="12" t="str">
        <f>IFERROR(__xludf.DUMMYFUNCTION("""COMPUTED_VALUE"""),"Victor da Silva")</f>
        <v>Victor da Silva</v>
      </c>
      <c r="B23" s="13" t="str">
        <f>IFERROR(__xludf.DUMMYFUNCTION("""COMPUTED_VALUE"""),"PAU")</f>
        <v>PAU</v>
      </c>
      <c r="C23" s="14">
        <f>IFERROR(__xludf.DUMMYFUNCTION("""COMPUTED_VALUE"""),345.9)</f>
        <v>345.9</v>
      </c>
      <c r="D23" s="15">
        <f>IFERROR(__xludf.DUMMYFUNCTION("""COMPUTED_VALUE"""),3.885980989271516)</f>
        <v>3.885980989</v>
      </c>
      <c r="E23" s="15">
        <f>IFERROR(__xludf.DUMMYFUNCTION("""COMPUTED_VALUE"""),0.018596260321932755)</f>
        <v>0.01859626032</v>
      </c>
      <c r="F23" s="15">
        <f>IFERROR(__xludf.DUMMYFUNCTION("""COMPUTED_VALUE"""),3.9045605495934486)</f>
        <v>3.90456055</v>
      </c>
      <c r="G23" s="17">
        <f>IFERROR(__xludf.DUMMYFUNCTION("""COMPUTED_VALUE"""),0.6210810467546494)</f>
        <v>0.6210810468</v>
      </c>
      <c r="H23" s="4"/>
      <c r="I23" s="5" t="s">
        <v>1065</v>
      </c>
      <c r="J23" s="5" t="s">
        <v>3240</v>
      </c>
      <c r="K23" s="24">
        <v>810.0</v>
      </c>
      <c r="L23" s="5">
        <v>4.064939</v>
      </c>
      <c r="M23" s="5">
        <v>0.887572</v>
      </c>
      <c r="N23" s="5">
        <v>4.952511</v>
      </c>
      <c r="O23" s="5">
        <v>1.716451</v>
      </c>
    </row>
    <row r="24">
      <c r="A24" s="18" t="str">
        <f>IFERROR(__xludf.DUMMYFUNCTION("""COMPUTED_VALUE"""),"Yago Dos Santos")</f>
        <v>Yago Dos Santos</v>
      </c>
      <c r="B24" s="19" t="str">
        <f>IFERROR(__xludf.DUMMYFUNCTION("""COMPUTED_VALUE"""),"PAU")</f>
        <v>PAU</v>
      </c>
      <c r="C24" s="20">
        <f>IFERROR(__xludf.DUMMYFUNCTION("""COMPUTED_VALUE"""),613.0)</f>
        <v>613</v>
      </c>
      <c r="D24" s="21">
        <f>IFERROR(__xludf.DUMMYFUNCTION("""COMPUTED_VALUE"""),4.715886670489846)</f>
        <v>4.71588667</v>
      </c>
      <c r="E24" s="21">
        <f>IFERROR(__xludf.DUMMYFUNCTION("""COMPUTED_VALUE"""),-0.8755911169463655)</f>
        <v>-0.8755911169</v>
      </c>
      <c r="F24" s="21">
        <f>IFERROR(__xludf.DUMMYFUNCTION("""COMPUTED_VALUE"""),3.8402811535434807)</f>
        <v>3.840281154</v>
      </c>
      <c r="G24" s="23">
        <f>IFERROR(__xludf.DUMMYFUNCTION("""COMPUTED_VALUE"""),1.0886754505132246)</f>
        <v>1.088675451</v>
      </c>
      <c r="H24" s="4"/>
      <c r="I24" s="5" t="s">
        <v>3241</v>
      </c>
      <c r="J24" s="5" t="s">
        <v>2201</v>
      </c>
      <c r="K24" s="24">
        <v>985.0</v>
      </c>
      <c r="L24" s="5">
        <v>2.989934</v>
      </c>
      <c r="M24" s="5">
        <v>1.943075</v>
      </c>
      <c r="N24" s="5">
        <v>4.933009</v>
      </c>
      <c r="O24" s="5">
        <v>2.086479</v>
      </c>
    </row>
    <row r="25">
      <c r="A25" s="12" t="str">
        <f>IFERROR(__xludf.DUMMYFUNCTION("""COMPUTED_VALUE"""),"Rafa Luz")</f>
        <v>Rafa Luz</v>
      </c>
      <c r="B25" s="13" t="str">
        <f>IFERROR(__xludf.DUMMYFUNCTION("""COMPUTED_VALUE"""),"FRA")</f>
        <v>FRA</v>
      </c>
      <c r="C25" s="14">
        <f>IFERROR(__xludf.DUMMYFUNCTION("""COMPUTED_VALUE"""),217.1)</f>
        <v>217.1</v>
      </c>
      <c r="D25" s="15">
        <f>IFERROR(__xludf.DUMMYFUNCTION("""COMPUTED_VALUE"""),0.9489104339899254)</f>
        <v>0.948910434</v>
      </c>
      <c r="E25" s="15">
        <f>IFERROR(__xludf.DUMMYFUNCTION("""COMPUTED_VALUE"""),2.827832508055283)</f>
        <v>2.827832508</v>
      </c>
      <c r="F25" s="15">
        <f>IFERROR(__xludf.DUMMYFUNCTION("""COMPUTED_VALUE"""),3.7767340420452085)</f>
        <v>3.776734042</v>
      </c>
      <c r="G25" s="17">
        <f>IFERROR(__xludf.DUMMYFUNCTION("""COMPUTED_VALUE"""),0.42484933378320283)</f>
        <v>0.4248493338</v>
      </c>
      <c r="H25" s="4"/>
      <c r="I25" s="5" t="s">
        <v>3243</v>
      </c>
      <c r="J25" s="5" t="s">
        <v>3203</v>
      </c>
      <c r="K25" s="24">
        <v>227.0</v>
      </c>
      <c r="L25" s="5">
        <v>-0.375312</v>
      </c>
      <c r="M25" s="5">
        <v>5.284305</v>
      </c>
      <c r="N25" s="5">
        <v>4.908992</v>
      </c>
      <c r="O25" s="5">
        <v>0.475587</v>
      </c>
    </row>
    <row r="26">
      <c r="A26" s="18" t="str">
        <f>IFERROR(__xludf.DUMMYFUNCTION("""COMPUTED_VALUE"""),"Marcelinho Machado")</f>
        <v>Marcelinho Machado</v>
      </c>
      <c r="B26" s="19" t="str">
        <f>IFERROR(__xludf.DUMMYFUNCTION("""COMPUTED_VALUE"""),"FLA")</f>
        <v>FLA</v>
      </c>
      <c r="C26" s="20">
        <f>IFERROR(__xludf.DUMMYFUNCTION("""COMPUTED_VALUE"""),591.7)</f>
        <v>591.7</v>
      </c>
      <c r="D26" s="21">
        <f>IFERROR(__xludf.DUMMYFUNCTION("""COMPUTED_VALUE"""),4.866574726795106)</f>
        <v>4.866574727</v>
      </c>
      <c r="E26" s="21">
        <f>IFERROR(__xludf.DUMMYFUNCTION("""COMPUTED_VALUE"""),-1.1753930294844679)</f>
        <v>-1.175393029</v>
      </c>
      <c r="F26" s="21">
        <f>IFERROR(__xludf.DUMMYFUNCTION("""COMPUTED_VALUE"""),3.691172997310638)</f>
        <v>3.691172997</v>
      </c>
      <c r="G26" s="23">
        <f>IFERROR(__xludf.DUMMYFUNCTION("""COMPUTED_VALUE"""),1.0274974783729127)</f>
        <v>1.027497478</v>
      </c>
      <c r="H26" s="4"/>
      <c r="I26" s="5" t="s">
        <v>1191</v>
      </c>
      <c r="J26" s="5" t="s">
        <v>3215</v>
      </c>
      <c r="K26" s="24">
        <v>552.0</v>
      </c>
      <c r="L26" s="5">
        <v>1.862639</v>
      </c>
      <c r="M26" s="5">
        <v>2.942286</v>
      </c>
      <c r="N26" s="5">
        <v>4.804925</v>
      </c>
      <c r="O26" s="5">
        <v>1.140593</v>
      </c>
    </row>
    <row r="27">
      <c r="A27" s="12" t="str">
        <f>IFERROR(__xludf.DUMMYFUNCTION("""COMPUTED_VALUE"""),"Leonardo Meindl")</f>
        <v>Leonardo Meindl</v>
      </c>
      <c r="B27" s="13" t="str">
        <f>IFERROR(__xludf.DUMMYFUNCTION("""COMPUTED_VALUE"""),"FRA")</f>
        <v>FRA</v>
      </c>
      <c r="C27" s="14">
        <f>IFERROR(__xludf.DUMMYFUNCTION("""COMPUTED_VALUE"""),859.1)</f>
        <v>859.1</v>
      </c>
      <c r="D27" s="15">
        <f>IFERROR(__xludf.DUMMYFUNCTION("""COMPUTED_VALUE"""),1.2278516182318568)</f>
        <v>1.227851618</v>
      </c>
      <c r="E27" s="15">
        <f>IFERROR(__xludf.DUMMYFUNCTION("""COMPUTED_VALUE"""),2.411652442903522)</f>
        <v>2.411652443</v>
      </c>
      <c r="F27" s="15">
        <f>IFERROR(__xludf.DUMMYFUNCTION("""COMPUTED_VALUE"""),3.639496161135379)</f>
        <v>3.639496161</v>
      </c>
      <c r="G27" s="17">
        <f>IFERROR(__xludf.DUMMYFUNCTION("""COMPUTED_VALUE"""),1.6412311899835381)</f>
        <v>1.64123119</v>
      </c>
      <c r="H27" s="4"/>
      <c r="I27" s="5" t="s">
        <v>3245</v>
      </c>
      <c r="J27" s="5" t="s">
        <v>3212</v>
      </c>
      <c r="K27" s="24">
        <v>821.0</v>
      </c>
      <c r="L27" s="5">
        <v>1.315072</v>
      </c>
      <c r="M27" s="5">
        <v>3.471349</v>
      </c>
      <c r="N27" s="5">
        <v>4.786421</v>
      </c>
      <c r="O27" s="5">
        <v>1.69292</v>
      </c>
    </row>
    <row r="28">
      <c r="A28" s="18" t="str">
        <f>IFERROR(__xludf.DUMMYFUNCTION("""COMPUTED_VALUE"""),"Edu de Oliveira")</f>
        <v>Edu de Oliveira</v>
      </c>
      <c r="B28" s="19" t="str">
        <f>IFERROR(__xludf.DUMMYFUNCTION("""COMPUTED_VALUE"""),"UNIV")</f>
        <v>UNIV</v>
      </c>
      <c r="C28" s="20">
        <f>IFERROR(__xludf.DUMMYFUNCTION("""COMPUTED_VALUE"""),495.0)</f>
        <v>495</v>
      </c>
      <c r="D28" s="21">
        <f>IFERROR(__xludf.DUMMYFUNCTION("""COMPUTED_VALUE"""),0.3395043319802059)</f>
        <v>0.339504332</v>
      </c>
      <c r="E28" s="21">
        <f>IFERROR(__xludf.DUMMYFUNCTION("""COMPUTED_VALUE"""),3.2940928520534496)</f>
        <v>3.294092852</v>
      </c>
      <c r="F28" s="21">
        <f>IFERROR(__xludf.DUMMYFUNCTION("""COMPUTED_VALUE"""),3.6335810840336555)</f>
        <v>3.633581084</v>
      </c>
      <c r="G28" s="23">
        <f>IFERROR(__xludf.DUMMYFUNCTION("""COMPUTED_VALUE"""),0.8401116550767203)</f>
        <v>0.8401116551</v>
      </c>
      <c r="H28" s="4"/>
      <c r="I28" s="5" t="s">
        <v>3246</v>
      </c>
      <c r="J28" s="5" t="s">
        <v>3226</v>
      </c>
      <c r="K28" s="24">
        <v>604.0</v>
      </c>
      <c r="L28" s="5">
        <v>2.566124</v>
      </c>
      <c r="M28" s="5">
        <v>2.108607</v>
      </c>
      <c r="N28" s="5">
        <v>4.67473</v>
      </c>
      <c r="O28" s="5">
        <v>1.230178</v>
      </c>
    </row>
    <row r="29">
      <c r="A29" s="12" t="str">
        <f>IFERROR(__xludf.DUMMYFUNCTION("""COMPUTED_VALUE"""),"Leandro Barbosa")</f>
        <v>Leandro Barbosa</v>
      </c>
      <c r="B29" s="13" t="str">
        <f>IFERROR(__xludf.DUMMYFUNCTION("""COMPUTED_VALUE"""),"FRA")</f>
        <v>FRA</v>
      </c>
      <c r="C29" s="14">
        <f>IFERROR(__xludf.DUMMYFUNCTION("""COMPUTED_VALUE"""),298.3)</f>
        <v>298.3</v>
      </c>
      <c r="D29" s="15">
        <f>IFERROR(__xludf.DUMMYFUNCTION("""COMPUTED_VALUE"""),1.275972896747581)</f>
        <v>1.275972897</v>
      </c>
      <c r="E29" s="15">
        <f>IFERROR(__xludf.DUMMYFUNCTION("""COMPUTED_VALUE"""),2.2625179027508318)</f>
        <v>2.262517903</v>
      </c>
      <c r="F29" s="15">
        <f>IFERROR(__xludf.DUMMYFUNCTION("""COMPUTED_VALUE"""),3.538470099498413)</f>
        <v>3.538470099</v>
      </c>
      <c r="G29" s="17">
        <f>IFERROR(__xludf.DUMMYFUNCTION("""COMPUTED_VALUE"""),0.5596838540245178)</f>
        <v>0.559683854</v>
      </c>
      <c r="H29" s="4"/>
      <c r="I29" s="5" t="s">
        <v>3248</v>
      </c>
      <c r="J29" s="5" t="s">
        <v>3220</v>
      </c>
      <c r="K29" s="24">
        <v>665.0</v>
      </c>
      <c r="L29" s="5">
        <v>3.025228</v>
      </c>
      <c r="M29" s="5">
        <v>1.648312</v>
      </c>
      <c r="N29" s="5">
        <v>4.67354</v>
      </c>
      <c r="O29" s="5">
        <v>1.363248</v>
      </c>
    </row>
    <row r="30">
      <c r="A30" s="18" t="str">
        <f>IFERROR(__xludf.DUMMYFUNCTION("""COMPUTED_VALUE"""),"Osvaldas Matulionis")</f>
        <v>Osvaldas Matulionis</v>
      </c>
      <c r="B30" s="19" t="str">
        <f>IFERROR(__xludf.DUMMYFUNCTION("""COMPUTED_VALUE"""),"BAU")</f>
        <v>BAU</v>
      </c>
      <c r="C30" s="20">
        <f>IFERROR(__xludf.DUMMYFUNCTION("""COMPUTED_VALUE"""),722.9)</f>
        <v>722.9</v>
      </c>
      <c r="D30" s="21">
        <f>IFERROR(__xludf.DUMMYFUNCTION("""COMPUTED_VALUE"""),3.0279565757669986)</f>
        <v>3.027956576</v>
      </c>
      <c r="E30" s="21">
        <f>IFERROR(__xludf.DUMMYFUNCTION("""COMPUTED_VALUE"""),0.43380256139672685)</f>
        <v>0.4338025614</v>
      </c>
      <c r="F30" s="21">
        <f>IFERROR(__xludf.DUMMYFUNCTION("""COMPUTED_VALUE"""),3.4617510371637255)</f>
        <v>3.461751037</v>
      </c>
      <c r="G30" s="23">
        <f>IFERROR(__xludf.DUMMYFUNCTION("""COMPUTED_VALUE"""),1.2029869063144376)</f>
        <v>1.202986906</v>
      </c>
      <c r="H30" s="4"/>
      <c r="I30" s="5" t="s">
        <v>3250</v>
      </c>
      <c r="J30" s="5" t="s">
        <v>3251</v>
      </c>
      <c r="K30" s="5">
        <v>902.0</v>
      </c>
      <c r="L30" s="5">
        <v>3.685912</v>
      </c>
      <c r="M30" s="5">
        <v>0.967933</v>
      </c>
      <c r="N30" s="5">
        <v>4.653846</v>
      </c>
      <c r="O30" s="5">
        <v>1.822317</v>
      </c>
    </row>
    <row r="31">
      <c r="A31" s="12" t="str">
        <f>IFERROR(__xludf.DUMMYFUNCTION("""COMPUTED_VALUE"""),"Henrique Coelho")</f>
        <v>Henrique Coelho</v>
      </c>
      <c r="B31" s="13" t="str">
        <f>IFERROR(__xludf.DUMMYFUNCTION("""COMPUTED_VALUE"""),"FRA")</f>
        <v>FRA</v>
      </c>
      <c r="C31" s="14">
        <f>IFERROR(__xludf.DUMMYFUNCTION("""COMPUTED_VALUE"""),696.3)</f>
        <v>696.3</v>
      </c>
      <c r="D31" s="15">
        <f>IFERROR(__xludf.DUMMYFUNCTION("""COMPUTED_VALUE"""),2.138511143755664)</f>
        <v>2.138511144</v>
      </c>
      <c r="E31" s="15">
        <f>IFERROR(__xludf.DUMMYFUNCTION("""COMPUTED_VALUE"""),1.3176533551845133)</f>
        <v>1.317653355</v>
      </c>
      <c r="F31" s="15">
        <f>IFERROR(__xludf.DUMMYFUNCTION("""COMPUTED_VALUE"""),3.4561462989401774)</f>
        <v>3.456146299</v>
      </c>
      <c r="G31" s="17">
        <f>IFERROR(__xludf.DUMMYFUNCTION("""COMPUTED_VALUE"""),1.2869811633983894)</f>
        <v>1.286981163</v>
      </c>
      <c r="H31" s="4"/>
      <c r="I31" s="5" t="s">
        <v>3252</v>
      </c>
      <c r="J31" s="5" t="s">
        <v>2201</v>
      </c>
      <c r="K31" s="24">
        <v>816.0</v>
      </c>
      <c r="L31" s="5">
        <v>3.311386</v>
      </c>
      <c r="M31" s="5">
        <v>1.05207</v>
      </c>
      <c r="N31" s="5">
        <v>4.363456</v>
      </c>
      <c r="O31" s="5">
        <v>1.584881</v>
      </c>
    </row>
    <row r="32">
      <c r="A32" s="18" t="str">
        <f>IFERROR(__xludf.DUMMYFUNCTION("""COMPUTED_VALUE"""),"Larry Taylor")</f>
        <v>Larry Taylor</v>
      </c>
      <c r="B32" s="19" t="str">
        <f>IFERROR(__xludf.DUMMYFUNCTION("""COMPUTED_VALUE"""),"MOG")</f>
        <v>MOG</v>
      </c>
      <c r="C32" s="20">
        <f>IFERROR(__xludf.DUMMYFUNCTION("""COMPUTED_VALUE"""),1108.7)</f>
        <v>1108.7</v>
      </c>
      <c r="D32" s="21">
        <f>IFERROR(__xludf.DUMMYFUNCTION("""COMPUTED_VALUE"""),1.6941930188622816)</f>
        <v>1.694193019</v>
      </c>
      <c r="E32" s="21">
        <f>IFERROR(__xludf.DUMMYFUNCTION("""COMPUTED_VALUE"""),1.6990519279540746)</f>
        <v>1.699051928</v>
      </c>
      <c r="F32" s="21">
        <f>IFERROR(__xludf.DUMMYFUNCTION("""COMPUTED_VALUE"""),3.393243046816356)</f>
        <v>3.393243047</v>
      </c>
      <c r="G32" s="23">
        <f>IFERROR(__xludf.DUMMYFUNCTION("""COMPUTED_VALUE"""),1.8244090174037921)</f>
        <v>1.824409017</v>
      </c>
      <c r="H32" s="4"/>
      <c r="I32" s="5" t="s">
        <v>3254</v>
      </c>
      <c r="J32" s="5" t="s">
        <v>3212</v>
      </c>
      <c r="K32" s="24">
        <v>580.0</v>
      </c>
      <c r="L32" s="5">
        <v>3.750552</v>
      </c>
      <c r="M32" s="5">
        <v>0.237034</v>
      </c>
      <c r="N32" s="5">
        <v>3.987586</v>
      </c>
      <c r="O32" s="5">
        <v>1.054445</v>
      </c>
    </row>
    <row r="33">
      <c r="A33" s="12" t="str">
        <f>IFERROR(__xludf.DUMMYFUNCTION("""COMPUTED_VALUE"""),"Marcus Vinicius Toledo")</f>
        <v>Marcus Vinicius Toledo</v>
      </c>
      <c r="B33" s="13" t="str">
        <f>IFERROR(__xludf.DUMMYFUNCTION("""COMPUTED_VALUE"""),"PIN")</f>
        <v>PIN</v>
      </c>
      <c r="C33" s="14">
        <f>IFERROR(__xludf.DUMMYFUNCTION("""COMPUTED_VALUE"""),329.3)</f>
        <v>329.3</v>
      </c>
      <c r="D33" s="15">
        <f>IFERROR(__xludf.DUMMYFUNCTION("""COMPUTED_VALUE"""),1.471403915050593)</f>
        <v>1.471403915</v>
      </c>
      <c r="E33" s="15">
        <f>IFERROR(__xludf.DUMMYFUNCTION("""COMPUTED_VALUE"""),1.8929275052429397)</f>
        <v>1.892927505</v>
      </c>
      <c r="F33" s="15">
        <f>IFERROR(__xludf.DUMMYFUNCTION("""COMPUTED_VALUE"""),3.364330620293533)</f>
        <v>3.36433062</v>
      </c>
      <c r="G33" s="17">
        <f>IFERROR(__xludf.DUMMYFUNCTION("""COMPUTED_VALUE"""),0.5383689348233484)</f>
        <v>0.5383689348</v>
      </c>
      <c r="H33" s="4"/>
      <c r="I33" s="5" t="s">
        <v>900</v>
      </c>
      <c r="J33" s="5" t="s">
        <v>3256</v>
      </c>
      <c r="K33" s="24">
        <v>516.0</v>
      </c>
      <c r="L33" s="5">
        <v>3.742439</v>
      </c>
      <c r="M33" s="5">
        <v>0.238245</v>
      </c>
      <c r="N33" s="5">
        <v>3.980684</v>
      </c>
      <c r="O33" s="5">
        <v>0.936448</v>
      </c>
    </row>
    <row r="34">
      <c r="A34" s="18" t="str">
        <f>IFERROR(__xludf.DUMMYFUNCTION("""COMPUTED_VALUE"""),"Jefferson William")</f>
        <v>Jefferson William</v>
      </c>
      <c r="B34" s="19" t="str">
        <f>IFERROR(__xludf.DUMMYFUNCTION("""COMPUTED_VALUE"""),"FRA")</f>
        <v>FRA</v>
      </c>
      <c r="C34" s="20">
        <f>IFERROR(__xludf.DUMMYFUNCTION("""COMPUTED_VALUE"""),353.8)</f>
        <v>353.8</v>
      </c>
      <c r="D34" s="21">
        <f>IFERROR(__xludf.DUMMYFUNCTION("""COMPUTED_VALUE"""),1.464990827328178)</f>
        <v>1.464990827</v>
      </c>
      <c r="E34" s="21">
        <f>IFERROR(__xludf.DUMMYFUNCTION("""COMPUTED_VALUE"""),1.8557777826244317)</f>
        <v>1.855777783</v>
      </c>
      <c r="F34" s="21">
        <f>IFERROR(__xludf.DUMMYFUNCTION("""COMPUTED_VALUE"""),3.32076840995261)</f>
        <v>3.32076841</v>
      </c>
      <c r="G34" s="23">
        <f>IFERROR(__xludf.DUMMYFUNCTION("""COMPUTED_VALUE"""),0.6376993407321251)</f>
        <v>0.6376993407</v>
      </c>
      <c r="H34" s="4"/>
      <c r="I34" s="5" t="s">
        <v>3258</v>
      </c>
      <c r="J34" s="5" t="s">
        <v>3233</v>
      </c>
      <c r="K34" s="24">
        <v>759.0</v>
      </c>
      <c r="L34" s="5">
        <v>4.817133</v>
      </c>
      <c r="M34" s="5">
        <v>-0.983738</v>
      </c>
      <c r="N34" s="5">
        <v>3.833395</v>
      </c>
      <c r="O34" s="5">
        <v>1.307637</v>
      </c>
    </row>
    <row r="35">
      <c r="A35" s="12" t="str">
        <f>IFERROR(__xludf.DUMMYFUNCTION("""COMPUTED_VALUE"""),"Caue de Freitas")</f>
        <v>Caue de Freitas</v>
      </c>
      <c r="B35" s="13" t="str">
        <f>IFERROR(__xludf.DUMMYFUNCTION("""COMPUTED_VALUE"""),"CAX")</f>
        <v>CAX</v>
      </c>
      <c r="C35" s="14">
        <f>IFERROR(__xludf.DUMMYFUNCTION("""COMPUTED_VALUE"""),903.2)</f>
        <v>903.2</v>
      </c>
      <c r="D35" s="15">
        <f>IFERROR(__xludf.DUMMYFUNCTION("""COMPUTED_VALUE"""),1.4251698980545788)</f>
        <v>1.425169898</v>
      </c>
      <c r="E35" s="15">
        <f>IFERROR(__xludf.DUMMYFUNCTION("""COMPUTED_VALUE"""),1.7219710363493672)</f>
        <v>1.721971036</v>
      </c>
      <c r="F35" s="15">
        <f>IFERROR(__xludf.DUMMYFUNCTION("""COMPUTED_VALUE"""),3.147124634403946)</f>
        <v>3.147124634</v>
      </c>
      <c r="G35" s="17">
        <f>IFERROR(__xludf.DUMMYFUNCTION("""COMPUTED_VALUE"""),1.406967330514157)</f>
        <v>1.406967331</v>
      </c>
      <c r="H35" s="4"/>
      <c r="I35" s="5" t="s">
        <v>3261</v>
      </c>
      <c r="J35" s="5" t="s">
        <v>2838</v>
      </c>
      <c r="K35" s="24">
        <v>625.0</v>
      </c>
      <c r="L35" s="5">
        <v>0.961712</v>
      </c>
      <c r="M35" s="5">
        <v>2.847781</v>
      </c>
      <c r="N35" s="5">
        <v>3.809493</v>
      </c>
      <c r="O35" s="5">
        <v>1.08724</v>
      </c>
    </row>
    <row r="36">
      <c r="A36" s="18" t="str">
        <f>IFERROR(__xludf.DUMMYFUNCTION("""COMPUTED_VALUE"""),"Shammell Stallworth")</f>
        <v>Shammell Stallworth</v>
      </c>
      <c r="B36" s="19" t="str">
        <f>IFERROR(__xludf.DUMMYFUNCTION("""COMPUTED_VALUE"""),"MOG")</f>
        <v>MOG</v>
      </c>
      <c r="C36" s="20">
        <f>IFERROR(__xludf.DUMMYFUNCTION("""COMPUTED_VALUE"""),1055.9)</f>
        <v>1055.9</v>
      </c>
      <c r="D36" s="21">
        <f>IFERROR(__xludf.DUMMYFUNCTION("""COMPUTED_VALUE"""),2.9621193612092336)</f>
        <v>2.962119361</v>
      </c>
      <c r="E36" s="21">
        <f>IFERROR(__xludf.DUMMYFUNCTION("""COMPUTED_VALUE"""),-0.009155993905141616)</f>
        <v>-0.009155993905</v>
      </c>
      <c r="F36" s="21">
        <f>IFERROR(__xludf.DUMMYFUNCTION("""COMPUTED_VALUE"""),2.952960967304092)</f>
        <v>2.952960967</v>
      </c>
      <c r="G36" s="23">
        <f>IFERROR(__xludf.DUMMYFUNCTION("""COMPUTED_VALUE"""),1.595680973413077)</f>
        <v>1.595680973</v>
      </c>
      <c r="H36" s="4"/>
      <c r="I36" s="5" t="s">
        <v>1059</v>
      </c>
      <c r="J36" s="5" t="s">
        <v>3263</v>
      </c>
      <c r="K36" s="24">
        <v>185.0</v>
      </c>
      <c r="L36" s="5">
        <v>1.223865</v>
      </c>
      <c r="M36" s="5">
        <v>2.421583</v>
      </c>
      <c r="N36" s="5">
        <v>3.645448</v>
      </c>
      <c r="O36" s="5">
        <v>0.314242</v>
      </c>
    </row>
    <row r="37">
      <c r="A37" s="12" t="str">
        <f>IFERROR(__xludf.DUMMYFUNCTION("""COMPUTED_VALUE"""),"Eduardo Sommer")</f>
        <v>Eduardo Sommer</v>
      </c>
      <c r="B37" s="13" t="str">
        <f>IFERROR(__xludf.DUMMYFUNCTION("""COMPUTED_VALUE"""),"PAU")</f>
        <v>PAU</v>
      </c>
      <c r="C37" s="14">
        <f>IFERROR(__xludf.DUMMYFUNCTION("""COMPUTED_VALUE"""),633.1)</f>
        <v>633.1</v>
      </c>
      <c r="D37" s="15">
        <f>IFERROR(__xludf.DUMMYFUNCTION("""COMPUTED_VALUE"""),-0.3298101153455487)</f>
        <v>-0.3298101153</v>
      </c>
      <c r="E37" s="15">
        <f>IFERROR(__xludf.DUMMYFUNCTION("""COMPUTED_VALUE"""),3.18424603174187)</f>
        <v>3.184246032</v>
      </c>
      <c r="F37" s="15">
        <f>IFERROR(__xludf.DUMMYFUNCTION("""COMPUTED_VALUE"""),2.854433416396321)</f>
        <v>2.854433416</v>
      </c>
      <c r="G37" s="17">
        <f>IFERROR(__xludf.DUMMYFUNCTION("""COMPUTED_VALUE"""),0.9345670820624034)</f>
        <v>0.9345670821</v>
      </c>
      <c r="H37" s="4"/>
      <c r="I37" s="5" t="s">
        <v>3264</v>
      </c>
      <c r="J37" s="5" t="s">
        <v>3251</v>
      </c>
      <c r="K37" s="24">
        <v>667.0</v>
      </c>
      <c r="L37" s="5">
        <v>3.584636</v>
      </c>
      <c r="M37" s="5">
        <v>-0.098471</v>
      </c>
      <c r="N37" s="5">
        <v>3.486165</v>
      </c>
      <c r="O37" s="5">
        <v>1.111848</v>
      </c>
    </row>
    <row r="38">
      <c r="A38" s="18" t="str">
        <f>IFERROR(__xludf.DUMMYFUNCTION("""COMPUTED_VALUE"""),"Andre Bresolin")</f>
        <v>Andre Bresolin</v>
      </c>
      <c r="B38" s="19" t="str">
        <f>IFERROR(__xludf.DUMMYFUNCTION("""COMPUTED_VALUE"""),"UNIV")</f>
        <v>UNIV</v>
      </c>
      <c r="C38" s="20">
        <f>IFERROR(__xludf.DUMMYFUNCTION("""COMPUTED_VALUE"""),893.0)</f>
        <v>893</v>
      </c>
      <c r="D38" s="21">
        <f>IFERROR(__xludf.DUMMYFUNCTION("""COMPUTED_VALUE"""),-0.08273271749524286)</f>
        <v>-0.0827327175</v>
      </c>
      <c r="E38" s="21">
        <f>IFERROR(__xludf.DUMMYFUNCTION("""COMPUTED_VALUE"""),2.4994919074772763)</f>
        <v>2.499491907</v>
      </c>
      <c r="F38" s="21">
        <f>IFERROR(__xludf.DUMMYFUNCTION("""COMPUTED_VALUE"""),2.4167397899820338)</f>
        <v>2.41673979</v>
      </c>
      <c r="G38" s="23">
        <f>IFERROR(__xludf.DUMMYFUNCTION("""COMPUTED_VALUE"""),1.1882266859920434)</f>
        <v>1.188226686</v>
      </c>
      <c r="H38" s="4"/>
      <c r="I38" s="5" t="s">
        <v>3266</v>
      </c>
      <c r="J38" s="5" t="s">
        <v>2838</v>
      </c>
      <c r="K38" s="5">
        <v>384.0</v>
      </c>
      <c r="L38" s="5">
        <v>3.735435</v>
      </c>
      <c r="M38" s="5">
        <v>-0.358083</v>
      </c>
      <c r="N38" s="5">
        <v>3.377352</v>
      </c>
      <c r="O38" s="5">
        <v>0.618769</v>
      </c>
    </row>
    <row r="39">
      <c r="A39" s="12" t="str">
        <f>IFERROR(__xludf.DUMMYFUNCTION("""COMPUTED_VALUE"""),"Jimmy de Oliveira")</f>
        <v>Jimmy de Oliveira</v>
      </c>
      <c r="B39" s="13" t="str">
        <f>IFERROR(__xludf.DUMMYFUNCTION("""COMPUTED_VALUE"""),"MOG")</f>
        <v>MOG</v>
      </c>
      <c r="C39" s="14">
        <f>IFERROR(__xludf.DUMMYFUNCTION("""COMPUTED_VALUE"""),1105.7)</f>
        <v>1105.7</v>
      </c>
      <c r="D39" s="15">
        <f>IFERROR(__xludf.DUMMYFUNCTION("""COMPUTED_VALUE"""),1.155055203430875)</f>
        <v>1.155055203</v>
      </c>
      <c r="E39" s="15">
        <f>IFERROR(__xludf.DUMMYFUNCTION("""COMPUTED_VALUE"""),1.04340154616872)</f>
        <v>1.043401546</v>
      </c>
      <c r="F39" s="15">
        <f>IFERROR(__xludf.DUMMYFUNCTION("""COMPUTED_VALUE"""),2.198440949599595)</f>
        <v>2.19844095</v>
      </c>
      <c r="G39" s="17">
        <f>IFERROR(__xludf.DUMMYFUNCTION("""COMPUTED_VALUE"""),1.4164065340305465)</f>
        <v>1.416406534</v>
      </c>
      <c r="H39" s="4"/>
      <c r="I39" s="5" t="s">
        <v>3268</v>
      </c>
      <c r="J39" s="5" t="s">
        <v>3223</v>
      </c>
      <c r="K39" s="24">
        <v>551.0</v>
      </c>
      <c r="L39" s="5">
        <v>2.461333</v>
      </c>
      <c r="M39" s="5">
        <v>0.890418</v>
      </c>
      <c r="N39" s="5">
        <v>3.351751</v>
      </c>
      <c r="O39" s="5">
        <v>0.896847</v>
      </c>
    </row>
    <row r="40">
      <c r="A40" s="18" t="str">
        <f>IFERROR(__xludf.DUMMYFUNCTION("""COMPUTED_VALUE"""),"Kenny Dawkins")</f>
        <v>Kenny Dawkins</v>
      </c>
      <c r="B40" s="19" t="str">
        <f>IFERROR(__xludf.DUMMYFUNCTION("""COMPUTED_VALUE"""),"UNIV")</f>
        <v>UNIV</v>
      </c>
      <c r="C40" s="20">
        <f>IFERROR(__xludf.DUMMYFUNCTION("""COMPUTED_VALUE"""),983.9)</f>
        <v>983.9</v>
      </c>
      <c r="D40" s="21">
        <f>IFERROR(__xludf.DUMMYFUNCTION("""COMPUTED_VALUE"""),1.887923217056221)</f>
        <v>1.887923217</v>
      </c>
      <c r="E40" s="21">
        <f>IFERROR(__xludf.DUMMYFUNCTION("""COMPUTED_VALUE"""),0.309605695239023)</f>
        <v>0.3096056952</v>
      </c>
      <c r="F40" s="21">
        <f>IFERROR(__xludf.DUMMYFUNCTION("""COMPUTED_VALUE"""),2.197512312295244)</f>
        <v>2.197512312</v>
      </c>
      <c r="G40" s="23">
        <f>IFERROR(__xludf.DUMMYFUNCTION("""COMPUTED_VALUE"""),1.244192766501602)</f>
        <v>1.244192767</v>
      </c>
      <c r="H40" s="4"/>
      <c r="I40" s="5" t="s">
        <v>1046</v>
      </c>
      <c r="J40" s="5" t="s">
        <v>3217</v>
      </c>
      <c r="K40" s="24">
        <v>633.0</v>
      </c>
      <c r="L40" s="5">
        <v>-0.064647</v>
      </c>
      <c r="M40" s="5">
        <v>3.374524</v>
      </c>
      <c r="N40" s="5">
        <v>3.309876</v>
      </c>
      <c r="O40" s="5">
        <v>1.011111</v>
      </c>
    </row>
    <row r="41">
      <c r="A41" s="12" t="str">
        <f>IFERROR(__xludf.DUMMYFUNCTION("""COMPUTED_VALUE"""),"Antonio Ferreira")</f>
        <v>Antonio Ferreira</v>
      </c>
      <c r="B41" s="13" t="str">
        <f>IFERROR(__xludf.DUMMYFUNCTION("""COMPUTED_VALUE"""),"FRA")</f>
        <v>FRA</v>
      </c>
      <c r="C41" s="14">
        <f>IFERROR(__xludf.DUMMYFUNCTION("""COMPUTED_VALUE"""),543.1)</f>
        <v>543.1</v>
      </c>
      <c r="D41" s="15">
        <f>IFERROR(__xludf.DUMMYFUNCTION("""COMPUTED_VALUE"""),0.3923782805442781)</f>
        <v>0.3923782805</v>
      </c>
      <c r="E41" s="15">
        <f>IFERROR(__xludf.DUMMYFUNCTION("""COMPUTED_VALUE"""),1.6013739508193157)</f>
        <v>1.601373951</v>
      </c>
      <c r="F41" s="15">
        <f>IFERROR(__xludf.DUMMYFUNCTION("""COMPUTED_VALUE"""),1.9937384313635937)</f>
        <v>1.993738431</v>
      </c>
      <c r="G41" s="17">
        <f>IFERROR(__xludf.DUMMYFUNCTION("""COMPUTED_VALUE"""),0.7347696746861678)</f>
        <v>0.7347696747</v>
      </c>
      <c r="H41" s="4"/>
      <c r="I41" s="5" t="s">
        <v>1153</v>
      </c>
      <c r="J41" s="5" t="s">
        <v>3215</v>
      </c>
      <c r="K41" s="24">
        <v>209.0</v>
      </c>
      <c r="L41" s="5">
        <v>3.973163</v>
      </c>
      <c r="M41" s="5">
        <v>-0.769295</v>
      </c>
      <c r="N41" s="5">
        <v>3.203868</v>
      </c>
      <c r="O41" s="5">
        <v>0.329617</v>
      </c>
    </row>
    <row r="42">
      <c r="A42" s="18" t="str">
        <f>IFERROR(__xludf.DUMMYFUNCTION("""COMPUTED_VALUE"""),"Wesley Ferreira")</f>
        <v>Wesley Ferreira</v>
      </c>
      <c r="B42" s="19" t="str">
        <f>IFERROR(__xludf.DUMMYFUNCTION("""COMPUTED_VALUE"""),"MIN")</f>
        <v>MIN</v>
      </c>
      <c r="C42" s="20">
        <f>IFERROR(__xludf.DUMMYFUNCTION("""COMPUTED_VALUE"""),854.8)</f>
        <v>854.8</v>
      </c>
      <c r="D42" s="21">
        <f>IFERROR(__xludf.DUMMYFUNCTION("""COMPUTED_VALUE"""),2.0833855520357094)</f>
        <v>2.083385552</v>
      </c>
      <c r="E42" s="21">
        <f>IFERROR(__xludf.DUMMYFUNCTION("""COMPUTED_VALUE"""),-0.23787560179935296)</f>
        <v>-0.2378756018</v>
      </c>
      <c r="F42" s="21">
        <f>IFERROR(__xludf.DUMMYFUNCTION("""COMPUTED_VALUE"""),1.8454964502363564)</f>
        <v>1.84549645</v>
      </c>
      <c r="G42" s="23">
        <f>IFERROR(__xludf.DUMMYFUNCTION("""COMPUTED_VALUE"""),1.0046991059850963)</f>
        <v>1.004699106</v>
      </c>
      <c r="H42" s="4"/>
      <c r="I42" s="5" t="s">
        <v>3271</v>
      </c>
      <c r="J42" s="5" t="s">
        <v>3203</v>
      </c>
      <c r="K42" s="24">
        <v>169.0</v>
      </c>
      <c r="L42" s="5">
        <v>-0.022316</v>
      </c>
      <c r="M42" s="5">
        <v>3.219429</v>
      </c>
      <c r="N42" s="5">
        <v>3.197113</v>
      </c>
      <c r="O42" s="5">
        <v>0.266026</v>
      </c>
    </row>
    <row r="43">
      <c r="A43" s="12" t="str">
        <f>IFERROR(__xludf.DUMMYFUNCTION("""COMPUTED_VALUE"""),"Ronald Ramon")</f>
        <v>Ronald Ramon</v>
      </c>
      <c r="B43" s="13" t="str">
        <f>IFERROR(__xludf.DUMMYFUNCTION("""COMPUTED_VALUE"""),"FLA")</f>
        <v>FLA</v>
      </c>
      <c r="C43" s="14">
        <f>IFERROR(__xludf.DUMMYFUNCTION("""COMPUTED_VALUE"""),985.2)</f>
        <v>985.2</v>
      </c>
      <c r="D43" s="15">
        <f>IFERROR(__xludf.DUMMYFUNCTION("""COMPUTED_VALUE"""),2.592986566355772)</f>
        <v>2.592986566</v>
      </c>
      <c r="E43" s="15">
        <f>IFERROR(__xludf.DUMMYFUNCTION("""COMPUTED_VALUE"""),-0.7711062085213052)</f>
        <v>-0.7711062085</v>
      </c>
      <c r="F43" s="15">
        <f>IFERROR(__xludf.DUMMYFUNCTION("""COMPUTED_VALUE"""),1.8218749578344666)</f>
        <v>1.821874958</v>
      </c>
      <c r="G43" s="17">
        <f>IFERROR(__xludf.DUMMYFUNCTION("""COMPUTED_VALUE"""),1.148885238156658)</f>
        <v>1.148885238</v>
      </c>
      <c r="H43" s="4"/>
      <c r="I43" s="5" t="s">
        <v>3272</v>
      </c>
      <c r="J43" s="5" t="s">
        <v>3205</v>
      </c>
      <c r="K43" s="24">
        <v>651.0</v>
      </c>
      <c r="L43" s="5">
        <v>5.35383</v>
      </c>
      <c r="M43" s="5">
        <v>-2.184378</v>
      </c>
      <c r="N43" s="5">
        <v>3.169452</v>
      </c>
      <c r="O43" s="5">
        <v>1.020423</v>
      </c>
    </row>
    <row r="44">
      <c r="A44" s="18" t="str">
        <f>IFERROR(__xludf.DUMMYFUNCTION("""COMPUTED_VALUE"""),"Didi Louzada Silva")</f>
        <v>Didi Louzada Silva</v>
      </c>
      <c r="B44" s="19" t="str">
        <f>IFERROR(__xludf.DUMMYFUNCTION("""COMPUTED_VALUE"""),"FRA")</f>
        <v>FRA</v>
      </c>
      <c r="C44" s="20">
        <f>IFERROR(__xludf.DUMMYFUNCTION("""COMPUTED_VALUE"""),248.1)</f>
        <v>248.1</v>
      </c>
      <c r="D44" s="21">
        <f>IFERROR(__xludf.DUMMYFUNCTION("""COMPUTED_VALUE"""),0.8045400369436596)</f>
        <v>0.8045400369</v>
      </c>
      <c r="E44" s="21">
        <f>IFERROR(__xludf.DUMMYFUNCTION("""COMPUTED_VALUE"""),0.992688345965586)</f>
        <v>0.992688346</v>
      </c>
      <c r="F44" s="21">
        <f>IFERROR(__xludf.DUMMYFUNCTION("""COMPUTED_VALUE"""),1.7972193829092455)</f>
        <v>1.797219383</v>
      </c>
      <c r="G44" s="23">
        <f>IFERROR(__xludf.DUMMYFUNCTION("""COMPUTED_VALUE"""),0.31914522252702704)</f>
        <v>0.3191452225</v>
      </c>
      <c r="H44" s="4"/>
      <c r="I44" s="5" t="s">
        <v>3273</v>
      </c>
      <c r="J44" s="5" t="s">
        <v>3263</v>
      </c>
      <c r="K44" s="24">
        <v>655.0</v>
      </c>
      <c r="L44" s="5">
        <v>2.297783</v>
      </c>
      <c r="M44" s="5">
        <v>0.857242</v>
      </c>
      <c r="N44" s="5">
        <v>3.155025</v>
      </c>
      <c r="O44" s="5">
        <v>1.014685</v>
      </c>
    </row>
    <row r="45">
      <c r="A45" s="12" t="str">
        <f>IFERROR(__xludf.DUMMYFUNCTION("""COMPUTED_VALUE"""),"Enzo Cafferata")</f>
        <v>Enzo Cafferata</v>
      </c>
      <c r="B45" s="13" t="str">
        <f>IFERROR(__xludf.DUMMYFUNCTION("""COMPUTED_VALUE"""),"CAX")</f>
        <v>CAX</v>
      </c>
      <c r="C45" s="14">
        <f>IFERROR(__xludf.DUMMYFUNCTION("""COMPUTED_VALUE"""),790.9)</f>
        <v>790.9</v>
      </c>
      <c r="D45" s="15">
        <f>IFERROR(__xludf.DUMMYFUNCTION("""COMPUTED_VALUE"""),2.299143031088285)</f>
        <v>2.299143031</v>
      </c>
      <c r="E45" s="15">
        <f>IFERROR(__xludf.DUMMYFUNCTION("""COMPUTED_VALUE"""),-0.5297059291565945)</f>
        <v>-0.5297059292</v>
      </c>
      <c r="F45" s="15">
        <f>IFERROR(__xludf.DUMMYFUNCTION("""COMPUTED_VALUE"""),1.7694182019316906)</f>
        <v>1.769418202</v>
      </c>
      <c r="G45" s="17">
        <f>IFERROR(__xludf.DUMMYFUNCTION("""COMPUTED_VALUE"""),0.9022676049202469)</f>
        <v>0.9022676049</v>
      </c>
      <c r="H45" s="4"/>
      <c r="I45" s="5" t="s">
        <v>3274</v>
      </c>
      <c r="J45" s="5" t="s">
        <v>3207</v>
      </c>
      <c r="K45" s="24">
        <v>715.0</v>
      </c>
      <c r="L45" s="5">
        <v>6.187436</v>
      </c>
      <c r="M45" s="5">
        <v>-3.077226</v>
      </c>
      <c r="N45" s="5">
        <v>3.11021</v>
      </c>
      <c r="O45" s="5">
        <v>1.089659</v>
      </c>
    </row>
    <row r="46">
      <c r="A46" s="18" t="str">
        <f>IFERROR(__xludf.DUMMYFUNCTION("""COMPUTED_VALUE"""),"Elinho Neto")</f>
        <v>Elinho Neto</v>
      </c>
      <c r="B46" s="19" t="str">
        <f>IFERROR(__xludf.DUMMYFUNCTION("""COMPUTED_VALUE"""),"PAU")</f>
        <v>PAU</v>
      </c>
      <c r="C46" s="20">
        <f>IFERROR(__xludf.DUMMYFUNCTION("""COMPUTED_VALUE"""),935.4)</f>
        <v>935.4</v>
      </c>
      <c r="D46" s="21">
        <f>IFERROR(__xludf.DUMMYFUNCTION("""COMPUTED_VALUE"""),0.6410057339443226)</f>
        <v>0.6410057339</v>
      </c>
      <c r="E46" s="21">
        <f>IFERROR(__xludf.DUMMYFUNCTION("""COMPUTED_VALUE"""),1.0071244387368785)</f>
        <v>1.007124439</v>
      </c>
      <c r="F46" s="21">
        <f>IFERROR(__xludf.DUMMYFUNCTION("""COMPUTED_VALUE"""),1.648123172681201)</f>
        <v>1.648123173</v>
      </c>
      <c r="G46" s="23">
        <f>IFERROR(__xludf.DUMMYFUNCTION("""COMPUTED_VALUE"""),1.03769146421195)</f>
        <v>1.037691464</v>
      </c>
      <c r="H46" s="4"/>
      <c r="I46" s="5" t="s">
        <v>3275</v>
      </c>
      <c r="J46" s="5" t="s">
        <v>3215</v>
      </c>
      <c r="K46" s="24">
        <v>272.0</v>
      </c>
      <c r="L46" s="5">
        <v>2.065216</v>
      </c>
      <c r="M46" s="5">
        <v>0.964367</v>
      </c>
      <c r="N46" s="5">
        <v>3.029583</v>
      </c>
      <c r="O46" s="5">
        <v>0.415097</v>
      </c>
    </row>
    <row r="47">
      <c r="A47" s="12" t="str">
        <f>IFERROR(__xludf.DUMMYFUNCTION("""COMPUTED_VALUE"""),"Evan Roquemore")</f>
        <v>Evan Roquemore</v>
      </c>
      <c r="B47" s="13" t="str">
        <f>IFERROR(__xludf.DUMMYFUNCTION("""COMPUTED_VALUE"""),"MIN")</f>
        <v>MIN</v>
      </c>
      <c r="C47" s="14">
        <f>IFERROR(__xludf.DUMMYFUNCTION("""COMPUTED_VALUE"""),1033.2)</f>
        <v>1033.2</v>
      </c>
      <c r="D47" s="15">
        <f>IFERROR(__xludf.DUMMYFUNCTION("""COMPUTED_VALUE"""),1.6628321994748863)</f>
        <v>1.662832199</v>
      </c>
      <c r="E47" s="15">
        <f>IFERROR(__xludf.DUMMYFUNCTION("""COMPUTED_VALUE"""),-0.01574924191978202)</f>
        <v>-0.01574924192</v>
      </c>
      <c r="F47" s="15">
        <f>IFERROR(__xludf.DUMMYFUNCTION("""COMPUTED_VALUE"""),1.6470783575551042)</f>
        <v>1.647078358</v>
      </c>
      <c r="G47" s="17">
        <f>IFERROR(__xludf.DUMMYFUNCTION("""COMPUTED_VALUE"""),1.1517135550174016)</f>
        <v>1.151713555</v>
      </c>
      <c r="H47" s="4"/>
      <c r="I47" s="5" t="s">
        <v>909</v>
      </c>
      <c r="J47" s="5" t="s">
        <v>3263</v>
      </c>
      <c r="K47" s="24">
        <v>526.0</v>
      </c>
      <c r="L47" s="5">
        <v>3.516881</v>
      </c>
      <c r="M47" s="5">
        <v>-0.684136</v>
      </c>
      <c r="N47" s="5">
        <v>2.832746</v>
      </c>
      <c r="O47" s="5">
        <v>0.763585</v>
      </c>
    </row>
    <row r="48">
      <c r="A48" s="18" t="str">
        <f>IFERROR(__xludf.DUMMYFUNCTION("""COMPUTED_VALUE"""),"Michael Uchendu")</f>
        <v>Michael Uchendu</v>
      </c>
      <c r="B48" s="19" t="str">
        <f>IFERROR(__xludf.DUMMYFUNCTION("""COMPUTED_VALUE"""),"BAU")</f>
        <v>BAU</v>
      </c>
      <c r="C48" s="20">
        <f>IFERROR(__xludf.DUMMYFUNCTION("""COMPUTED_VALUE"""),161.2)</f>
        <v>161.2</v>
      </c>
      <c r="D48" s="21">
        <f>IFERROR(__xludf.DUMMYFUNCTION("""COMPUTED_VALUE"""),2.065819940954307)</f>
        <v>2.065819941</v>
      </c>
      <c r="E48" s="21">
        <f>IFERROR(__xludf.DUMMYFUNCTION("""COMPUTED_VALUE"""),-0.5362606310056011)</f>
        <v>-0.536260631</v>
      </c>
      <c r="F48" s="21">
        <f>IFERROR(__xludf.DUMMYFUNCTION("""COMPUTED_VALUE"""),1.5295578099487062)</f>
        <v>1.52955781</v>
      </c>
      <c r="G48" s="23">
        <f>IFERROR(__xludf.DUMMYFUNCTION("""COMPUTED_VALUE"""),0.1733552291572438)</f>
        <v>0.1733552292</v>
      </c>
      <c r="H48" s="4"/>
      <c r="I48" s="5" t="s">
        <v>3276</v>
      </c>
      <c r="J48" s="5" t="s">
        <v>3229</v>
      </c>
      <c r="K48" s="24">
        <v>608.0</v>
      </c>
      <c r="L48" s="5">
        <v>2.688464</v>
      </c>
      <c r="M48" s="5">
        <v>0.142456</v>
      </c>
      <c r="N48" s="5">
        <v>2.83092</v>
      </c>
      <c r="O48" s="5">
        <v>0.927956</v>
      </c>
    </row>
    <row r="49">
      <c r="A49" s="12" t="str">
        <f>IFERROR(__xludf.DUMMYFUNCTION("""COMPUTED_VALUE"""),"Vitor Amorim")</f>
        <v>Vitor Amorim</v>
      </c>
      <c r="B49" s="13" t="str">
        <f>IFERROR(__xludf.DUMMYFUNCTION("""COMPUTED_VALUE"""),"FLA")</f>
        <v>FLA</v>
      </c>
      <c r="C49" s="14">
        <f>IFERROR(__xludf.DUMMYFUNCTION("""COMPUTED_VALUE"""),107.2)</f>
        <v>107.2</v>
      </c>
      <c r="D49" s="15">
        <f>IFERROR(__xludf.DUMMYFUNCTION("""COMPUTED_VALUE"""),0.8431462305543317)</f>
        <v>0.8431462306</v>
      </c>
      <c r="E49" s="15">
        <f>IFERROR(__xludf.DUMMYFUNCTION("""COMPUTED_VALUE"""),0.6803303996494411)</f>
        <v>0.6803303996</v>
      </c>
      <c r="F49" s="15">
        <f>IFERROR(__xludf.DUMMYFUNCTION("""COMPUTED_VALUE"""),1.5234549302037728)</f>
        <v>1.52345493</v>
      </c>
      <c r="G49" s="17">
        <f>IFERROR(__xludf.DUMMYFUNCTION("""COMPUTED_VALUE"""),0.11527071888518264)</f>
        <v>0.1152707189</v>
      </c>
      <c r="H49" s="4"/>
      <c r="I49" s="5" t="s">
        <v>3277</v>
      </c>
      <c r="J49" s="5" t="s">
        <v>3278</v>
      </c>
      <c r="K49" s="24">
        <v>815.0</v>
      </c>
      <c r="L49" s="5">
        <v>3.277836</v>
      </c>
      <c r="M49" s="5">
        <v>-0.477433</v>
      </c>
      <c r="N49" s="5">
        <v>2.800403</v>
      </c>
      <c r="O49" s="5">
        <v>1.181775</v>
      </c>
    </row>
    <row r="50">
      <c r="A50" s="18" t="str">
        <f>IFERROR(__xludf.DUMMYFUNCTION("""COMPUTED_VALUE"""),"Olivinha Rodriguez")</f>
        <v>Olivinha Rodriguez</v>
      </c>
      <c r="B50" s="19" t="str">
        <f>IFERROR(__xludf.DUMMYFUNCTION("""COMPUTED_VALUE"""),"FLA")</f>
        <v>FLA</v>
      </c>
      <c r="C50" s="20">
        <f>IFERROR(__xludf.DUMMYFUNCTION("""COMPUTED_VALUE"""),671.3)</f>
        <v>671.3</v>
      </c>
      <c r="D50" s="21">
        <f>IFERROR(__xludf.DUMMYFUNCTION("""COMPUTED_VALUE"""),1.711426443886048)</f>
        <v>1.711426444</v>
      </c>
      <c r="E50" s="21">
        <f>IFERROR(__xludf.DUMMYFUNCTION("""COMPUTED_VALUE"""),-0.3779807862705221)</f>
        <v>-0.3779807863</v>
      </c>
      <c r="F50" s="21">
        <f>IFERROR(__xludf.DUMMYFUNCTION("""COMPUTED_VALUE"""),1.3334408576155259)</f>
        <v>1.333440858</v>
      </c>
      <c r="G50" s="23">
        <f>IFERROR(__xludf.DUMMYFUNCTION("""COMPUTED_VALUE"""),0.6827884805167616)</f>
        <v>0.6827884805</v>
      </c>
      <c r="H50" s="4"/>
      <c r="I50" s="5" t="s">
        <v>3279</v>
      </c>
      <c r="J50" s="5" t="s">
        <v>3217</v>
      </c>
      <c r="K50" s="24">
        <v>837.0</v>
      </c>
      <c r="L50" s="5">
        <v>1.514834</v>
      </c>
      <c r="M50" s="5">
        <v>0.978611</v>
      </c>
      <c r="N50" s="5">
        <v>2.493444</v>
      </c>
      <c r="O50" s="5">
        <v>1.132476</v>
      </c>
    </row>
    <row r="51">
      <c r="A51" s="12" t="str">
        <f>IFERROR(__xludf.DUMMYFUNCTION("""COMPUTED_VALUE"""),"Renan Lenz")</f>
        <v>Renan Lenz</v>
      </c>
      <c r="B51" s="13" t="str">
        <f>IFERROR(__xludf.DUMMYFUNCTION("""COMPUTED_VALUE"""),"BAU")</f>
        <v>BAU</v>
      </c>
      <c r="C51" s="14">
        <f>IFERROR(__xludf.DUMMYFUNCTION("""COMPUTED_VALUE"""),591.9)</f>
        <v>591.9</v>
      </c>
      <c r="D51" s="15">
        <f>IFERROR(__xludf.DUMMYFUNCTION("""COMPUTED_VALUE"""),0.42976654020103744)</f>
        <v>0.4297665402</v>
      </c>
      <c r="E51" s="15">
        <f>IFERROR(__xludf.DUMMYFUNCTION("""COMPUTED_VALUE"""),0.9006073994364632)</f>
        <v>0.9006073994</v>
      </c>
      <c r="F51" s="15">
        <f>IFERROR(__xludf.DUMMYFUNCTION("""COMPUTED_VALUE"""),1.3303642396375006)</f>
        <v>1.33036424</v>
      </c>
      <c r="G51" s="17">
        <f>IFERROR(__xludf.DUMMYFUNCTION("""COMPUTED_VALUE"""),0.6006132932580429)</f>
        <v>0.6006132933</v>
      </c>
      <c r="H51" s="4"/>
      <c r="I51" s="5" t="s">
        <v>3280</v>
      </c>
      <c r="J51" s="5" t="s">
        <v>3281</v>
      </c>
      <c r="K51" s="5">
        <v>315.0</v>
      </c>
      <c r="L51" s="5">
        <v>-2.097568</v>
      </c>
      <c r="M51" s="5">
        <v>4.589667</v>
      </c>
      <c r="N51" s="5">
        <v>2.492099</v>
      </c>
      <c r="O51" s="5">
        <v>0.431164</v>
      </c>
    </row>
    <row r="52">
      <c r="A52" s="18" t="str">
        <f>IFERROR(__xludf.DUMMYFUNCTION("""COMPUTED_VALUE"""),"Pilar Alves")</f>
        <v>Pilar Alves</v>
      </c>
      <c r="B52" s="19" t="str">
        <f>IFERROR(__xludf.DUMMYFUNCTION("""COMPUTED_VALUE"""),"FLA")</f>
        <v>FLA</v>
      </c>
      <c r="C52" s="20">
        <f>IFERROR(__xludf.DUMMYFUNCTION("""COMPUTED_VALUE"""),229.3)</f>
        <v>229.3</v>
      </c>
      <c r="D52" s="21">
        <f>IFERROR(__xludf.DUMMYFUNCTION("""COMPUTED_VALUE"""),-0.2205120603907927)</f>
        <v>-0.2205120604</v>
      </c>
      <c r="E52" s="21">
        <f>IFERROR(__xludf.DUMMYFUNCTION("""COMPUTED_VALUE"""),1.514589653366261)</f>
        <v>1.514589653</v>
      </c>
      <c r="F52" s="21">
        <f>IFERROR(__xludf.DUMMYFUNCTION("""COMPUTED_VALUE"""),1.2940556929754685)</f>
        <v>1.294055693</v>
      </c>
      <c r="G52" s="23">
        <f>IFERROR(__xludf.DUMMYFUNCTION("""COMPUTED_VALUE"""),0.2304888865158208)</f>
        <v>0.2304888865</v>
      </c>
      <c r="H52" s="4"/>
      <c r="I52" s="5" t="s">
        <v>3282</v>
      </c>
      <c r="J52" s="5" t="s">
        <v>3283</v>
      </c>
      <c r="K52" s="24">
        <v>847.0</v>
      </c>
      <c r="L52" s="5">
        <v>5.325886</v>
      </c>
      <c r="M52" s="5">
        <v>-2.852219</v>
      </c>
      <c r="N52" s="5">
        <v>2.473667</v>
      </c>
      <c r="O52" s="5">
        <v>1.151349</v>
      </c>
    </row>
    <row r="53">
      <c r="A53" s="12" t="str">
        <f>IFERROR(__xludf.DUMMYFUNCTION("""COMPUTED_VALUE"""),"Fabricio Russo")</f>
        <v>Fabricio Russo</v>
      </c>
      <c r="B53" s="13" t="str">
        <f>IFERROR(__xludf.DUMMYFUNCTION("""COMPUTED_VALUE"""),"MOG")</f>
        <v>MOG</v>
      </c>
      <c r="C53" s="14">
        <f>IFERROR(__xludf.DUMMYFUNCTION("""COMPUTED_VALUE"""),677.2)</f>
        <v>677.2</v>
      </c>
      <c r="D53" s="15">
        <f>IFERROR(__xludf.DUMMYFUNCTION("""COMPUTED_VALUE"""),0.8017756701811947)</f>
        <v>0.8017756702</v>
      </c>
      <c r="E53" s="15">
        <f>IFERROR(__xludf.DUMMYFUNCTION("""COMPUTED_VALUE"""),0.48909275548708303)</f>
        <v>0.4890927555</v>
      </c>
      <c r="F53" s="15">
        <f>IFERROR(__xludf.DUMMYFUNCTION("""COMPUTED_VALUE"""),1.2908643256682777)</f>
        <v>1.290864326</v>
      </c>
      <c r="G53" s="17">
        <f>IFERROR(__xludf.DUMMYFUNCTION("""COMPUTED_VALUE"""),0.6799661041467556)</f>
        <v>0.6799661041</v>
      </c>
      <c r="H53" s="4"/>
      <c r="I53" s="5" t="s">
        <v>3284</v>
      </c>
      <c r="J53" s="5" t="s">
        <v>3210</v>
      </c>
      <c r="K53" s="24">
        <v>395.0</v>
      </c>
      <c r="L53" s="5">
        <v>0.379536</v>
      </c>
      <c r="M53" s="5">
        <v>2.078441</v>
      </c>
      <c r="N53" s="5">
        <v>2.457977</v>
      </c>
      <c r="O53" s="5">
        <v>0.530127</v>
      </c>
    </row>
    <row r="54">
      <c r="A54" s="18" t="str">
        <f>IFERROR(__xludf.DUMMYFUNCTION("""COMPUTED_VALUE"""),"Nate Molony-Benjamin")</f>
        <v>Nate Molony-Benjamin</v>
      </c>
      <c r="B54" s="19" t="str">
        <f>IFERROR(__xludf.DUMMYFUNCTION("""COMPUTED_VALUE"""),"CEA")</f>
        <v>CEA</v>
      </c>
      <c r="C54" s="20">
        <f>IFERROR(__xludf.DUMMYFUNCTION("""COMPUTED_VALUE"""),104.0)</f>
        <v>104</v>
      </c>
      <c r="D54" s="21">
        <f>IFERROR(__xludf.DUMMYFUNCTION("""COMPUTED_VALUE"""),-0.14768087596383617)</f>
        <v>-0.147680876</v>
      </c>
      <c r="E54" s="21">
        <f>IFERROR(__xludf.DUMMYFUNCTION("""COMPUTED_VALUE"""),1.3685203954940364)</f>
        <v>1.368520395</v>
      </c>
      <c r="F54" s="21">
        <f>IFERROR(__xludf.DUMMYFUNCTION("""COMPUTED_VALUE"""),1.2208319195302002)</f>
        <v>1.22083192</v>
      </c>
      <c r="G54" s="23">
        <f>IFERROR(__xludf.DUMMYFUNCTION("""COMPUTED_VALUE"""),0.10243581095034447)</f>
        <v>0.102435811</v>
      </c>
      <c r="H54" s="4"/>
      <c r="I54" s="5" t="s">
        <v>1199</v>
      </c>
      <c r="J54" s="5" t="s">
        <v>3263</v>
      </c>
      <c r="K54" s="24">
        <v>685.0</v>
      </c>
      <c r="L54" s="5">
        <v>3.338251</v>
      </c>
      <c r="M54" s="5">
        <v>-0.923543</v>
      </c>
      <c r="N54" s="5">
        <v>2.414708</v>
      </c>
      <c r="O54" s="5">
        <v>0.908904</v>
      </c>
    </row>
    <row r="55">
      <c r="A55" s="12" t="str">
        <f>IFERROR(__xludf.DUMMYFUNCTION("""COMPUTED_VALUE"""),"Joe Jackson")</f>
        <v>Joe Jackson</v>
      </c>
      <c r="B55" s="13" t="str">
        <f>IFERROR(__xludf.DUMMYFUNCTION("""COMPUTED_VALUE"""),"CAX")</f>
        <v>CAX</v>
      </c>
      <c r="C55" s="14">
        <f>IFERROR(__xludf.DUMMYFUNCTION("""COMPUTED_VALUE"""),280.2)</f>
        <v>280.2</v>
      </c>
      <c r="D55" s="15">
        <f>IFERROR(__xludf.DUMMYFUNCTION("""COMPUTED_VALUE"""),-1.0810853505078613)</f>
        <v>-1.081085351</v>
      </c>
      <c r="E55" s="15">
        <f>IFERROR(__xludf.DUMMYFUNCTION("""COMPUTED_VALUE"""),2.2318211921678213)</f>
        <v>2.231821192</v>
      </c>
      <c r="F55" s="15">
        <f>IFERROR(__xludf.DUMMYFUNCTION("""COMPUTED_VALUE"""),1.1507247416599602)</f>
        <v>1.150724742</v>
      </c>
      <c r="G55" s="17">
        <f>IFERROR(__xludf.DUMMYFUNCTION("""COMPUTED_VALUE"""),0.2671941866372928)</f>
        <v>0.2671941866</v>
      </c>
      <c r="H55" s="4"/>
      <c r="I55" s="5" t="s">
        <v>3285</v>
      </c>
      <c r="J55" s="5" t="s">
        <v>3223</v>
      </c>
      <c r="K55" s="24">
        <v>299.0</v>
      </c>
      <c r="L55" s="5">
        <v>2.114402</v>
      </c>
      <c r="M55" s="5">
        <v>0.266771</v>
      </c>
      <c r="N55" s="5">
        <v>2.381174</v>
      </c>
      <c r="O55" s="5">
        <v>0.39799</v>
      </c>
    </row>
    <row r="56">
      <c r="A56" s="18" t="str">
        <f>IFERROR(__xludf.DUMMYFUNCTION("""COMPUTED_VALUE"""),"Arthur Pecos")</f>
        <v>Arthur Pecos</v>
      </c>
      <c r="B56" s="19" t="str">
        <f>IFERROR(__xludf.DUMMYFUNCTION("""COMPUTED_VALUE"""),"FLA")</f>
        <v>FLA</v>
      </c>
      <c r="C56" s="20">
        <f>IFERROR(__xludf.DUMMYFUNCTION("""COMPUTED_VALUE"""),699.6)</f>
        <v>699.6</v>
      </c>
      <c r="D56" s="21">
        <f>IFERROR(__xludf.DUMMYFUNCTION("""COMPUTED_VALUE"""),0.7137590392816371)</f>
        <v>0.7137590393</v>
      </c>
      <c r="E56" s="21">
        <f>IFERROR(__xludf.DUMMYFUNCTION("""COMPUTED_VALUE"""),0.3950102298779146)</f>
        <v>0.3950102299</v>
      </c>
      <c r="F56" s="21">
        <f>IFERROR(__xludf.DUMMYFUNCTION("""COMPUTED_VALUE"""),1.1087632691595517)</f>
        <v>1.108763269</v>
      </c>
      <c r="G56" s="23">
        <f>IFERROR(__xludf.DUMMYFUNCTION("""COMPUTED_VALUE"""),0.6636133441387322)</f>
        <v>0.6636133441</v>
      </c>
      <c r="H56" s="4"/>
      <c r="I56" s="5" t="s">
        <v>3286</v>
      </c>
      <c r="J56" s="5" t="s">
        <v>3281</v>
      </c>
      <c r="K56" s="24">
        <v>447.0</v>
      </c>
      <c r="L56" s="5">
        <v>-0.709714</v>
      </c>
      <c r="M56" s="5">
        <v>3.043585</v>
      </c>
      <c r="N56" s="5">
        <v>2.333871</v>
      </c>
      <c r="O56" s="5">
        <v>0.590269</v>
      </c>
    </row>
    <row r="57">
      <c r="A57" s="12" t="str">
        <f>IFERROR(__xludf.DUMMYFUNCTION("""COMPUTED_VALUE"""),"Duda Machado")</f>
        <v>Duda Machado</v>
      </c>
      <c r="B57" s="13" t="str">
        <f>IFERROR(__xludf.DUMMYFUNCTION("""COMPUTED_VALUE"""),"BAU")</f>
        <v>BAU</v>
      </c>
      <c r="C57" s="14">
        <f>IFERROR(__xludf.DUMMYFUNCTION("""COMPUTED_VALUE"""),798.3)</f>
        <v>798.3</v>
      </c>
      <c r="D57" s="15">
        <f>IFERROR(__xludf.DUMMYFUNCTION("""COMPUTED_VALUE"""),2.6792069514740637)</f>
        <v>2.679206951</v>
      </c>
      <c r="E57" s="15">
        <f>IFERROR(__xludf.DUMMYFUNCTION("""COMPUTED_VALUE"""),-1.602312443042098)</f>
        <v>-1.602312443</v>
      </c>
      <c r="F57" s="15">
        <f>IFERROR(__xludf.DUMMYFUNCTION("""COMPUTED_VALUE"""),1.0768857084319656)</f>
        <v>1.076885708</v>
      </c>
      <c r="G57" s="17">
        <f>IFERROR(__xludf.DUMMYFUNCTION("""COMPUTED_VALUE"""),0.7483942672630763)</f>
        <v>0.7483942673</v>
      </c>
      <c r="H57" s="4"/>
      <c r="I57" s="5" t="s">
        <v>3287</v>
      </c>
      <c r="J57" s="5" t="s">
        <v>3281</v>
      </c>
      <c r="K57" s="24">
        <v>613.0</v>
      </c>
      <c r="L57" s="5">
        <v>1.212388</v>
      </c>
      <c r="M57" s="5">
        <v>1.082671</v>
      </c>
      <c r="N57" s="5">
        <v>2.29506</v>
      </c>
      <c r="O57" s="5">
        <v>0.802109</v>
      </c>
    </row>
    <row r="58">
      <c r="A58" s="18" t="str">
        <f>IFERROR(__xludf.DUMMYFUNCTION("""COMPUTED_VALUE"""),"David Cubillan")</f>
        <v>David Cubillan</v>
      </c>
      <c r="B58" s="19" t="str">
        <f>IFERROR(__xludf.DUMMYFUNCTION("""COMPUTED_VALUE"""),"FLA")</f>
        <v>FLA</v>
      </c>
      <c r="C58" s="20">
        <f>IFERROR(__xludf.DUMMYFUNCTION("""COMPUTED_VALUE"""),863.6)</f>
        <v>863.6</v>
      </c>
      <c r="D58" s="21">
        <f>IFERROR(__xludf.DUMMYFUNCTION("""COMPUTED_VALUE"""),2.592101762194807)</f>
        <v>2.592101762</v>
      </c>
      <c r="E58" s="21">
        <f>IFERROR(__xludf.DUMMYFUNCTION("""COMPUTED_VALUE"""),-1.5287371795884046)</f>
        <v>-1.52873718</v>
      </c>
      <c r="F58" s="21">
        <f>IFERROR(__xludf.DUMMYFUNCTION("""COMPUTED_VALUE"""),1.0633470826064022)</f>
        <v>1.063347083</v>
      </c>
      <c r="G58" s="23">
        <f>IFERROR(__xludf.DUMMYFUNCTION("""COMPUTED_VALUE"""),0.8072201342228931)</f>
        <v>0.8072201342</v>
      </c>
      <c r="H58" s="4"/>
      <c r="I58" s="5" t="s">
        <v>3288</v>
      </c>
      <c r="J58" s="5" t="s">
        <v>644</v>
      </c>
      <c r="K58" s="5">
        <v>590.0</v>
      </c>
      <c r="L58" s="5">
        <v>1.508431</v>
      </c>
      <c r="M58" s="5">
        <v>0.77959</v>
      </c>
      <c r="N58" s="5">
        <v>2.288021</v>
      </c>
      <c r="O58" s="5">
        <v>0.768179</v>
      </c>
    </row>
    <row r="59">
      <c r="A59" s="12" t="str">
        <f>IFERROR(__xludf.DUMMYFUNCTION("""COMPUTED_VALUE"""),"Isaac Goncalves")</f>
        <v>Isaac Goncalves</v>
      </c>
      <c r="B59" s="13" t="str">
        <f>IFERROR(__xludf.DUMMYFUNCTION("""COMPUTED_VALUE"""),"BAU")</f>
        <v>BAU</v>
      </c>
      <c r="C59" s="14">
        <f>IFERROR(__xludf.DUMMYFUNCTION("""COMPUTED_VALUE"""),859.9)</f>
        <v>859.9</v>
      </c>
      <c r="D59" s="15">
        <f>IFERROR(__xludf.DUMMYFUNCTION("""COMPUTED_VALUE"""),2.0007723429873865)</f>
        <v>2.000772343</v>
      </c>
      <c r="E59" s="15">
        <f>IFERROR(__xludf.DUMMYFUNCTION("""COMPUTED_VALUE"""),-1.034524786847094)</f>
        <v>-1.034524787</v>
      </c>
      <c r="F59" s="15">
        <f>IFERROR(__xludf.DUMMYFUNCTION("""COMPUTED_VALUE"""),0.9662354561402926)</f>
        <v>0.9662354561</v>
      </c>
      <c r="G59" s="17">
        <f>IFERROR(__xludf.DUMMYFUNCTION("""COMPUTED_VALUE"""),0.7771559640073317)</f>
        <v>0.777155964</v>
      </c>
      <c r="H59" s="4"/>
      <c r="I59" s="5" t="s">
        <v>1120</v>
      </c>
      <c r="J59" s="5" t="s">
        <v>3223</v>
      </c>
      <c r="K59" s="24">
        <v>221.0</v>
      </c>
      <c r="L59" s="5">
        <v>0.314999</v>
      </c>
      <c r="M59" s="5">
        <v>1.971491</v>
      </c>
      <c r="N59" s="5">
        <v>2.28649</v>
      </c>
      <c r="O59" s="5">
        <v>0.288296</v>
      </c>
    </row>
    <row r="60">
      <c r="A60" s="18" t="str">
        <f>IFERROR(__xludf.DUMMYFUNCTION("""COMPUTED_VALUE"""),"Alexey Borges")</f>
        <v>Alexey Borges</v>
      </c>
      <c r="B60" s="19" t="str">
        <f>IFERROR(__xludf.DUMMYFUNCTION("""COMPUTED_VALUE"""),"FRA")</f>
        <v>FRA</v>
      </c>
      <c r="C60" s="20">
        <f>IFERROR(__xludf.DUMMYFUNCTION("""COMPUTED_VALUE"""),88.0)</f>
        <v>88</v>
      </c>
      <c r="D60" s="21">
        <f>IFERROR(__xludf.DUMMYFUNCTION("""COMPUTED_VALUE"""),1.2060379646347736)</f>
        <v>1.206037965</v>
      </c>
      <c r="E60" s="21">
        <f>IFERROR(__xludf.DUMMYFUNCTION("""COMPUTED_VALUE"""),-0.355792428984313)</f>
        <v>-0.355792429</v>
      </c>
      <c r="F60" s="21">
        <f>IFERROR(__xludf.DUMMYFUNCTION("""COMPUTED_VALUE"""),0.8502258356504606)</f>
        <v>0.8502258357</v>
      </c>
      <c r="G60" s="23">
        <f>IFERROR(__xludf.DUMMYFUNCTION("""COMPUTED_VALUE"""),0.08498578182155846)</f>
        <v>0.08498578182</v>
      </c>
      <c r="H60" s="4"/>
      <c r="I60" s="5" t="s">
        <v>3289</v>
      </c>
      <c r="J60" s="5" t="s">
        <v>3212</v>
      </c>
      <c r="K60" s="24">
        <v>446.0</v>
      </c>
      <c r="L60" s="5">
        <v>0.830691</v>
      </c>
      <c r="M60" s="5">
        <v>1.379282</v>
      </c>
      <c r="N60" s="5">
        <v>2.209973</v>
      </c>
      <c r="O60" s="5">
        <v>0.569922</v>
      </c>
    </row>
    <row r="61">
      <c r="A61" s="12" t="str">
        <f>IFERROR(__xludf.DUMMYFUNCTION("""COMPUTED_VALUE"""),"Renato Carbonari")</f>
        <v>Renato Carbonari</v>
      </c>
      <c r="B61" s="13" t="str">
        <f>IFERROR(__xludf.DUMMYFUNCTION("""COMPUTED_VALUE"""),"VAS")</f>
        <v>VAS</v>
      </c>
      <c r="C61" s="14">
        <f>IFERROR(__xludf.DUMMYFUNCTION("""COMPUTED_VALUE"""),698.8)</f>
        <v>698.8</v>
      </c>
      <c r="D61" s="15">
        <f>IFERROR(__xludf.DUMMYFUNCTION("""COMPUTED_VALUE"""),1.9735585384955807)</f>
        <v>1.973558538</v>
      </c>
      <c r="E61" s="15">
        <f>IFERROR(__xludf.DUMMYFUNCTION("""COMPUTED_VALUE"""),-1.2226560381877445)</f>
        <v>-1.222656038</v>
      </c>
      <c r="F61" s="15">
        <f>IFERROR(__xludf.DUMMYFUNCTION("""COMPUTED_VALUE"""),0.7508838003078362)</f>
        <v>0.7508838003</v>
      </c>
      <c r="G61" s="17">
        <f>IFERROR(__xludf.DUMMYFUNCTION("""COMPUTED_VALUE"""),0.5831662892917014)</f>
        <v>0.5831662893</v>
      </c>
      <c r="H61" s="4"/>
      <c r="I61" s="5" t="s">
        <v>3290</v>
      </c>
      <c r="J61" s="5" t="s">
        <v>2201</v>
      </c>
      <c r="K61" s="24">
        <v>504.0</v>
      </c>
      <c r="L61" s="5">
        <v>-1.466241</v>
      </c>
      <c r="M61" s="5">
        <v>3.6389</v>
      </c>
      <c r="N61" s="5">
        <v>2.172659</v>
      </c>
      <c r="O61" s="5">
        <v>0.642405</v>
      </c>
    </row>
    <row r="62">
      <c r="A62" s="18" t="str">
        <f>IFERROR(__xludf.DUMMYFUNCTION("""COMPUTED_VALUE"""),"Deonta Stocks")</f>
        <v>Deonta Stocks</v>
      </c>
      <c r="B62" s="19" t="str">
        <f>IFERROR(__xludf.DUMMYFUNCTION("""COMPUTED_VALUE"""),"JOI")</f>
        <v>JOI</v>
      </c>
      <c r="C62" s="20">
        <f>IFERROR(__xludf.DUMMYFUNCTION("""COMPUTED_VALUE"""),960.4)</f>
        <v>960.4</v>
      </c>
      <c r="D62" s="21">
        <f>IFERROR(__xludf.DUMMYFUNCTION("""COMPUTED_VALUE"""),-1.3681281734402941)</f>
        <v>-1.368128173</v>
      </c>
      <c r="E62" s="21">
        <f>IFERROR(__xludf.DUMMYFUNCTION("""COMPUTED_VALUE"""),2.1125899068649256)</f>
        <v>2.112589907</v>
      </c>
      <c r="F62" s="21">
        <f>IFERROR(__xludf.DUMMYFUNCTION("""COMPUTED_VALUE"""),0.7444595334246316)</f>
        <v>0.7444595334</v>
      </c>
      <c r="G62" s="23">
        <f>IFERROR(__xludf.DUMMYFUNCTION("""COMPUTED_VALUE"""),0.8021180188274405)</f>
        <v>0.8021180188</v>
      </c>
      <c r="H62" s="4"/>
      <c r="I62" s="5" t="s">
        <v>3291</v>
      </c>
      <c r="J62" s="5" t="s">
        <v>3215</v>
      </c>
      <c r="K62" s="24">
        <v>754.0</v>
      </c>
      <c r="L62" s="5">
        <v>2.036048</v>
      </c>
      <c r="M62" s="5">
        <v>0.107098</v>
      </c>
      <c r="N62" s="5">
        <v>2.143147</v>
      </c>
      <c r="O62" s="5">
        <v>0.948823</v>
      </c>
    </row>
    <row r="63">
      <c r="A63" s="12" t="str">
        <f>IFERROR(__xludf.DUMMYFUNCTION("""COMPUTED_VALUE"""),"Kendall Anthony")</f>
        <v>Kendall Anthony</v>
      </c>
      <c r="B63" s="13" t="str">
        <f>IFERROR(__xludf.DUMMYFUNCTION("""COMPUTED_VALUE"""),"BAU")</f>
        <v>BAU</v>
      </c>
      <c r="C63" s="14">
        <f>IFERROR(__xludf.DUMMYFUNCTION("""COMPUTED_VALUE"""),1002.1)</f>
        <v>1002.1</v>
      </c>
      <c r="D63" s="15">
        <f>IFERROR(__xludf.DUMMYFUNCTION("""COMPUTED_VALUE"""),4.051175464862508)</f>
        <v>4.051175465</v>
      </c>
      <c r="E63" s="15">
        <f>IFERROR(__xludf.DUMMYFUNCTION("""COMPUTED_VALUE"""),-3.3288475649468725)</f>
        <v>-3.328847565</v>
      </c>
      <c r="F63" s="15">
        <f>IFERROR(__xludf.DUMMYFUNCTION("""COMPUTED_VALUE"""),0.7223065999156357)</f>
        <v>0.7223065999</v>
      </c>
      <c r="G63" s="17">
        <f>IFERROR(__xludf.DUMMYFUNCTION("""COMPUTED_VALUE"""),0.831202955811963)</f>
        <v>0.8312029558</v>
      </c>
      <c r="H63" s="4"/>
      <c r="I63" s="5" t="s">
        <v>3292</v>
      </c>
      <c r="J63" s="5" t="s">
        <v>3281</v>
      </c>
      <c r="K63" s="24">
        <v>727.0</v>
      </c>
      <c r="L63" s="5">
        <v>2.182755</v>
      </c>
      <c r="M63" s="5">
        <v>-0.049466</v>
      </c>
      <c r="N63" s="5">
        <v>2.133289</v>
      </c>
      <c r="O63" s="5">
        <v>0.916448</v>
      </c>
    </row>
    <row r="64">
      <c r="A64" s="18" t="str">
        <f>IFERROR(__xludf.DUMMYFUNCTION("""COMPUTED_VALUE"""),"Rafael Mineiro")</f>
        <v>Rafael Mineiro</v>
      </c>
      <c r="B64" s="19" t="str">
        <f>IFERROR(__xludf.DUMMYFUNCTION("""COMPUTED_VALUE"""),"LIG")</f>
        <v>LIG</v>
      </c>
      <c r="C64" s="20">
        <f>IFERROR(__xludf.DUMMYFUNCTION("""COMPUTED_VALUE"""),573.1)</f>
        <v>573.1</v>
      </c>
      <c r="D64" s="21">
        <f>IFERROR(__xludf.DUMMYFUNCTION("""COMPUTED_VALUE"""),-0.7600603424862638)</f>
        <v>-0.7600603425</v>
      </c>
      <c r="E64" s="21">
        <f>IFERROR(__xludf.DUMMYFUNCTION("""COMPUTED_VALUE"""),1.4355115342667792)</f>
        <v>1.435511534</v>
      </c>
      <c r="F64" s="21">
        <f>IFERROR(__xludf.DUMMYFUNCTION("""COMPUTED_VALUE"""),0.6754434917805154)</f>
        <v>0.6754434918</v>
      </c>
      <c r="G64" s="23">
        <f>IFERROR(__xludf.DUMMYFUNCTION("""COMPUTED_VALUE"""),0.46081100481046783)</f>
        <v>0.4608110048</v>
      </c>
      <c r="H64" s="4"/>
      <c r="I64" s="5" t="s">
        <v>3293</v>
      </c>
      <c r="J64" s="5" t="s">
        <v>3203</v>
      </c>
      <c r="K64" s="24">
        <v>651.0</v>
      </c>
      <c r="L64" s="5">
        <v>1.965802</v>
      </c>
      <c r="M64" s="5">
        <v>0.163826</v>
      </c>
      <c r="N64" s="5">
        <v>2.129628</v>
      </c>
      <c r="O64" s="5">
        <v>0.814856</v>
      </c>
    </row>
    <row r="65">
      <c r="A65" s="12" t="str">
        <f>IFERROR(__xludf.DUMMYFUNCTION("""COMPUTED_VALUE"""),"Guilherme Abreu")</f>
        <v>Guilherme Abreu</v>
      </c>
      <c r="B65" s="13" t="str">
        <f>IFERROR(__xludf.DUMMYFUNCTION("""COMPUTED_VALUE"""),"FRA")</f>
        <v>FRA</v>
      </c>
      <c r="C65" s="14">
        <f>IFERROR(__xludf.DUMMYFUNCTION("""COMPUTED_VALUE"""),28.0)</f>
        <v>28</v>
      </c>
      <c r="D65" s="15">
        <f>IFERROR(__xludf.DUMMYFUNCTION("""COMPUTED_VALUE"""),0.552768374497503)</f>
        <v>0.5527683745</v>
      </c>
      <c r="E65" s="15">
        <f>IFERROR(__xludf.DUMMYFUNCTION("""COMPUTED_VALUE"""),0.009611662327938605)</f>
        <v>0.009611662328</v>
      </c>
      <c r="F65" s="15">
        <f>IFERROR(__xludf.DUMMYFUNCTION("""COMPUTED_VALUE"""),0.5623575368254417)</f>
        <v>0.5623575368</v>
      </c>
      <c r="G65" s="17">
        <f>IFERROR(__xludf.DUMMYFUNCTION("""COMPUTED_VALUE"""),0.024326704278832104)</f>
        <v>0.02432670428</v>
      </c>
      <c r="H65" s="4"/>
      <c r="I65" s="5" t="s">
        <v>3294</v>
      </c>
      <c r="J65" s="5" t="s">
        <v>3283</v>
      </c>
      <c r="K65" s="24">
        <v>275.0</v>
      </c>
      <c r="L65" s="5">
        <v>3.148509</v>
      </c>
      <c r="M65" s="5">
        <v>-1.083142</v>
      </c>
      <c r="N65" s="5">
        <v>2.065367</v>
      </c>
      <c r="O65" s="5">
        <v>0.339163</v>
      </c>
    </row>
    <row r="66">
      <c r="A66" s="18" t="str">
        <f>IFERROR(__xludf.DUMMYFUNCTION("""COMPUTED_VALUE"""),"Sualisson Da Silva")</f>
        <v>Sualisson Da Silva</v>
      </c>
      <c r="B66" s="19" t="str">
        <f>IFERROR(__xludf.DUMMYFUNCTION("""COMPUTED_VALUE"""),"CEA")</f>
        <v>CEA</v>
      </c>
      <c r="C66" s="20">
        <f>IFERROR(__xludf.DUMMYFUNCTION("""COMPUTED_VALUE"""),518.1)</f>
        <v>518.1</v>
      </c>
      <c r="D66" s="21">
        <f>IFERROR(__xludf.DUMMYFUNCTION("""COMPUTED_VALUE"""),-0.3059180196964986)</f>
        <v>-0.3059180197</v>
      </c>
      <c r="E66" s="21">
        <f>IFERROR(__xludf.DUMMYFUNCTION("""COMPUTED_VALUE"""),0.8463686135235438)</f>
        <v>0.8463686135</v>
      </c>
      <c r="F66" s="21">
        <f>IFERROR(__xludf.DUMMYFUNCTION("""COMPUTED_VALUE"""),0.5404337938270452)</f>
        <v>0.5404337938</v>
      </c>
      <c r="G66" s="23">
        <f>IFERROR(__xludf.DUMMYFUNCTION("""COMPUTED_VALUE"""),0.40249249584199653)</f>
        <v>0.4024924958</v>
      </c>
      <c r="H66" s="4"/>
      <c r="I66" s="5" t="s">
        <v>3295</v>
      </c>
      <c r="J66" s="5" t="s">
        <v>3226</v>
      </c>
      <c r="K66" s="24">
        <v>216.0</v>
      </c>
      <c r="L66" s="5">
        <v>1.177333</v>
      </c>
      <c r="M66" s="5">
        <v>0.868176</v>
      </c>
      <c r="N66" s="5">
        <v>2.045509</v>
      </c>
      <c r="O66" s="5">
        <v>0.266886</v>
      </c>
    </row>
    <row r="67">
      <c r="A67" s="12" t="str">
        <f>IFERROR(__xludf.DUMMYFUNCTION("""COMPUTED_VALUE"""),"Luis Gustavo")</f>
        <v>Luis Gustavo</v>
      </c>
      <c r="B67" s="13" t="str">
        <f>IFERROR(__xludf.DUMMYFUNCTION("""COMPUTED_VALUE"""),"VAS")</f>
        <v>VAS</v>
      </c>
      <c r="C67" s="14">
        <f>IFERROR(__xludf.DUMMYFUNCTION("""COMPUTED_VALUE"""),820.7)</f>
        <v>820.7</v>
      </c>
      <c r="D67" s="15">
        <f>IFERROR(__xludf.DUMMYFUNCTION("""COMPUTED_VALUE"""),2.3104963240262806)</f>
        <v>2.310496324</v>
      </c>
      <c r="E67" s="15">
        <f>IFERROR(__xludf.DUMMYFUNCTION("""COMPUTED_VALUE"""),-1.7914920533282601)</f>
        <v>-1.791492053</v>
      </c>
      <c r="F67" s="15">
        <f>IFERROR(__xludf.DUMMYFUNCTION("""COMPUTED_VALUE"""),0.5189924706980205)</f>
        <v>0.5189924707</v>
      </c>
      <c r="G67" s="17">
        <f>IFERROR(__xludf.DUMMYFUNCTION("""COMPUTED_VALUE"""),0.6271520074281747)</f>
        <v>0.6271520074</v>
      </c>
      <c r="H67" s="4"/>
      <c r="I67" s="5" t="s">
        <v>3296</v>
      </c>
      <c r="J67" s="5" t="s">
        <v>3283</v>
      </c>
      <c r="K67" s="24">
        <v>868.0</v>
      </c>
      <c r="L67" s="5">
        <v>0.716895</v>
      </c>
      <c r="M67" s="5">
        <v>1.256238</v>
      </c>
      <c r="N67" s="5">
        <v>1.973133</v>
      </c>
      <c r="O67" s="5">
        <v>1.047639</v>
      </c>
    </row>
    <row r="68">
      <c r="A68" s="18" t="str">
        <f>IFERROR(__xludf.DUMMYFUNCTION("""COMPUTED_VALUE"""),"Lupa Santos")</f>
        <v>Lupa Santos</v>
      </c>
      <c r="B68" s="19" t="str">
        <f>IFERROR(__xludf.DUMMYFUNCTION("""COMPUTED_VALUE"""),"PIN")</f>
        <v>PIN</v>
      </c>
      <c r="C68" s="20">
        <f>IFERROR(__xludf.DUMMYFUNCTION("""COMPUTED_VALUE"""),499.8)</f>
        <v>499.8</v>
      </c>
      <c r="D68" s="21">
        <f>IFERROR(__xludf.DUMMYFUNCTION("""COMPUTED_VALUE"""),-2.1355501151136296)</f>
        <v>-2.135550115</v>
      </c>
      <c r="E68" s="21">
        <f>IFERROR(__xludf.DUMMYFUNCTION("""COMPUTED_VALUE"""),2.449327519471964)</f>
        <v>2.449327519</v>
      </c>
      <c r="F68" s="21">
        <f>IFERROR(__xludf.DUMMYFUNCTION("""COMPUTED_VALUE"""),0.31377390435833424)</f>
        <v>0.3137739044</v>
      </c>
      <c r="G68" s="23">
        <f>IFERROR(__xludf.DUMMYFUNCTION("""COMPUTED_VALUE"""),0.35244679234224485)</f>
        <v>0.3524467923</v>
      </c>
      <c r="H68" s="4"/>
      <c r="I68" s="5" t="s">
        <v>1151</v>
      </c>
      <c r="J68" s="5" t="s">
        <v>3256</v>
      </c>
      <c r="K68" s="5">
        <v>466.0</v>
      </c>
      <c r="L68" s="5">
        <v>0.755282</v>
      </c>
      <c r="M68" s="5">
        <v>1.15204</v>
      </c>
      <c r="N68" s="5">
        <v>1.907322</v>
      </c>
      <c r="O68" s="5">
        <v>0.552272</v>
      </c>
    </row>
    <row r="69">
      <c r="A69" s="12" t="str">
        <f>IFERROR(__xludf.DUMMYFUNCTION("""COMPUTED_VALUE"""),"Ralfi Ansaloni")</f>
        <v>Ralfi Ansaloni</v>
      </c>
      <c r="B69" s="13" t="str">
        <f>IFERROR(__xludf.DUMMYFUNCTION("""COMPUTED_VALUE"""),"PIN")</f>
        <v>PIN</v>
      </c>
      <c r="C69" s="14">
        <f>IFERROR(__xludf.DUMMYFUNCTION("""COMPUTED_VALUE"""),692.8)</f>
        <v>692.8</v>
      </c>
      <c r="D69" s="15">
        <f>IFERROR(__xludf.DUMMYFUNCTION("""COMPUTED_VALUE"""),-0.9873381026177119)</f>
        <v>-0.9873381026</v>
      </c>
      <c r="E69" s="15">
        <f>IFERROR(__xludf.DUMMYFUNCTION("""COMPUTED_VALUE"""),1.2011330368440118)</f>
        <v>1.201133037</v>
      </c>
      <c r="F69" s="15">
        <f>IFERROR(__xludf.DUMMYFUNCTION("""COMPUTED_VALUE"""),0.2137735342262998)</f>
        <v>0.2137735342</v>
      </c>
      <c r="G69" s="17">
        <f>IFERROR(__xludf.DUMMYFUNCTION("""COMPUTED_VALUE"""),0.46744770506279243)</f>
        <v>0.4674477051</v>
      </c>
      <c r="H69" s="4"/>
      <c r="I69" s="5" t="s">
        <v>3297</v>
      </c>
      <c r="J69" s="5" t="s">
        <v>3256</v>
      </c>
      <c r="K69" s="24">
        <v>352.0</v>
      </c>
      <c r="L69" s="5">
        <v>2.142986</v>
      </c>
      <c r="M69" s="5">
        <v>-0.236418</v>
      </c>
      <c r="N69" s="5">
        <v>1.906568</v>
      </c>
      <c r="O69" s="5">
        <v>0.417236</v>
      </c>
    </row>
    <row r="70">
      <c r="A70" s="18" t="str">
        <f>IFERROR(__xludf.DUMMYFUNCTION("""COMPUTED_VALUE"""),"Guilherme Santos")</f>
        <v>Guilherme Santos</v>
      </c>
      <c r="B70" s="19" t="str">
        <f>IFERROR(__xludf.DUMMYFUNCTION("""COMPUTED_VALUE"""),"BAU")</f>
        <v>BAU</v>
      </c>
      <c r="C70" s="20">
        <f>IFERROR(__xludf.DUMMYFUNCTION("""COMPUTED_VALUE"""),37.0)</f>
        <v>37</v>
      </c>
      <c r="D70" s="21">
        <f>IFERROR(__xludf.DUMMYFUNCTION("""COMPUTED_VALUE"""),0.25595290084039257)</f>
        <v>0.2559529008</v>
      </c>
      <c r="E70" s="21">
        <f>IFERROR(__xludf.DUMMYFUNCTION("""COMPUTED_VALUE"""),-0.12365549180429299)</f>
        <v>-0.1236554918</v>
      </c>
      <c r="F70" s="21">
        <f>IFERROR(__xludf.DUMMYFUNCTION("""COMPUTED_VALUE"""),0.13229380903609958)</f>
        <v>0.132293809</v>
      </c>
      <c r="G70" s="23">
        <f>IFERROR(__xludf.DUMMYFUNCTION("""COMPUTED_VALUE"""),0.024041505395533597)</f>
        <v>0.0240415054</v>
      </c>
      <c r="H70" s="4"/>
      <c r="I70" s="5" t="s">
        <v>3298</v>
      </c>
      <c r="J70" s="5" t="s">
        <v>3256</v>
      </c>
      <c r="K70" s="24">
        <v>557.0</v>
      </c>
      <c r="L70" s="5">
        <v>-0.896476</v>
      </c>
      <c r="M70" s="5">
        <v>2.717459</v>
      </c>
      <c r="N70" s="5">
        <v>1.820983</v>
      </c>
      <c r="O70" s="5">
        <v>0.64618</v>
      </c>
    </row>
    <row r="71">
      <c r="A71" s="12" t="str">
        <f>IFERROR(__xludf.DUMMYFUNCTION("""COMPUTED_VALUE"""),"Marcelo Roque")</f>
        <v>Marcelo Roque</v>
      </c>
      <c r="B71" s="13" t="str">
        <f>IFERROR(__xludf.DUMMYFUNCTION("""COMPUTED_VALUE"""),"UNIV")</f>
        <v>UNIV</v>
      </c>
      <c r="C71" s="14">
        <f>IFERROR(__xludf.DUMMYFUNCTION("""COMPUTED_VALUE"""),11.0)</f>
        <v>11</v>
      </c>
      <c r="D71" s="15">
        <f>IFERROR(__xludf.DUMMYFUNCTION("""COMPUTED_VALUE"""),0.08695151246434854)</f>
        <v>0.08695151246</v>
      </c>
      <c r="E71" s="15">
        <f>IFERROR(__xludf.DUMMYFUNCTION("""COMPUTED_VALUE"""),0.044451044544572)</f>
        <v>0.04445104454</v>
      </c>
      <c r="F71" s="15">
        <f>IFERROR(__xludf.DUMMYFUNCTION("""COMPUTED_VALUE"""),0.13139785700892054)</f>
        <v>0.131397857</v>
      </c>
      <c r="G71" s="17">
        <f>IFERROR(__xludf.DUMMYFUNCTION("""COMPUTED_VALUE"""),0.007067812902053979)</f>
        <v>0.007067812902</v>
      </c>
      <c r="H71" s="4"/>
      <c r="I71" s="5" t="s">
        <v>3299</v>
      </c>
      <c r="J71" s="5" t="s">
        <v>2201</v>
      </c>
      <c r="K71" s="24">
        <v>649.0</v>
      </c>
      <c r="L71" s="5">
        <v>3.939797</v>
      </c>
      <c r="M71" s="5">
        <v>-2.16439</v>
      </c>
      <c r="N71" s="5">
        <v>1.775406</v>
      </c>
      <c r="O71" s="5">
        <v>0.748206</v>
      </c>
    </row>
    <row r="72">
      <c r="A72" s="18" t="str">
        <f>IFERROR(__xludf.DUMMYFUNCTION("""COMPUTED_VALUE"""),"Solano Vierira")</f>
        <v>Solano Vierira</v>
      </c>
      <c r="B72" s="19" t="str">
        <f>IFERROR(__xludf.DUMMYFUNCTION("""COMPUTED_VALUE"""),"MOUR")</f>
        <v>MOUR</v>
      </c>
      <c r="C72" s="20">
        <f>IFERROR(__xludf.DUMMYFUNCTION("""COMPUTED_VALUE"""),6.0)</f>
        <v>6</v>
      </c>
      <c r="D72" s="21">
        <f>IFERROR(__xludf.DUMMYFUNCTION("""COMPUTED_VALUE"""),0.3508006189211459)</f>
        <v>0.3508006189</v>
      </c>
      <c r="E72" s="21">
        <f>IFERROR(__xludf.DUMMYFUNCTION("""COMPUTED_VALUE"""),-0.3109365076515733)</f>
        <v>-0.3109365077</v>
      </c>
      <c r="F72" s="21">
        <f>IFERROR(__xludf.DUMMYFUNCTION("""COMPUTED_VALUE"""),0.03986321126957255)</f>
        <v>0.03986321127</v>
      </c>
      <c r="G72" s="23">
        <f>IFERROR(__xludf.DUMMYFUNCTION("""COMPUTED_VALUE"""),0.003707141415583352)</f>
        <v>0.003707141416</v>
      </c>
      <c r="H72" s="4"/>
      <c r="I72" s="5" t="s">
        <v>3300</v>
      </c>
      <c r="J72" s="5" t="s">
        <v>3237</v>
      </c>
      <c r="K72" s="24">
        <v>628.0</v>
      </c>
      <c r="L72" s="5">
        <v>-0.081297</v>
      </c>
      <c r="M72" s="5">
        <v>1.837528</v>
      </c>
      <c r="N72" s="5">
        <v>1.756231</v>
      </c>
      <c r="O72" s="5">
        <v>0.795599</v>
      </c>
    </row>
    <row r="73">
      <c r="A73" s="12" t="str">
        <f>IFERROR(__xludf.DUMMYFUNCTION("""COMPUTED_VALUE"""),"Tiago Dias")</f>
        <v>Tiago Dias</v>
      </c>
      <c r="B73" s="13" t="str">
        <f>IFERROR(__xludf.DUMMYFUNCTION("""COMPUTED_VALUE"""),"MIN")</f>
        <v>MIN</v>
      </c>
      <c r="C73" s="14">
        <f>IFERROR(__xludf.DUMMYFUNCTION("""COMPUTED_VALUE"""),1.9)</f>
        <v>1.9</v>
      </c>
      <c r="D73" s="15">
        <f>IFERROR(__xludf.DUMMYFUNCTION("""COMPUTED_VALUE"""),0.07526027743752726)</f>
        <v>0.07526027744</v>
      </c>
      <c r="E73" s="15">
        <f>IFERROR(__xludf.DUMMYFUNCTION("""COMPUTED_VALUE"""),-0.049732081456476576)</f>
        <v>-0.04973208146</v>
      </c>
      <c r="F73" s="15">
        <f>IFERROR(__xludf.DUMMYFUNCTION("""COMPUTED_VALUE"""),0.02551309598105069)</f>
        <v>0.02551309598</v>
      </c>
      <c r="G73" s="17">
        <f>IFERROR(__xludf.DUMMYFUNCTION("""COMPUTED_VALUE"""),0.0011913561532991006)</f>
        <v>0.001191356153</v>
      </c>
      <c r="H73" s="4"/>
      <c r="I73" s="5" t="s">
        <v>1028</v>
      </c>
      <c r="J73" s="5" t="s">
        <v>3263</v>
      </c>
      <c r="K73" s="5">
        <v>599.0</v>
      </c>
      <c r="L73" s="5">
        <v>0.301502</v>
      </c>
      <c r="M73" s="5">
        <v>1.454015</v>
      </c>
      <c r="N73" s="5">
        <v>1.755517</v>
      </c>
      <c r="O73" s="5">
        <v>0.675553</v>
      </c>
    </row>
    <row r="74">
      <c r="A74" s="18" t="str">
        <f>IFERROR(__xludf.DUMMYFUNCTION("""COMPUTED_VALUE"""),"Humberto Gomes")</f>
        <v>Humberto Gomes</v>
      </c>
      <c r="B74" s="19" t="str">
        <f>IFERROR(__xludf.DUMMYFUNCTION("""COMPUTED_VALUE"""),"FLA")</f>
        <v>FLA</v>
      </c>
      <c r="C74" s="20">
        <f>IFERROR(__xludf.DUMMYFUNCTION("""COMPUTED_VALUE"""),85.0)</f>
        <v>85</v>
      </c>
      <c r="D74" s="21">
        <f>IFERROR(__xludf.DUMMYFUNCTION("""COMPUTED_VALUE"""),-0.4582303330955838)</f>
        <v>-0.4582303331</v>
      </c>
      <c r="E74" s="21">
        <f>IFERROR(__xludf.DUMMYFUNCTION("""COMPUTED_VALUE"""),0.4681400627383255)</f>
        <v>0.4681400627</v>
      </c>
      <c r="F74" s="21">
        <f>IFERROR(__xludf.DUMMYFUNCTION("""COMPUTED_VALUE"""),0.00989752964274164)</f>
        <v>0.009897529643</v>
      </c>
      <c r="G74" s="23">
        <f>IFERROR(__xludf.DUMMYFUNCTION("""COMPUTED_VALUE"""),0.05213966112122412)</f>
        <v>0.05213966112</v>
      </c>
      <c r="H74" s="4"/>
      <c r="I74" s="5" t="s">
        <v>3301</v>
      </c>
      <c r="J74" s="5" t="s">
        <v>2838</v>
      </c>
      <c r="K74" s="24">
        <v>675.0</v>
      </c>
      <c r="L74" s="5">
        <v>-0.220423</v>
      </c>
      <c r="M74" s="5">
        <v>1.930718</v>
      </c>
      <c r="N74" s="5">
        <v>1.710295</v>
      </c>
      <c r="O74" s="5">
        <v>0.750399</v>
      </c>
    </row>
    <row r="75">
      <c r="A75" s="12" t="str">
        <f>IFERROR(__xludf.DUMMYFUNCTION("""COMPUTED_VALUE"""),"Joao Marcos Ramos")</f>
        <v>Joao Marcos Ramos</v>
      </c>
      <c r="B75" s="13" t="str">
        <f>IFERROR(__xludf.DUMMYFUNCTION("""COMPUTED_VALUE"""),"BAU")</f>
        <v>BAU</v>
      </c>
      <c r="C75" s="14">
        <f>IFERROR(__xludf.DUMMYFUNCTION("""COMPUTED_VALUE"""),4.0)</f>
        <v>4</v>
      </c>
      <c r="D75" s="15">
        <f>IFERROR(__xludf.DUMMYFUNCTION("""COMPUTED_VALUE"""),0.07817788852980544)</f>
        <v>0.07817788853</v>
      </c>
      <c r="E75" s="15">
        <f>IFERROR(__xludf.DUMMYFUNCTION("""COMPUTED_VALUE"""),-0.0712181395239442)</f>
        <v>-0.07121813952</v>
      </c>
      <c r="F75" s="15">
        <f>IFERROR(__xludf.DUMMYFUNCTION("""COMPUTED_VALUE"""),0.006951349005861241)</f>
        <v>0.006951349006</v>
      </c>
      <c r="G75" s="17">
        <f>IFERROR(__xludf.DUMMYFUNCTION("""COMPUTED_VALUE"""),0.0024543337388862226)</f>
        <v>0.002454333739</v>
      </c>
      <c r="H75" s="4"/>
      <c r="I75" s="5" t="s">
        <v>3302</v>
      </c>
      <c r="J75" s="5" t="s">
        <v>3212</v>
      </c>
      <c r="K75" s="5">
        <v>524.0</v>
      </c>
      <c r="L75" s="5">
        <v>0.42604</v>
      </c>
      <c r="M75" s="5">
        <v>1.241936</v>
      </c>
      <c r="N75" s="5">
        <v>1.667976</v>
      </c>
      <c r="O75" s="5">
        <v>0.583672</v>
      </c>
    </row>
    <row r="76">
      <c r="A76" s="18" t="str">
        <f>IFERROR(__xludf.DUMMYFUNCTION("""COMPUTED_VALUE"""),"M.J. Rhett")</f>
        <v>M.J. Rhett</v>
      </c>
      <c r="B76" s="19" t="str">
        <f>IFERROR(__xludf.DUMMYFUNCTION("""COMPUTED_VALUE"""),"FLA")</f>
        <v>FLA</v>
      </c>
      <c r="C76" s="20">
        <f>IFERROR(__xludf.DUMMYFUNCTION("""COMPUTED_VALUE"""),460.4)</f>
        <v>460.4</v>
      </c>
      <c r="D76" s="21">
        <f>IFERROR(__xludf.DUMMYFUNCTION("""COMPUTED_VALUE"""),-0.4419100647818012)</f>
        <v>-0.4419100648</v>
      </c>
      <c r="E76" s="21">
        <f>IFERROR(__xludf.DUMMYFUNCTION("""COMPUTED_VALUE"""),0.43333445595294956)</f>
        <v>0.433334456</v>
      </c>
      <c r="F76" s="21">
        <f>IFERROR(__xludf.DUMMYFUNCTION("""COMPUTED_VALUE"""),-0.008580808828851632)</f>
        <v>-0.008580808829</v>
      </c>
      <c r="G76" s="23">
        <f>IFERROR(__xludf.DUMMYFUNCTION("""COMPUTED_VALUE"""),0.2797562556052148)</f>
        <v>0.2797562556</v>
      </c>
      <c r="H76" s="4"/>
      <c r="I76" s="5" t="s">
        <v>3303</v>
      </c>
      <c r="J76" s="5" t="s">
        <v>3223</v>
      </c>
      <c r="K76" s="24">
        <v>170.0</v>
      </c>
      <c r="L76" s="5">
        <v>0.864701</v>
      </c>
      <c r="M76" s="5">
        <v>0.784528</v>
      </c>
      <c r="N76" s="5">
        <v>1.649229</v>
      </c>
      <c r="O76" s="5">
        <v>0.18843</v>
      </c>
    </row>
    <row r="77">
      <c r="A77" s="12" t="str">
        <f>IFERROR(__xludf.DUMMYFUNCTION("""COMPUTED_VALUE"""),"Felipe Queiroz")</f>
        <v>Felipe Queiroz</v>
      </c>
      <c r="B77" s="13" t="str">
        <f>IFERROR(__xludf.DUMMYFUNCTION("""COMPUTED_VALUE"""),"FRA")</f>
        <v>FRA</v>
      </c>
      <c r="C77" s="14">
        <f>IFERROR(__xludf.DUMMYFUNCTION("""COMPUTED_VALUE"""),1.0)</f>
        <v>1</v>
      </c>
      <c r="D77" s="15">
        <f>IFERROR(__xludf.DUMMYFUNCTION("""COMPUTED_VALUE"""),-0.014253378049826414)</f>
        <v>-0.01425337805</v>
      </c>
      <c r="E77" s="15">
        <f>IFERROR(__xludf.DUMMYFUNCTION("""COMPUTED_VALUE"""),0.004842269835304468)</f>
        <v>0.004842269835</v>
      </c>
      <c r="F77" s="15">
        <f>IFERROR(__xludf.DUMMYFUNCTION("""COMPUTED_VALUE"""),-0.009416608214521947)</f>
        <v>-0.009416608215</v>
      </c>
      <c r="G77" s="17">
        <f>IFERROR(__xludf.DUMMYFUNCTION("""COMPUTED_VALUE"""),6.798168671360021E-4)</f>
        <v>0.0006798168671</v>
      </c>
      <c r="H77" s="4"/>
      <c r="I77" s="5" t="s">
        <v>3304</v>
      </c>
      <c r="J77" s="5" t="s">
        <v>3220</v>
      </c>
      <c r="K77" s="24">
        <v>568.0</v>
      </c>
      <c r="L77" s="5">
        <v>-0.879916</v>
      </c>
      <c r="M77" s="5">
        <v>2.506278</v>
      </c>
      <c r="N77" s="5">
        <v>1.626362</v>
      </c>
      <c r="O77" s="5">
        <v>0.63257</v>
      </c>
    </row>
    <row r="78">
      <c r="A78" s="18" t="str">
        <f>IFERROR(__xludf.DUMMYFUNCTION("""COMPUTED_VALUE"""),"Danilo Monteiro")</f>
        <v>Danilo Monteiro</v>
      </c>
      <c r="B78" s="19" t="str">
        <f>IFERROR(__xludf.DUMMYFUNCTION("""COMPUTED_VALUE"""),"FLA")</f>
        <v>FLA</v>
      </c>
      <c r="C78" s="20">
        <f>IFERROR(__xludf.DUMMYFUNCTION("""COMPUTED_VALUE"""),1.0)</f>
        <v>1</v>
      </c>
      <c r="D78" s="21">
        <f>IFERROR(__xludf.DUMMYFUNCTION("""COMPUTED_VALUE"""),-0.012562935152521652)</f>
        <v>-0.01256293515</v>
      </c>
      <c r="E78" s="21">
        <f>IFERROR(__xludf.DUMMYFUNCTION("""COMPUTED_VALUE"""),0.0016237460156618086)</f>
        <v>0.001623746016</v>
      </c>
      <c r="F78" s="21">
        <f>IFERROR(__xludf.DUMMYFUNCTION("""COMPUTED_VALUE"""),-0.010946689136859844)</f>
        <v>-0.01094668914</v>
      </c>
      <c r="G78" s="23">
        <f>IFERROR(__xludf.DUMMYFUNCTION("""COMPUTED_VALUE"""),6.144042157088902E-4)</f>
        <v>0.0006144042157</v>
      </c>
      <c r="H78" s="4"/>
      <c r="I78" s="5" t="s">
        <v>3305</v>
      </c>
      <c r="J78" s="5" t="s">
        <v>2838</v>
      </c>
      <c r="K78" s="24">
        <v>376.0</v>
      </c>
      <c r="L78" s="5">
        <v>0.615392</v>
      </c>
      <c r="M78" s="5">
        <v>1.004968</v>
      </c>
      <c r="N78" s="5">
        <v>1.62036</v>
      </c>
      <c r="O78" s="5">
        <v>0.408024</v>
      </c>
    </row>
    <row r="79">
      <c r="A79" s="12" t="str">
        <f>IFERROR(__xludf.DUMMYFUNCTION("""COMPUTED_VALUE"""),"Vitor Pinto")</f>
        <v>Vitor Pinto</v>
      </c>
      <c r="B79" s="13" t="str">
        <f>IFERROR(__xludf.DUMMYFUNCTION("""COMPUTED_VALUE"""),"PIN")</f>
        <v>PIN</v>
      </c>
      <c r="C79" s="14">
        <f>IFERROR(__xludf.DUMMYFUNCTION("""COMPUTED_VALUE"""),1.0)</f>
        <v>1</v>
      </c>
      <c r="D79" s="15">
        <f>IFERROR(__xludf.DUMMYFUNCTION("""COMPUTED_VALUE"""),-0.01722770117908641)</f>
        <v>-0.01722770118</v>
      </c>
      <c r="E79" s="15">
        <f>IFERROR(__xludf.DUMMYFUNCTION("""COMPUTED_VALUE"""),0.0012533172966700727)</f>
        <v>0.001253317297</v>
      </c>
      <c r="F79" s="15">
        <f>IFERROR(__xludf.DUMMYFUNCTION("""COMPUTED_VALUE"""),-0.015979983882416338)</f>
        <v>-0.01597998388</v>
      </c>
      <c r="G79" s="17">
        <f>IFERROR(__xludf.DUMMYFUNCTION("""COMPUTED_VALUE"""),6.102695910778817E-4)</f>
        <v>0.0006102695911</v>
      </c>
      <c r="H79" s="4"/>
      <c r="I79" s="5" t="s">
        <v>3306</v>
      </c>
      <c r="J79" s="5" t="s">
        <v>3278</v>
      </c>
      <c r="K79" s="5">
        <v>447.0</v>
      </c>
      <c r="L79" s="5">
        <v>-1.933744</v>
      </c>
      <c r="M79" s="5">
        <v>3.466984</v>
      </c>
      <c r="N79" s="5">
        <v>1.53324</v>
      </c>
      <c r="O79" s="5">
        <v>0.476417</v>
      </c>
    </row>
    <row r="80">
      <c r="A80" s="18" t="str">
        <f>IFERROR(__xludf.DUMMYFUNCTION("""COMPUTED_VALUE"""),"Samuel Cezar Ferreira Dos Santos")</f>
        <v>Samuel Cezar Ferreira Dos Santos</v>
      </c>
      <c r="B80" s="19" t="str">
        <f>IFERROR(__xludf.DUMMYFUNCTION("""COMPUTED_VALUE"""),"BAU")</f>
        <v>BAU</v>
      </c>
      <c r="C80" s="20">
        <f>IFERROR(__xludf.DUMMYFUNCTION("""COMPUTED_VALUE"""),2.0)</f>
        <v>2</v>
      </c>
      <c r="D80" s="21">
        <f>IFERROR(__xludf.DUMMYFUNCTION("""COMPUTED_VALUE"""),-0.023207077378260332)</f>
        <v>-0.02320707738</v>
      </c>
      <c r="E80" s="21">
        <f>IFERROR(__xludf.DUMMYFUNCTION("""COMPUTED_VALUE"""),-0.0022978228130216384)</f>
        <v>-0.002297822813</v>
      </c>
      <c r="F80" s="21">
        <f>IFERROR(__xludf.DUMMYFUNCTION("""COMPUTED_VALUE"""),-0.02551880019128197)</f>
        <v>-0.02551880019</v>
      </c>
      <c r="G80" s="23">
        <f>IFERROR(__xludf.DUMMYFUNCTION("""COMPUTED_VALUE"""),0.00121708068143529)</f>
        <v>0.001217080681</v>
      </c>
      <c r="H80" s="4"/>
      <c r="I80" s="5" t="s">
        <v>3307</v>
      </c>
      <c r="J80" s="5" t="s">
        <v>3233</v>
      </c>
      <c r="K80" s="24">
        <v>616.0</v>
      </c>
      <c r="L80" s="5">
        <v>0.494672</v>
      </c>
      <c r="M80" s="5">
        <v>1.034351</v>
      </c>
      <c r="N80" s="5">
        <v>1.529023</v>
      </c>
      <c r="O80" s="5">
        <v>0.642772</v>
      </c>
    </row>
    <row r="81">
      <c r="A81" s="12" t="str">
        <f>IFERROR(__xludf.DUMMYFUNCTION("""COMPUTED_VALUE"""),"Bruno Fiorotto")</f>
        <v>Bruno Fiorotto</v>
      </c>
      <c r="B81" s="13" t="str">
        <f>IFERROR(__xludf.DUMMYFUNCTION("""COMPUTED_VALUE"""),"CEA")</f>
        <v>CEA</v>
      </c>
      <c r="C81" s="14">
        <f>IFERROR(__xludf.DUMMYFUNCTION("""COMPUTED_VALUE"""),409.0)</f>
        <v>409</v>
      </c>
      <c r="D81" s="15">
        <f>IFERROR(__xludf.DUMMYFUNCTION("""COMPUTED_VALUE"""),-0.6535066125964952)</f>
        <v>-0.6535066126</v>
      </c>
      <c r="E81" s="15">
        <f>IFERROR(__xludf.DUMMYFUNCTION("""COMPUTED_VALUE"""),0.6263322502836404)</f>
        <v>0.6263322503</v>
      </c>
      <c r="F81" s="15">
        <f>IFERROR(__xludf.DUMMYFUNCTION("""COMPUTED_VALUE"""),-0.027187262312854826)</f>
        <v>-0.02718726231</v>
      </c>
      <c r="G81" s="17">
        <f>IFERROR(__xludf.DUMMYFUNCTION("""COMPUTED_VALUE"""),0.24674596725967737)</f>
        <v>0.2467459673</v>
      </c>
      <c r="H81" s="4"/>
      <c r="I81" s="5" t="s">
        <v>3308</v>
      </c>
      <c r="J81" s="5" t="s">
        <v>644</v>
      </c>
      <c r="K81" s="24">
        <v>576.0</v>
      </c>
      <c r="L81" s="5">
        <v>2.337688</v>
      </c>
      <c r="M81" s="5">
        <v>-0.820556</v>
      </c>
      <c r="N81" s="5">
        <v>1.517132</v>
      </c>
      <c r="O81" s="5">
        <v>0.614596</v>
      </c>
    </row>
    <row r="82">
      <c r="A82" s="18" t="str">
        <f>IFERROR(__xludf.DUMMYFUNCTION("""COMPUTED_VALUE"""),"Thales Silva")</f>
        <v>Thales Silva</v>
      </c>
      <c r="B82" s="19" t="str">
        <f>IFERROR(__xludf.DUMMYFUNCTION("""COMPUTED_VALUE"""),"MIN")</f>
        <v>MIN</v>
      </c>
      <c r="C82" s="20">
        <f>IFERROR(__xludf.DUMMYFUNCTION("""COMPUTED_VALUE"""),2.3)</f>
        <v>2.3</v>
      </c>
      <c r="D82" s="21">
        <f>IFERROR(__xludf.DUMMYFUNCTION("""COMPUTED_VALUE"""),-0.05271828498684637)</f>
        <v>-0.05271828499</v>
      </c>
      <c r="E82" s="21">
        <f>IFERROR(__xludf.DUMMYFUNCTION("""COMPUTED_VALUE"""),8.10988096653849E-5)</f>
        <v>0.00008109880967</v>
      </c>
      <c r="F82" s="21">
        <f>IFERROR(__xludf.DUMMYFUNCTION("""COMPUTED_VALUE"""),-0.05264008617718099)</f>
        <v>-0.05264008618</v>
      </c>
      <c r="G82" s="23">
        <f>IFERROR(__xludf.DUMMYFUNCTION("""COMPUTED_VALUE"""),0.0013718491416934053)</f>
        <v>0.001371849142</v>
      </c>
      <c r="H82" s="4"/>
      <c r="I82" s="5" t="s">
        <v>3309</v>
      </c>
      <c r="J82" s="5" t="s">
        <v>3278</v>
      </c>
      <c r="K82" s="5">
        <v>539.0</v>
      </c>
      <c r="L82" s="5">
        <v>-0.737595</v>
      </c>
      <c r="M82" s="5">
        <v>2.215248</v>
      </c>
      <c r="N82" s="5">
        <v>1.477652</v>
      </c>
      <c r="O82" s="5">
        <v>0.565542</v>
      </c>
    </row>
    <row r="83">
      <c r="A83" s="12" t="str">
        <f>IFERROR(__xludf.DUMMYFUNCTION("""COMPUTED_VALUE"""),"Luis Sacco")</f>
        <v>Luis Sacco</v>
      </c>
      <c r="B83" s="13" t="str">
        <f>IFERROR(__xludf.DUMMYFUNCTION("""COMPUTED_VALUE"""),"PAU")</f>
        <v>PAU</v>
      </c>
      <c r="C83" s="14">
        <f>IFERROR(__xludf.DUMMYFUNCTION("""COMPUTED_VALUE"""),13.0)</f>
        <v>13</v>
      </c>
      <c r="D83" s="15">
        <f>IFERROR(__xludf.DUMMYFUNCTION("""COMPUTED_VALUE"""),0.06838852277757804)</f>
        <v>0.06838852278</v>
      </c>
      <c r="E83" s="15">
        <f>IFERROR(__xludf.DUMMYFUNCTION("""COMPUTED_VALUE"""),-0.1398689205505707)</f>
        <v>-0.1398689206</v>
      </c>
      <c r="F83" s="15">
        <f>IFERROR(__xludf.DUMMYFUNCTION("""COMPUTED_VALUE"""),-0.07148439777299269)</f>
        <v>-0.07148439777</v>
      </c>
      <c r="G83" s="17">
        <f>IFERROR(__xludf.DUMMYFUNCTION("""COMPUTED_VALUE"""),0.0076276853780631)</f>
        <v>0.007627685378</v>
      </c>
      <c r="H83" s="4"/>
      <c r="I83" s="5" t="s">
        <v>830</v>
      </c>
      <c r="J83" s="5" t="s">
        <v>3226</v>
      </c>
      <c r="K83" s="5">
        <v>488.0</v>
      </c>
      <c r="L83" s="5">
        <v>1.414904</v>
      </c>
      <c r="M83" s="5">
        <v>-0.028614</v>
      </c>
      <c r="N83" s="5">
        <v>1.386289</v>
      </c>
      <c r="O83" s="5">
        <v>0.503831</v>
      </c>
    </row>
    <row r="84">
      <c r="A84" s="18" t="str">
        <f>IFERROR(__xludf.DUMMYFUNCTION("""COMPUTED_VALUE"""),"Maique Tavares")</f>
        <v>Maique Tavares</v>
      </c>
      <c r="B84" s="19" t="str">
        <f>IFERROR(__xludf.DUMMYFUNCTION("""COMPUTED_VALUE"""),"UNIV")</f>
        <v>UNIV</v>
      </c>
      <c r="C84" s="20">
        <f>IFERROR(__xludf.DUMMYFUNCTION("""COMPUTED_VALUE"""),382.6)</f>
        <v>382.6</v>
      </c>
      <c r="D84" s="21">
        <f>IFERROR(__xludf.DUMMYFUNCTION("""COMPUTED_VALUE"""),-0.769122613762257)</f>
        <v>-0.7691226138</v>
      </c>
      <c r="E84" s="21">
        <f>IFERROR(__xludf.DUMMYFUNCTION("""COMPUTED_VALUE"""),0.6968487260885124)</f>
        <v>0.6968487261</v>
      </c>
      <c r="F84" s="21">
        <f>IFERROR(__xludf.DUMMYFUNCTION("""COMPUTED_VALUE"""),-0.07227588767374454)</f>
        <v>-0.07227588767</v>
      </c>
      <c r="G84" s="23">
        <f>IFERROR(__xludf.DUMMYFUNCTION("""COMPUTED_VALUE"""),0.2221941870560707)</f>
        <v>0.2221941871</v>
      </c>
      <c r="H84" s="4"/>
      <c r="I84" s="5" t="s">
        <v>3310</v>
      </c>
      <c r="J84" s="5" t="s">
        <v>3210</v>
      </c>
      <c r="K84" s="5">
        <v>741.0</v>
      </c>
      <c r="L84" s="5">
        <v>1.481786</v>
      </c>
      <c r="M84" s="5">
        <v>-0.131268</v>
      </c>
      <c r="N84" s="5">
        <v>1.350518</v>
      </c>
      <c r="O84" s="5">
        <v>0.747059</v>
      </c>
    </row>
    <row r="85">
      <c r="A85" s="12" t="str">
        <f>IFERROR(__xludf.DUMMYFUNCTION("""COMPUTED_VALUE"""),"Jose Carlos Junior")</f>
        <v>Jose Carlos Junior</v>
      </c>
      <c r="B85" s="13" t="str">
        <f>IFERROR(__xludf.DUMMYFUNCTION("""COMPUTED_VALUE"""),"UNIV")</f>
        <v>UNIV</v>
      </c>
      <c r="C85" s="14">
        <f>IFERROR(__xludf.DUMMYFUNCTION("""COMPUTED_VALUE"""),1.0)</f>
        <v>1</v>
      </c>
      <c r="D85" s="15">
        <f>IFERROR(__xludf.DUMMYFUNCTION("""COMPUTED_VALUE"""),-0.11589742361793981)</f>
        <v>-0.1158974236</v>
      </c>
      <c r="E85" s="15">
        <f>IFERROR(__xludf.DUMMYFUNCTION("""COMPUTED_VALUE"""),-0.037319014920521504)</f>
        <v>-0.03731901492</v>
      </c>
      <c r="F85" s="15">
        <f>IFERROR(__xludf.DUMMYFUNCTION("""COMPUTED_VALUE"""),-0.1532269385384613)</f>
        <v>-0.1532269385</v>
      </c>
      <c r="G85" s="17">
        <f>IFERROR(__xludf.DUMMYFUNCTION("""COMPUTED_VALUE"""),5.668556071762843E-4)</f>
        <v>0.0005668556072</v>
      </c>
      <c r="H85" s="4"/>
      <c r="I85" s="5" t="s">
        <v>3311</v>
      </c>
      <c r="J85" s="5" t="s">
        <v>3205</v>
      </c>
      <c r="K85" s="5">
        <v>47.0</v>
      </c>
      <c r="L85" s="5">
        <v>1.549044</v>
      </c>
      <c r="M85" s="5">
        <v>-0.351315</v>
      </c>
      <c r="N85" s="5">
        <v>1.197729</v>
      </c>
      <c r="O85" s="5">
        <v>0.045489</v>
      </c>
    </row>
    <row r="86">
      <c r="A86" s="18" t="str">
        <f>IFERROR(__xludf.DUMMYFUNCTION("""COMPUTED_VALUE"""),"Thiago Cruz")</f>
        <v>Thiago Cruz</v>
      </c>
      <c r="B86" s="19" t="str">
        <f>IFERROR(__xludf.DUMMYFUNCTION("""COMPUTED_VALUE"""),"PIN")</f>
        <v>PIN</v>
      </c>
      <c r="C86" s="20">
        <f>IFERROR(__xludf.DUMMYFUNCTION("""COMPUTED_VALUE"""),1.0)</f>
        <v>1</v>
      </c>
      <c r="D86" s="21">
        <f>IFERROR(__xludf.DUMMYFUNCTION("""COMPUTED_VALUE"""),-0.1624473298979987)</f>
        <v>-0.1624473299</v>
      </c>
      <c r="E86" s="21">
        <f>IFERROR(__xludf.DUMMYFUNCTION("""COMPUTED_VALUE"""),0.0030824599983791325)</f>
        <v>0.003082459998</v>
      </c>
      <c r="F86" s="21">
        <f>IFERROR(__xludf.DUMMYFUNCTION("""COMPUTED_VALUE"""),-0.15938246989961957)</f>
        <v>-0.1593824699</v>
      </c>
      <c r="G86" s="23">
        <f>IFERROR(__xludf.DUMMYFUNCTION("""COMPUTED_VALUE"""),5.785648290920353E-4)</f>
        <v>0.0005785648291</v>
      </c>
      <c r="H86" s="4"/>
      <c r="I86" s="5" t="s">
        <v>1075</v>
      </c>
      <c r="J86" s="5" t="s">
        <v>3217</v>
      </c>
      <c r="K86" s="24">
        <v>272.0</v>
      </c>
      <c r="L86" s="5">
        <v>2.198058</v>
      </c>
      <c r="M86" s="5">
        <v>-1.024333</v>
      </c>
      <c r="N86" s="5">
        <v>1.173725</v>
      </c>
      <c r="O86" s="5">
        <v>0.259618</v>
      </c>
    </row>
    <row r="87">
      <c r="A87" s="12" t="str">
        <f>IFERROR(__xludf.DUMMYFUNCTION("""COMPUTED_VALUE"""),"Eddy Carvalho")</f>
        <v>Eddy Carvalho</v>
      </c>
      <c r="B87" s="13" t="str">
        <f>IFERROR(__xludf.DUMMYFUNCTION("""COMPUTED_VALUE"""),"PAU")</f>
        <v>PAU</v>
      </c>
      <c r="C87" s="14">
        <f>IFERROR(__xludf.DUMMYFUNCTION("""COMPUTED_VALUE"""),401.3)</f>
        <v>401.3</v>
      </c>
      <c r="D87" s="15">
        <f>IFERROR(__xludf.DUMMYFUNCTION("""COMPUTED_VALUE"""),0.5859543198535148)</f>
        <v>0.5859543199</v>
      </c>
      <c r="E87" s="15">
        <f>IFERROR(__xludf.DUMMYFUNCTION("""COMPUTED_VALUE"""),-0.7654866565666018)</f>
        <v>-0.7654866566</v>
      </c>
      <c r="F87" s="15">
        <f>IFERROR(__xludf.DUMMYFUNCTION("""COMPUTED_VALUE"""),-0.17955083671308705)</f>
        <v>-0.1795508367</v>
      </c>
      <c r="G87" s="17">
        <f>IFERROR(__xludf.DUMMYFUNCTION("""COMPUTED_VALUE"""),0.22216842520271626)</f>
        <v>0.2221684252</v>
      </c>
      <c r="H87" s="4"/>
      <c r="I87" s="5" t="s">
        <v>1141</v>
      </c>
      <c r="J87" s="5" t="s">
        <v>3256</v>
      </c>
      <c r="K87" s="5">
        <v>584.0</v>
      </c>
      <c r="L87" s="5">
        <v>2.493736</v>
      </c>
      <c r="M87" s="5">
        <v>-1.362994</v>
      </c>
      <c r="N87" s="5">
        <v>1.130742</v>
      </c>
      <c r="O87" s="5">
        <v>0.555201</v>
      </c>
    </row>
    <row r="88">
      <c r="A88" s="18" t="str">
        <f>IFERROR(__xludf.DUMMYFUNCTION("""COMPUTED_VALUE"""),"Art Bernardi")</f>
        <v>Art Bernardi</v>
      </c>
      <c r="B88" s="19" t="str">
        <f>IFERROR(__xludf.DUMMYFUNCTION("""COMPUTED_VALUE"""),"PIN")</f>
        <v>PIN</v>
      </c>
      <c r="C88" s="20">
        <f>IFERROR(__xludf.DUMMYFUNCTION("""COMPUTED_VALUE"""),633.4)</f>
        <v>633.4</v>
      </c>
      <c r="D88" s="21">
        <f>IFERROR(__xludf.DUMMYFUNCTION("""COMPUTED_VALUE"""),-0.414021696647676)</f>
        <v>-0.4140216966</v>
      </c>
      <c r="E88" s="21">
        <f>IFERROR(__xludf.DUMMYFUNCTION("""COMPUTED_VALUE"""),0.23322941031703925)</f>
        <v>0.2332294103</v>
      </c>
      <c r="F88" s="21">
        <f>IFERROR(__xludf.DUMMYFUNCTION("""COMPUTED_VALUE"""),-0.18081238633063676)</f>
        <v>-0.1808123863</v>
      </c>
      <c r="G88" s="23">
        <f>IFERROR(__xludf.DUMMYFUNCTION("""COMPUTED_VALUE"""),0.35119836472907157)</f>
        <v>0.3511983647</v>
      </c>
      <c r="H88" s="4"/>
      <c r="I88" s="5" t="s">
        <v>3312</v>
      </c>
      <c r="J88" s="5" t="s">
        <v>3207</v>
      </c>
      <c r="K88" s="5">
        <v>139.0</v>
      </c>
      <c r="L88" s="5">
        <v>-0.912345</v>
      </c>
      <c r="M88" s="5">
        <v>2.003968</v>
      </c>
      <c r="N88" s="5">
        <v>1.091623</v>
      </c>
      <c r="O88" s="5">
        <v>0.128371</v>
      </c>
    </row>
    <row r="89">
      <c r="A89" s="12" t="str">
        <f>IFERROR(__xludf.DUMMYFUNCTION("""COMPUTED_VALUE"""),"Felipe Ruivo")</f>
        <v>Felipe Ruivo</v>
      </c>
      <c r="B89" s="13" t="str">
        <f>IFERROR(__xludf.DUMMYFUNCTION("""COMPUTED_VALUE"""),"PIN")</f>
        <v>PIN</v>
      </c>
      <c r="C89" s="14">
        <f>IFERROR(__xludf.DUMMYFUNCTION("""COMPUTED_VALUE"""),768.6)</f>
        <v>768.6</v>
      </c>
      <c r="D89" s="15">
        <f>IFERROR(__xludf.DUMMYFUNCTION("""COMPUTED_VALUE"""),0.36614609024259226)</f>
        <v>0.3661460902</v>
      </c>
      <c r="E89" s="15">
        <f>IFERROR(__xludf.DUMMYFUNCTION("""COMPUTED_VALUE"""),-0.5487034530020635)</f>
        <v>-0.548703453</v>
      </c>
      <c r="F89" s="15">
        <f>IFERROR(__xludf.DUMMYFUNCTION("""COMPUTED_VALUE"""),-0.18256176275947125)</f>
        <v>-0.1825617628</v>
      </c>
      <c r="G89" s="17">
        <f>IFERROR(__xludf.DUMMYFUNCTION("""COMPUTED_VALUE"""),0.4257323075583249)</f>
        <v>0.4257323076</v>
      </c>
      <c r="H89" s="4"/>
      <c r="I89" s="5" t="s">
        <v>926</v>
      </c>
      <c r="J89" s="5" t="s">
        <v>3240</v>
      </c>
      <c r="K89" s="24">
        <v>736.0</v>
      </c>
      <c r="L89" s="5">
        <v>-1.765328</v>
      </c>
      <c r="M89" s="5">
        <v>2.703289</v>
      </c>
      <c r="N89" s="5">
        <v>0.937961</v>
      </c>
      <c r="O89" s="5">
        <v>0.65957</v>
      </c>
    </row>
    <row r="90">
      <c r="A90" s="18" t="str">
        <f>IFERROR(__xludf.DUMMYFUNCTION("""COMPUTED_VALUE"""),"Caio Torres")</f>
        <v>Caio Torres</v>
      </c>
      <c r="B90" s="19" t="str">
        <f>IFERROR(__xludf.DUMMYFUNCTION("""COMPUTED_VALUE"""),"MOG")</f>
        <v>MOG</v>
      </c>
      <c r="C90" s="20">
        <f>IFERROR(__xludf.DUMMYFUNCTION("""COMPUTED_VALUE"""),613.5)</f>
        <v>613.5</v>
      </c>
      <c r="D90" s="21">
        <f>IFERROR(__xludf.DUMMYFUNCTION("""COMPUTED_VALUE"""),0.015389664789888867)</f>
        <v>0.01538966479</v>
      </c>
      <c r="E90" s="21">
        <f>IFERROR(__xludf.DUMMYFUNCTION("""COMPUTED_VALUE"""),-0.20393175936246863)</f>
        <v>-0.2039317594</v>
      </c>
      <c r="F90" s="21">
        <f>IFERROR(__xludf.DUMMYFUNCTION("""COMPUTED_VALUE"""),-0.18854379457257975)</f>
        <v>-0.1885437946</v>
      </c>
      <c r="G90" s="23">
        <f>IFERROR(__xludf.DUMMYFUNCTION("""COMPUTED_VALUE"""),0.3390800990247487)</f>
        <v>0.339080099</v>
      </c>
      <c r="H90" s="4"/>
      <c r="I90" s="5" t="s">
        <v>3313</v>
      </c>
      <c r="J90" s="5" t="s">
        <v>3212</v>
      </c>
      <c r="K90" s="5">
        <v>629.0</v>
      </c>
      <c r="L90" s="5">
        <v>0.972213</v>
      </c>
      <c r="M90" s="5">
        <v>-0.05651</v>
      </c>
      <c r="N90" s="5">
        <v>0.915703</v>
      </c>
      <c r="O90" s="5">
        <v>0.557219</v>
      </c>
    </row>
    <row r="91">
      <c r="A91" s="12" t="str">
        <f>IFERROR(__xludf.DUMMYFUNCTION("""COMPUTED_VALUE"""),"Arthur Luiz Belchor")</f>
        <v>Arthur Luiz Belchor</v>
      </c>
      <c r="B91" s="13" t="str">
        <f>IFERROR(__xludf.DUMMYFUNCTION("""COMPUTED_VALUE"""),"UNIV")</f>
        <v>UNIV</v>
      </c>
      <c r="C91" s="14">
        <f>IFERROR(__xludf.DUMMYFUNCTION("""COMPUTED_VALUE"""),62.3)</f>
        <v>62.3</v>
      </c>
      <c r="D91" s="15">
        <f>IFERROR(__xludf.DUMMYFUNCTION("""COMPUTED_VALUE"""),0.18790860949174507)</f>
        <v>0.1879086095</v>
      </c>
      <c r="E91" s="15">
        <f>IFERROR(__xludf.DUMMYFUNCTION("""COMPUTED_VALUE"""),-0.3773731398597144)</f>
        <v>-0.3773731399</v>
      </c>
      <c r="F91" s="15">
        <f>IFERROR(__xludf.DUMMYFUNCTION("""COMPUTED_VALUE"""),-0.1894849303679693)</f>
        <v>-0.1894849304</v>
      </c>
      <c r="G91" s="17">
        <f>IFERROR(__xludf.DUMMYFUNCTION("""COMPUTED_VALUE"""),0.03400085024944575)</f>
        <v>0.03400085025</v>
      </c>
      <c r="H91" s="4"/>
      <c r="I91" s="5" t="s">
        <v>3314</v>
      </c>
      <c r="J91" s="5" t="s">
        <v>2838</v>
      </c>
      <c r="K91" s="5">
        <v>681.0</v>
      </c>
      <c r="L91" s="5">
        <v>-0.775011</v>
      </c>
      <c r="M91" s="5">
        <v>1.690576</v>
      </c>
      <c r="N91" s="5">
        <v>0.915565</v>
      </c>
      <c r="O91" s="5">
        <v>0.59447</v>
      </c>
    </row>
    <row r="92">
      <c r="A92" s="18" t="str">
        <f>IFERROR(__xludf.DUMMYFUNCTION("""COMPUTED_VALUE"""),"Joao Gabriel Aguiar")</f>
        <v>Joao Gabriel Aguiar</v>
      </c>
      <c r="B92" s="19" t="str">
        <f>IFERROR(__xludf.DUMMYFUNCTION("""COMPUTED_VALUE"""),"CEA")</f>
        <v>CEA</v>
      </c>
      <c r="C92" s="20">
        <f>IFERROR(__xludf.DUMMYFUNCTION("""COMPUTED_VALUE"""),10.5)</f>
        <v>10.5</v>
      </c>
      <c r="D92" s="21">
        <f>IFERROR(__xludf.DUMMYFUNCTION("""COMPUTED_VALUE"""),0.3597677009060668)</f>
        <v>0.3597677009</v>
      </c>
      <c r="E92" s="21">
        <f>IFERROR(__xludf.DUMMYFUNCTION("""COMPUTED_VALUE"""),-0.5559496759002036)</f>
        <v>-0.5559496759</v>
      </c>
      <c r="F92" s="21">
        <f>IFERROR(__xludf.DUMMYFUNCTION("""COMPUTED_VALUE"""),-0.19620437499413682)</f>
        <v>-0.196204375</v>
      </c>
      <c r="G92" s="23">
        <f>IFERROR(__xludf.DUMMYFUNCTION("""COMPUTED_VALUE"""),0.005813950061257049)</f>
        <v>0.005813950061</v>
      </c>
      <c r="H92" s="4"/>
      <c r="I92" s="5" t="s">
        <v>894</v>
      </c>
      <c r="J92" s="5" t="s">
        <v>3256</v>
      </c>
      <c r="K92" s="5">
        <v>577.0</v>
      </c>
      <c r="L92" s="5">
        <v>0.405952</v>
      </c>
      <c r="M92" s="5">
        <v>0.458488</v>
      </c>
      <c r="N92" s="5">
        <v>0.864439</v>
      </c>
      <c r="O92" s="5">
        <v>0.501455</v>
      </c>
    </row>
    <row r="93">
      <c r="A93" s="12" t="str">
        <f>IFERROR(__xludf.DUMMYFUNCTION("""COMPUTED_VALUE"""),"Arthur Silva")</f>
        <v>Arthur Silva</v>
      </c>
      <c r="B93" s="13" t="str">
        <f>IFERROR(__xludf.DUMMYFUNCTION("""COMPUTED_VALUE"""),"UNIV")</f>
        <v>UNIV</v>
      </c>
      <c r="C93" s="14">
        <f>IFERROR(__xludf.DUMMYFUNCTION("""COMPUTED_VALUE"""),534.8)</f>
        <v>534.8</v>
      </c>
      <c r="D93" s="15">
        <f>IFERROR(__xludf.DUMMYFUNCTION("""COMPUTED_VALUE"""),0.5715530081079048)</f>
        <v>0.5715530081</v>
      </c>
      <c r="E93" s="15">
        <f>IFERROR(__xludf.DUMMYFUNCTION("""COMPUTED_VALUE"""),-0.7715634792414444)</f>
        <v>-0.7715634792</v>
      </c>
      <c r="F93" s="15">
        <f>IFERROR(__xludf.DUMMYFUNCTION("""COMPUTED_VALUE"""),-0.2000134711335396)</f>
        <v>-0.2000134711</v>
      </c>
      <c r="G93" s="17">
        <f>IFERROR(__xludf.DUMMYFUNCTION("""COMPUTED_VALUE"""),0.29000406438687976)</f>
        <v>0.2900040644</v>
      </c>
      <c r="H93" s="4"/>
      <c r="I93" s="5" t="s">
        <v>3315</v>
      </c>
      <c r="J93" s="5" t="s">
        <v>3278</v>
      </c>
      <c r="K93" s="5">
        <v>394.0</v>
      </c>
      <c r="L93" s="5">
        <v>3.416336</v>
      </c>
      <c r="M93" s="5">
        <v>-2.677949</v>
      </c>
      <c r="N93" s="5">
        <v>0.738386</v>
      </c>
      <c r="O93" s="5">
        <v>0.326155</v>
      </c>
    </row>
    <row r="94">
      <c r="A94" s="18" t="str">
        <f>IFERROR(__xludf.DUMMYFUNCTION("""COMPUTED_VALUE"""),"Leonardo Klassman")</f>
        <v>Leonardo Klassman</v>
      </c>
      <c r="B94" s="19" t="str">
        <f>IFERROR(__xludf.DUMMYFUNCTION("""COMPUTED_VALUE"""),"CEA")</f>
        <v>CEA</v>
      </c>
      <c r="C94" s="20">
        <f>IFERROR(__xludf.DUMMYFUNCTION("""COMPUTED_VALUE"""),728.1)</f>
        <v>728.1</v>
      </c>
      <c r="D94" s="21">
        <f>IFERROR(__xludf.DUMMYFUNCTION("""COMPUTED_VALUE"""),-1.529700330615584)</f>
        <v>-1.529700331</v>
      </c>
      <c r="E94" s="21">
        <f>IFERROR(__xludf.DUMMYFUNCTION("""COMPUTED_VALUE"""),1.3096676401031715)</f>
        <v>1.30966764</v>
      </c>
      <c r="F94" s="21">
        <f>IFERROR(__xludf.DUMMYFUNCTION("""COMPUTED_VALUE"""),-0.22004309051241264)</f>
        <v>-0.2200430905</v>
      </c>
      <c r="G94" s="23">
        <f>IFERROR(__xludf.DUMMYFUNCTION("""COMPUTED_VALUE"""),0.3963055032904148)</f>
        <v>0.3963055033</v>
      </c>
      <c r="H94" s="4"/>
      <c r="I94" s="5" t="s">
        <v>3316</v>
      </c>
      <c r="J94" s="5" t="s">
        <v>3220</v>
      </c>
      <c r="K94" s="24">
        <v>1006.0</v>
      </c>
      <c r="L94" s="5">
        <v>1.677106</v>
      </c>
      <c r="M94" s="5">
        <v>-0.940572</v>
      </c>
      <c r="N94" s="5">
        <v>0.736534</v>
      </c>
      <c r="O94" s="5">
        <v>0.845152</v>
      </c>
    </row>
    <row r="95">
      <c r="A95" s="12" t="str">
        <f>IFERROR(__xludf.DUMMYFUNCTION("""COMPUTED_VALUE"""),"Paulinho Bahia")</f>
        <v>Paulinho Bahia</v>
      </c>
      <c r="B95" s="13" t="str">
        <f>IFERROR(__xludf.DUMMYFUNCTION("""COMPUTED_VALUE"""),"FRA")</f>
        <v>FRA</v>
      </c>
      <c r="C95" s="14">
        <f>IFERROR(__xludf.DUMMYFUNCTION("""COMPUTED_VALUE"""),6.0)</f>
        <v>6</v>
      </c>
      <c r="D95" s="15">
        <f>IFERROR(__xludf.DUMMYFUNCTION("""COMPUTED_VALUE"""),-0.34003343342074716)</f>
        <v>-0.3400334334</v>
      </c>
      <c r="E95" s="15">
        <f>IFERROR(__xludf.DUMMYFUNCTION("""COMPUTED_VALUE"""),0.1095598164576511)</f>
        <v>0.1095598165</v>
      </c>
      <c r="F95" s="15">
        <f>IFERROR(__xludf.DUMMYFUNCTION("""COMPUTED_VALUE"""),-0.23049451696309606)</f>
        <v>-0.230494517</v>
      </c>
      <c r="G95" s="17">
        <f>IFERROR(__xludf.DUMMYFUNCTION("""COMPUTED_VALUE"""),0.0036174558598311055)</f>
        <v>0.00361745586</v>
      </c>
      <c r="H95" s="4"/>
      <c r="I95" s="5" t="s">
        <v>889</v>
      </c>
      <c r="J95" s="5" t="s">
        <v>3240</v>
      </c>
      <c r="K95" s="5">
        <v>881.0</v>
      </c>
      <c r="L95" s="5">
        <v>-0.635315</v>
      </c>
      <c r="M95" s="5">
        <v>1.354395</v>
      </c>
      <c r="N95" s="5">
        <v>0.71908</v>
      </c>
      <c r="O95" s="5">
        <v>0.730329</v>
      </c>
    </row>
    <row r="96">
      <c r="A96" s="18" t="str">
        <f>IFERROR(__xludf.DUMMYFUNCTION("""COMPUTED_VALUE"""),"Vitinho Palma")</f>
        <v>Vitinho Palma</v>
      </c>
      <c r="B96" s="19" t="str">
        <f>IFERROR(__xludf.DUMMYFUNCTION("""COMPUTED_VALUE"""),"UNIV")</f>
        <v>UNIV</v>
      </c>
      <c r="C96" s="20">
        <f>IFERROR(__xludf.DUMMYFUNCTION("""COMPUTED_VALUE"""),22.0)</f>
        <v>22</v>
      </c>
      <c r="D96" s="21">
        <f>IFERROR(__xludf.DUMMYFUNCTION("""COMPUTED_VALUE"""),-0.466152031732363)</f>
        <v>-0.4661520317</v>
      </c>
      <c r="E96" s="21">
        <f>IFERROR(__xludf.DUMMYFUNCTION("""COMPUTED_VALUE"""),0.19905547925236197)</f>
        <v>0.1990554793</v>
      </c>
      <c r="F96" s="21">
        <f>IFERROR(__xludf.DUMMYFUNCTION("""COMPUTED_VALUE"""),-0.26710305248000105)</f>
        <v>-0.2671030525</v>
      </c>
      <c r="G96" s="23">
        <f>IFERROR(__xludf.DUMMYFUNCTION("""COMPUTED_VALUE"""),0.011491588762484605)</f>
        <v>0.01149158876</v>
      </c>
      <c r="H96" s="4"/>
      <c r="I96" s="5" t="s">
        <v>3108</v>
      </c>
      <c r="J96" s="5" t="s">
        <v>3281</v>
      </c>
      <c r="K96" s="24">
        <v>138.0</v>
      </c>
      <c r="L96" s="5">
        <v>1.216482</v>
      </c>
      <c r="M96" s="5">
        <v>-0.512724</v>
      </c>
      <c r="N96" s="5">
        <v>0.703758</v>
      </c>
      <c r="O96" s="5">
        <v>0.113929</v>
      </c>
    </row>
    <row r="97">
      <c r="A97" s="12" t="str">
        <f>IFERROR(__xludf.DUMMYFUNCTION("""COMPUTED_VALUE"""),"Felipe Latorre")</f>
        <v>Felipe Latorre</v>
      </c>
      <c r="B97" s="13" t="str">
        <f>IFERROR(__xludf.DUMMYFUNCTION("""COMPUTED_VALUE"""),"VAS")</f>
        <v>VAS</v>
      </c>
      <c r="C97" s="14">
        <f>IFERROR(__xludf.DUMMYFUNCTION("""COMPUTED_VALUE"""),4.0)</f>
        <v>4</v>
      </c>
      <c r="D97" s="15">
        <f>IFERROR(__xludf.DUMMYFUNCTION("""COMPUTED_VALUE"""),-0.08141342073510902)</f>
        <v>-0.08141342074</v>
      </c>
      <c r="E97" s="15">
        <f>IFERROR(__xludf.DUMMYFUNCTION("""COMPUTED_VALUE"""),-0.19066800015313826)</f>
        <v>-0.1906680002</v>
      </c>
      <c r="F97" s="15">
        <f>IFERROR(__xludf.DUMMYFUNCTION("""COMPUTED_VALUE"""),-0.2720914208882473)</f>
        <v>-0.2720914209</v>
      </c>
      <c r="G97" s="17">
        <f>IFERROR(__xludf.DUMMYFUNCTION("""COMPUTED_VALUE"""),0.002106689376627976)</f>
        <v>0.002106689377</v>
      </c>
      <c r="H97" s="4"/>
      <c r="I97" s="5" t="s">
        <v>3317</v>
      </c>
      <c r="J97" s="5" t="s">
        <v>3210</v>
      </c>
      <c r="K97" s="5">
        <v>5.0</v>
      </c>
      <c r="L97" s="5">
        <v>0.231054</v>
      </c>
      <c r="M97" s="5">
        <v>0.375675</v>
      </c>
      <c r="N97" s="5">
        <v>0.606729</v>
      </c>
      <c r="O97" s="5">
        <v>0.003687</v>
      </c>
    </row>
    <row r="98">
      <c r="A98" s="18" t="str">
        <f>IFERROR(__xludf.DUMMYFUNCTION("""COMPUTED_VALUE"""),"Rafael Da Silva")</f>
        <v>Rafael Da Silva</v>
      </c>
      <c r="B98" s="19" t="str">
        <f>IFERROR(__xludf.DUMMYFUNCTION("""COMPUTED_VALUE"""),"MOG")</f>
        <v>MOG</v>
      </c>
      <c r="C98" s="20">
        <f>IFERROR(__xludf.DUMMYFUNCTION("""COMPUTED_VALUE"""),9.0)</f>
        <v>9</v>
      </c>
      <c r="D98" s="21">
        <f>IFERROR(__xludf.DUMMYFUNCTION("""COMPUTED_VALUE"""),-0.13294173813569848)</f>
        <v>-0.1329417381</v>
      </c>
      <c r="E98" s="21">
        <f>IFERROR(__xludf.DUMMYFUNCTION("""COMPUTED_VALUE"""),-0.1507370617568738)</f>
        <v>-0.1507370618</v>
      </c>
      <c r="F98" s="21">
        <f>IFERROR(__xludf.DUMMYFUNCTION("""COMPUTED_VALUE"""),-0.28369579989257226)</f>
        <v>-0.2836957999</v>
      </c>
      <c r="G98" s="23">
        <f>IFERROR(__xludf.DUMMYFUNCTION("""COMPUTED_VALUE"""),0.004729968019534326)</f>
        <v>0.00472996802</v>
      </c>
      <c r="H98" s="4"/>
      <c r="I98" s="5" t="s">
        <v>3318</v>
      </c>
      <c r="J98" s="5" t="s">
        <v>3210</v>
      </c>
      <c r="K98" s="24">
        <v>629.0</v>
      </c>
      <c r="L98" s="5">
        <v>2.858107</v>
      </c>
      <c r="M98" s="5">
        <v>-2.290365</v>
      </c>
      <c r="N98" s="5">
        <v>0.567742</v>
      </c>
      <c r="O98" s="5">
        <v>0.485758</v>
      </c>
    </row>
    <row r="99">
      <c r="A99" s="12" t="str">
        <f>IFERROR(__xludf.DUMMYFUNCTION("""COMPUTED_VALUE"""),"Vitor Silva")</f>
        <v>Vitor Silva</v>
      </c>
      <c r="B99" s="13" t="str">
        <f>IFERROR(__xludf.DUMMYFUNCTION("""COMPUTED_VALUE"""),"PIN")</f>
        <v>PIN</v>
      </c>
      <c r="C99" s="14">
        <f>IFERROR(__xludf.DUMMYFUNCTION("""COMPUTED_VALUE"""),123.5)</f>
        <v>123.5</v>
      </c>
      <c r="D99" s="15">
        <f>IFERROR(__xludf.DUMMYFUNCTION("""COMPUTED_VALUE"""),0.08358210033770426)</f>
        <v>0.08358210034</v>
      </c>
      <c r="E99" s="15">
        <f>IFERROR(__xludf.DUMMYFUNCTION("""COMPUTED_VALUE"""),-0.36972861989173356)</f>
        <v>-0.3697286199</v>
      </c>
      <c r="F99" s="15">
        <f>IFERROR(__xludf.DUMMYFUNCTION("""COMPUTED_VALUE"""),-0.28614931955402934)</f>
        <v>-0.2861493196</v>
      </c>
      <c r="G99" s="17">
        <f>IFERROR(__xludf.DUMMYFUNCTION("""COMPUTED_VALUE"""),0.06451056838910227)</f>
        <v>0.06451056839</v>
      </c>
      <c r="H99" s="4"/>
      <c r="I99" s="5" t="s">
        <v>3319</v>
      </c>
      <c r="J99" s="5" t="s">
        <v>644</v>
      </c>
      <c r="K99" s="24">
        <v>593.0</v>
      </c>
      <c r="L99" s="5">
        <v>0.619569</v>
      </c>
      <c r="M99" s="5">
        <v>-0.064266</v>
      </c>
      <c r="N99" s="5">
        <v>0.555303</v>
      </c>
      <c r="O99" s="5">
        <v>0.46002</v>
      </c>
    </row>
    <row r="100">
      <c r="A100" s="18" t="str">
        <f>IFERROR(__xludf.DUMMYFUNCTION("""COMPUTED_VALUE"""),"Erike Lima")</f>
        <v>Erike Lima</v>
      </c>
      <c r="B100" s="19" t="str">
        <f>IFERROR(__xludf.DUMMYFUNCTION("""COMPUTED_VALUE"""),"BOT")</f>
        <v>BOT</v>
      </c>
      <c r="C100" s="20">
        <f>IFERROR(__xludf.DUMMYFUNCTION("""COMPUTED_VALUE"""),11.0)</f>
        <v>11</v>
      </c>
      <c r="D100" s="21">
        <f>IFERROR(__xludf.DUMMYFUNCTION("""COMPUTED_VALUE"""),-0.07804701656807984)</f>
        <v>-0.07804701657</v>
      </c>
      <c r="E100" s="21">
        <f>IFERROR(__xludf.DUMMYFUNCTION("""COMPUTED_VALUE"""),-0.2708062049595869)</f>
        <v>-0.270806205</v>
      </c>
      <c r="F100" s="21">
        <f>IFERROR(__xludf.DUMMYFUNCTION("""COMPUTED_VALUE"""),-0.3488626215276667)</f>
        <v>-0.3488626215</v>
      </c>
      <c r="G100" s="23">
        <f>IFERROR(__xludf.DUMMYFUNCTION("""COMPUTED_VALUE"""),0.005572526785160165)</f>
        <v>0.005572526785</v>
      </c>
      <c r="H100" s="4"/>
      <c r="I100" s="5" t="s">
        <v>3320</v>
      </c>
      <c r="J100" s="5" t="s">
        <v>3256</v>
      </c>
      <c r="K100" s="5">
        <v>5.0</v>
      </c>
      <c r="L100" s="5">
        <v>-0.013611</v>
      </c>
      <c r="M100" s="5">
        <v>0.5484</v>
      </c>
      <c r="N100" s="5">
        <v>0.53479</v>
      </c>
      <c r="O100" s="5">
        <v>0.003462</v>
      </c>
    </row>
    <row r="101">
      <c r="A101" s="12" t="str">
        <f>IFERROR(__xludf.DUMMYFUNCTION("""COMPUTED_VALUE"""),"Kyle Fuller")</f>
        <v>Kyle Fuller</v>
      </c>
      <c r="B101" s="13" t="str">
        <f>IFERROR(__xludf.DUMMYFUNCTION("""COMPUTED_VALUE"""),"PAU")</f>
        <v>PAU</v>
      </c>
      <c r="C101" s="14">
        <f>IFERROR(__xludf.DUMMYFUNCTION("""COMPUTED_VALUE"""),899.1)</f>
        <v>899.1</v>
      </c>
      <c r="D101" s="15">
        <f>IFERROR(__xludf.DUMMYFUNCTION("""COMPUTED_VALUE"""),1.3468513740810548)</f>
        <v>1.346851374</v>
      </c>
      <c r="E101" s="15">
        <f>IFERROR(__xludf.DUMMYFUNCTION("""COMPUTED_VALUE"""),-1.6986514759006772)</f>
        <v>-1.698651476</v>
      </c>
      <c r="F101" s="15">
        <f>IFERROR(__xludf.DUMMYFUNCTION("""COMPUTED_VALUE"""),-0.35181290181962227)</f>
        <v>-0.3518129018</v>
      </c>
      <c r="G101" s="17">
        <f>IFERROR(__xludf.DUMMYFUNCTION("""COMPUTED_VALUE"""),0.4506353946605829)</f>
        <v>0.4506353947</v>
      </c>
      <c r="H101" s="4"/>
      <c r="I101" s="5" t="s">
        <v>3321</v>
      </c>
      <c r="J101" s="5" t="s">
        <v>3212</v>
      </c>
      <c r="K101" s="5">
        <v>110.0</v>
      </c>
      <c r="L101" s="5">
        <v>0.201037</v>
      </c>
      <c r="M101" s="5">
        <v>0.332188</v>
      </c>
      <c r="N101" s="5">
        <v>0.533225</v>
      </c>
      <c r="O101" s="5">
        <v>0.084406</v>
      </c>
    </row>
    <row r="102">
      <c r="A102" s="18" t="str">
        <f>IFERROR(__xludf.DUMMYFUNCTION("""COMPUTED_VALUE"""),"Rashaun McLemore")</f>
        <v>Rashaun McLemore</v>
      </c>
      <c r="B102" s="19" t="str">
        <f>IFERROR(__xludf.DUMMYFUNCTION("""COMPUTED_VALUE"""),"CEA")</f>
        <v>CEA</v>
      </c>
      <c r="C102" s="20">
        <f>IFERROR(__xludf.DUMMYFUNCTION("""COMPUTED_VALUE"""),881.8)</f>
        <v>881.8</v>
      </c>
      <c r="D102" s="21">
        <f>IFERROR(__xludf.DUMMYFUNCTION("""COMPUTED_VALUE"""),0.8578067501485439)</f>
        <v>0.8578067501</v>
      </c>
      <c r="E102" s="21">
        <f>IFERROR(__xludf.DUMMYFUNCTION("""COMPUTED_VALUE"""),-1.2120872375688398)</f>
        <v>-1.212087238</v>
      </c>
      <c r="F102" s="21">
        <f>IFERROR(__xludf.DUMMYFUNCTION("""COMPUTED_VALUE"""),-0.35428848742029606)</f>
        <v>-0.3542884874</v>
      </c>
      <c r="G102" s="23">
        <f>IFERROR(__xludf.DUMMYFUNCTION("""COMPUTED_VALUE"""),0.4437617009235704)</f>
        <v>0.4437617009</v>
      </c>
      <c r="H102" s="4"/>
      <c r="I102" s="5" t="s">
        <v>3322</v>
      </c>
      <c r="J102" s="5" t="s">
        <v>3217</v>
      </c>
      <c r="K102" s="5">
        <v>64.0</v>
      </c>
      <c r="L102" s="5">
        <v>0.710399</v>
      </c>
      <c r="M102" s="5">
        <v>-0.180757</v>
      </c>
      <c r="N102" s="5">
        <v>0.529642</v>
      </c>
      <c r="O102" s="5">
        <v>0.048497</v>
      </c>
    </row>
    <row r="103">
      <c r="A103" s="12" t="str">
        <f>IFERROR(__xludf.DUMMYFUNCTION("""COMPUTED_VALUE"""),"Alex Doria")</f>
        <v>Alex Doria</v>
      </c>
      <c r="B103" s="13" t="str">
        <f>IFERROR(__xludf.DUMMYFUNCTION("""COMPUTED_VALUE"""),"PAU")</f>
        <v>PAU</v>
      </c>
      <c r="C103" s="14">
        <f>IFERROR(__xludf.DUMMYFUNCTION("""COMPUTED_VALUE"""),72.5)</f>
        <v>72.5</v>
      </c>
      <c r="D103" s="15">
        <f>IFERROR(__xludf.DUMMYFUNCTION("""COMPUTED_VALUE"""),-0.9367272496207483)</f>
        <v>-0.9367272496</v>
      </c>
      <c r="E103" s="15">
        <f>IFERROR(__xludf.DUMMYFUNCTION("""COMPUTED_VALUE"""),0.5628214456278124)</f>
        <v>0.5628214456</v>
      </c>
      <c r="F103" s="15">
        <f>IFERROR(__xludf.DUMMYFUNCTION("""COMPUTED_VALUE"""),-0.3739207039929358)</f>
        <v>-0.373920704</v>
      </c>
      <c r="G103" s="17">
        <f>IFERROR(__xludf.DUMMYFUNCTION("""COMPUTED_VALUE"""),0.0358639938682937)</f>
        <v>0.03586399387</v>
      </c>
      <c r="H103" s="4"/>
      <c r="I103" s="5" t="s">
        <v>2598</v>
      </c>
      <c r="J103" s="5" t="s">
        <v>3223</v>
      </c>
      <c r="K103" s="24">
        <v>252.0</v>
      </c>
      <c r="L103" s="5">
        <v>2.735212</v>
      </c>
      <c r="M103" s="5">
        <v>-2.210187</v>
      </c>
      <c r="N103" s="5">
        <v>0.525025</v>
      </c>
      <c r="O103" s="5">
        <v>0.193078</v>
      </c>
    </row>
    <row r="104">
      <c r="A104" s="18" t="str">
        <f>IFERROR(__xludf.DUMMYFUNCTION("""COMPUTED_VALUE"""),"Jonatan Oliveira")</f>
        <v>Jonatan Oliveira</v>
      </c>
      <c r="B104" s="19" t="str">
        <f>IFERROR(__xludf.DUMMYFUNCTION("""COMPUTED_VALUE"""),"PIN")</f>
        <v>PIN</v>
      </c>
      <c r="C104" s="20">
        <f>IFERROR(__xludf.DUMMYFUNCTION("""COMPUTED_VALUE"""),8.0)</f>
        <v>8</v>
      </c>
      <c r="D104" s="21">
        <f>IFERROR(__xludf.DUMMYFUNCTION("""COMPUTED_VALUE"""),-0.3865552959595001)</f>
        <v>-0.386555296</v>
      </c>
      <c r="E104" s="21">
        <f>IFERROR(__xludf.DUMMYFUNCTION("""COMPUTED_VALUE"""),-0.026985292589159465)</f>
        <v>-0.02698529259</v>
      </c>
      <c r="F104" s="21">
        <f>IFERROR(__xludf.DUMMYFUNCTION("""COMPUTED_VALUE"""),-0.4135472885486596)</f>
        <v>-0.4135472885</v>
      </c>
      <c r="G104" s="23">
        <f>IFERROR(__xludf.DUMMYFUNCTION("""COMPUTED_VALUE"""),0.00387472433243527)</f>
        <v>0.003874724332</v>
      </c>
      <c r="H104" s="4"/>
      <c r="I104" s="5" t="s">
        <v>3323</v>
      </c>
      <c r="J104" s="5" t="s">
        <v>3217</v>
      </c>
      <c r="K104" s="5">
        <v>531.0</v>
      </c>
      <c r="L104" s="5">
        <v>-0.810468</v>
      </c>
      <c r="M104" s="5">
        <v>1.330781</v>
      </c>
      <c r="N104" s="5">
        <v>0.520314</v>
      </c>
      <c r="O104" s="5">
        <v>0.402475</v>
      </c>
    </row>
    <row r="105">
      <c r="A105" s="12" t="str">
        <f>IFERROR(__xludf.DUMMYFUNCTION("""COMPUTED_VALUE"""),"Jefferson Socas")</f>
        <v>Jefferson Socas</v>
      </c>
      <c r="B105" s="13" t="str">
        <f>IFERROR(__xludf.DUMMYFUNCTION("""COMPUTED_VALUE"""),"JOI")</f>
        <v>JOI</v>
      </c>
      <c r="C105" s="14">
        <f>IFERROR(__xludf.DUMMYFUNCTION("""COMPUTED_VALUE"""),446.0)</f>
        <v>446</v>
      </c>
      <c r="D105" s="15">
        <f>IFERROR(__xludf.DUMMYFUNCTION("""COMPUTED_VALUE"""),-3.17675922175055)</f>
        <v>-3.176759222</v>
      </c>
      <c r="E105" s="15">
        <f>IFERROR(__xludf.DUMMYFUNCTION("""COMPUTED_VALUE"""),2.7584029465261257)</f>
        <v>2.758402947</v>
      </c>
      <c r="F105" s="15">
        <f>IFERROR(__xludf.DUMMYFUNCTION("""COMPUTED_VALUE"""),-0.41835887522442466)</f>
        <v>-0.4183588752</v>
      </c>
      <c r="G105" s="17">
        <f>IFERROR(__xludf.DUMMYFUNCTION("""COMPUTED_VALUE"""),0.21467237730199837)</f>
        <v>0.2146723773</v>
      </c>
      <c r="H105" s="4"/>
      <c r="I105" s="5" t="s">
        <v>3324</v>
      </c>
      <c r="J105" s="5" t="s">
        <v>2838</v>
      </c>
      <c r="K105" s="5">
        <v>501.0</v>
      </c>
      <c r="L105" s="5">
        <v>3.272684</v>
      </c>
      <c r="M105" s="5">
        <v>-2.756733</v>
      </c>
      <c r="N105" s="5">
        <v>0.515951</v>
      </c>
      <c r="O105" s="5">
        <v>0.377319</v>
      </c>
    </row>
    <row r="106">
      <c r="A106" s="18" t="str">
        <f>IFERROR(__xludf.DUMMYFUNCTION("""COMPUTED_VALUE"""),"Henrique Filho")</f>
        <v>Henrique Filho</v>
      </c>
      <c r="B106" s="19" t="str">
        <f>IFERROR(__xludf.DUMMYFUNCTION("""COMPUTED_VALUE"""),"LIG")</f>
        <v>LIG</v>
      </c>
      <c r="C106" s="20">
        <f>IFERROR(__xludf.DUMMYFUNCTION("""COMPUTED_VALUE"""),17.0)</f>
        <v>17</v>
      </c>
      <c r="D106" s="21">
        <f>IFERROR(__xludf.DUMMYFUNCTION("""COMPUTED_VALUE"""),-0.3627592620346213)</f>
        <v>-0.362759262</v>
      </c>
      <c r="E106" s="21">
        <f>IFERROR(__xludf.DUMMYFUNCTION("""COMPUTED_VALUE"""),-0.0720396036302131)</f>
        <v>-0.07203960363</v>
      </c>
      <c r="F106" s="21">
        <f>IFERROR(__xludf.DUMMYFUNCTION("""COMPUTED_VALUE"""),-0.4348119656648344)</f>
        <v>-0.4348119657</v>
      </c>
      <c r="G106" s="23">
        <f>IFERROR(__xludf.DUMMYFUNCTION("""COMPUTED_VALUE"""),0.008009690092172228)</f>
        <v>0.008009690092</v>
      </c>
      <c r="H106" s="4"/>
      <c r="I106" s="5" t="s">
        <v>3325</v>
      </c>
      <c r="J106" s="5" t="s">
        <v>3251</v>
      </c>
      <c r="K106" s="5">
        <v>609.0</v>
      </c>
      <c r="L106" s="5">
        <v>1.671418</v>
      </c>
      <c r="M106" s="5">
        <v>-1.198453</v>
      </c>
      <c r="N106" s="5">
        <v>0.472965</v>
      </c>
      <c r="O106" s="5">
        <v>0.457832</v>
      </c>
    </row>
    <row r="107">
      <c r="A107" s="12" t="str">
        <f>IFERROR(__xludf.DUMMYFUNCTION("""COMPUTED_VALUE"""),"Joao de Sa")</f>
        <v>Joao de Sa</v>
      </c>
      <c r="B107" s="13" t="str">
        <f>IFERROR(__xludf.DUMMYFUNCTION("""COMPUTED_VALUE"""),"CEA")</f>
        <v>CEA</v>
      </c>
      <c r="C107" s="14">
        <f>IFERROR(__xludf.DUMMYFUNCTION("""COMPUTED_VALUE"""),8.0)</f>
        <v>8</v>
      </c>
      <c r="D107" s="15">
        <f>IFERROR(__xludf.DUMMYFUNCTION("""COMPUTED_VALUE"""),-0.3379246415232893)</f>
        <v>-0.3379246415</v>
      </c>
      <c r="E107" s="15">
        <f>IFERROR(__xludf.DUMMYFUNCTION("""COMPUTED_VALUE"""),-0.11393807721505729)</f>
        <v>-0.1139380772</v>
      </c>
      <c r="F107" s="15">
        <f>IFERROR(__xludf.DUMMYFUNCTION("""COMPUTED_VALUE"""),-0.4518784187383466)</f>
        <v>-0.4518784187</v>
      </c>
      <c r="G107" s="17">
        <f>IFERROR(__xludf.DUMMYFUNCTION("""COMPUTED_VALUE"""),0.0038028563779416613)</f>
        <v>0.003802856378</v>
      </c>
      <c r="H107" s="4"/>
      <c r="I107" s="5" t="s">
        <v>3326</v>
      </c>
      <c r="J107" s="5" t="s">
        <v>3281</v>
      </c>
      <c r="K107" s="5">
        <v>598.0</v>
      </c>
      <c r="L107" s="5">
        <v>-0.504816</v>
      </c>
      <c r="M107" s="5">
        <v>0.965622</v>
      </c>
      <c r="N107" s="5">
        <v>0.460806</v>
      </c>
      <c r="O107" s="5">
        <v>0.448455</v>
      </c>
    </row>
    <row r="108">
      <c r="A108" s="18" t="str">
        <f>IFERROR(__xludf.DUMMYFUNCTION("""COMPUTED_VALUE"""),"Jefferson Campos")</f>
        <v>Jefferson Campos</v>
      </c>
      <c r="B108" s="19" t="str">
        <f>IFERROR(__xludf.DUMMYFUNCTION("""COMPUTED_VALUE"""),"MIN")</f>
        <v>MIN</v>
      </c>
      <c r="C108" s="20">
        <f>IFERROR(__xludf.DUMMYFUNCTION("""COMPUTED_VALUE"""),862.2)</f>
        <v>862.2</v>
      </c>
      <c r="D108" s="21">
        <f>IFERROR(__xludf.DUMMYFUNCTION("""COMPUTED_VALUE"""),0.25057673496611177)</f>
        <v>0.250576735</v>
      </c>
      <c r="E108" s="21">
        <f>IFERROR(__xludf.DUMMYFUNCTION("""COMPUTED_VALUE"""),-0.7450304710423538)</f>
        <v>-0.745030471</v>
      </c>
      <c r="F108" s="21">
        <f>IFERROR(__xludf.DUMMYFUNCTION("""COMPUTED_VALUE"""),-0.494472536076242)</f>
        <v>-0.4944725361</v>
      </c>
      <c r="G108" s="23">
        <f>IFERROR(__xludf.DUMMYFUNCTION("""COMPUTED_VALUE"""),0.3967624210633487)</f>
        <v>0.3967624211</v>
      </c>
      <c r="H108" s="4"/>
      <c r="I108" s="5" t="s">
        <v>3327</v>
      </c>
      <c r="J108" s="5" t="s">
        <v>3263</v>
      </c>
      <c r="K108" s="5">
        <v>43.0</v>
      </c>
      <c r="L108" s="5">
        <v>0.686324</v>
      </c>
      <c r="M108" s="5">
        <v>-0.232806</v>
      </c>
      <c r="N108" s="5">
        <v>0.453518</v>
      </c>
      <c r="O108" s="5">
        <v>0.031857</v>
      </c>
    </row>
    <row r="109">
      <c r="A109" s="12" t="str">
        <f>IFERROR(__xludf.DUMMYFUNCTION("""COMPUTED_VALUE"""),"Henrique Ristow")</f>
        <v>Henrique Ristow</v>
      </c>
      <c r="B109" s="13" t="str">
        <f>IFERROR(__xludf.DUMMYFUNCTION("""COMPUTED_VALUE"""),"JOI")</f>
        <v>JOI</v>
      </c>
      <c r="C109" s="14">
        <f>IFERROR(__xludf.DUMMYFUNCTION("""COMPUTED_VALUE"""),4.6)</f>
        <v>4.6</v>
      </c>
      <c r="D109" s="15">
        <f>IFERROR(__xludf.DUMMYFUNCTION("""COMPUTED_VALUE"""),-0.41834645017240996)</f>
        <v>-0.4183464502</v>
      </c>
      <c r="E109" s="15">
        <f>IFERROR(__xludf.DUMMYFUNCTION("""COMPUTED_VALUE"""),-0.08267000899274637)</f>
        <v>-0.08267000899</v>
      </c>
      <c r="F109" s="15">
        <f>IFERROR(__xludf.DUMMYFUNCTION("""COMPUTED_VALUE"""),-0.5010213591651563)</f>
        <v>-0.5010213592</v>
      </c>
      <c r="G109" s="17">
        <f>IFERROR(__xludf.DUMMYFUNCTION("""COMPUTED_VALUE"""),0.002103266646837371)</f>
        <v>0.002103266647</v>
      </c>
      <c r="H109" s="4"/>
      <c r="I109" s="5" t="s">
        <v>3328</v>
      </c>
      <c r="J109" s="5" t="s">
        <v>3278</v>
      </c>
      <c r="K109" s="5">
        <v>790.0</v>
      </c>
      <c r="L109" s="5">
        <v>0.769303</v>
      </c>
      <c r="M109" s="5">
        <v>-0.322163</v>
      </c>
      <c r="N109" s="5">
        <v>0.447139</v>
      </c>
      <c r="O109" s="5">
        <v>0.58345</v>
      </c>
    </row>
    <row r="110">
      <c r="A110" s="18" t="str">
        <f>IFERROR(__xludf.DUMMYFUNCTION("""COMPUTED_VALUE"""),"Matt Shaw")</f>
        <v>Matt Shaw</v>
      </c>
      <c r="B110" s="19" t="str">
        <f>IFERROR(__xludf.DUMMYFUNCTION("""COMPUTED_VALUE"""),"UNIV")</f>
        <v>UNIV</v>
      </c>
      <c r="C110" s="20">
        <f>IFERROR(__xludf.DUMMYFUNCTION("""COMPUTED_VALUE"""),458.3)</f>
        <v>458.3</v>
      </c>
      <c r="D110" s="21">
        <f>IFERROR(__xludf.DUMMYFUNCTION("""COMPUTED_VALUE"""),1.0288743972967898)</f>
        <v>1.028874397</v>
      </c>
      <c r="E110" s="21">
        <f>IFERROR(__xludf.DUMMYFUNCTION("""COMPUTED_VALUE"""),-1.5562731837214823)</f>
        <v>-1.556273184</v>
      </c>
      <c r="F110" s="21">
        <f>IFERROR(__xludf.DUMMYFUNCTION("""COMPUTED_VALUE"""),-0.5274018864246924)</f>
        <v>-0.5274018864</v>
      </c>
      <c r="G110" s="23">
        <f>IFERROR(__xludf.DUMMYFUNCTION("""COMPUTED_VALUE"""),0.2033197922150919)</f>
        <v>0.2033197922</v>
      </c>
      <c r="H110" s="4"/>
      <c r="I110" s="5" t="s">
        <v>1006</v>
      </c>
      <c r="J110" s="5" t="s">
        <v>3226</v>
      </c>
      <c r="K110" s="24">
        <v>271.0</v>
      </c>
      <c r="L110" s="5">
        <v>2.170497</v>
      </c>
      <c r="M110" s="5">
        <v>-1.730457</v>
      </c>
      <c r="N110" s="5">
        <v>0.44004</v>
      </c>
      <c r="O110" s="5">
        <v>0.201922</v>
      </c>
    </row>
    <row r="111">
      <c r="A111" s="12" t="str">
        <f>IFERROR(__xludf.DUMMYFUNCTION("""COMPUTED_VALUE"""),"Omar Bertolin")</f>
        <v>Omar Bertolin</v>
      </c>
      <c r="B111" s="13" t="str">
        <f>IFERROR(__xludf.DUMMYFUNCTION("""COMPUTED_VALUE"""),"MOUR")</f>
        <v>MOUR</v>
      </c>
      <c r="C111" s="14">
        <f>IFERROR(__xludf.DUMMYFUNCTION("""COMPUTED_VALUE"""),6.0)</f>
        <v>6</v>
      </c>
      <c r="D111" s="15">
        <f>IFERROR(__xludf.DUMMYFUNCTION("""COMPUTED_VALUE"""),-0.20637447139482756)</f>
        <v>-0.2063744714</v>
      </c>
      <c r="E111" s="15">
        <f>IFERROR(__xludf.DUMMYFUNCTION("""COMPUTED_VALUE"""),-0.3265996910272939)</f>
        <v>-0.326599691</v>
      </c>
      <c r="F111" s="15">
        <f>IFERROR(__xludf.DUMMYFUNCTION("""COMPUTED_VALUE"""),-0.5329941624221215)</f>
        <v>-0.5329941624</v>
      </c>
      <c r="G111" s="17">
        <f>IFERROR(__xludf.DUMMYFUNCTION("""COMPUTED_VALUE"""),0.002685412936561439)</f>
        <v>0.002685412937</v>
      </c>
      <c r="H111" s="4"/>
      <c r="I111" s="5" t="s">
        <v>3221</v>
      </c>
      <c r="J111" s="5" t="s">
        <v>3281</v>
      </c>
      <c r="K111" s="5">
        <v>28.0</v>
      </c>
      <c r="L111" s="5">
        <v>0.485578</v>
      </c>
      <c r="M111" s="5">
        <v>-0.08601</v>
      </c>
      <c r="N111" s="5">
        <v>0.399568</v>
      </c>
      <c r="O111" s="5">
        <v>0.020412</v>
      </c>
    </row>
    <row r="112">
      <c r="A112" s="18" t="str">
        <f>IFERROR(__xludf.DUMMYFUNCTION("""COMPUTED_VALUE"""),"Guilherme do Carmo")</f>
        <v>Guilherme do Carmo</v>
      </c>
      <c r="B112" s="19" t="str">
        <f>IFERROR(__xludf.DUMMYFUNCTION("""COMPUTED_VALUE"""),"PIN")</f>
        <v>PIN</v>
      </c>
      <c r="C112" s="20">
        <f>IFERROR(__xludf.DUMMYFUNCTION("""COMPUTED_VALUE"""),223.9)</f>
        <v>223.9</v>
      </c>
      <c r="D112" s="21">
        <f>IFERROR(__xludf.DUMMYFUNCTION("""COMPUTED_VALUE"""),-1.200982208077921)</f>
        <v>-1.200982208</v>
      </c>
      <c r="E112" s="21">
        <f>IFERROR(__xludf.DUMMYFUNCTION("""COMPUTED_VALUE"""),0.6532759332657412)</f>
        <v>0.6532759333</v>
      </c>
      <c r="F112" s="21">
        <f>IFERROR(__xludf.DUMMYFUNCTION("""COMPUTED_VALUE"""),-0.5477212748121799)</f>
        <v>-0.5477212748</v>
      </c>
      <c r="G112" s="23">
        <f>IFERROR(__xludf.DUMMYFUNCTION("""COMPUTED_VALUE"""),0.09911556899220007)</f>
        <v>0.09911556899</v>
      </c>
      <c r="H112" s="4"/>
      <c r="I112" s="5" t="s">
        <v>3329</v>
      </c>
      <c r="J112" s="5" t="s">
        <v>3210</v>
      </c>
      <c r="K112" s="24">
        <v>219.0</v>
      </c>
      <c r="L112" s="5">
        <v>1.846212</v>
      </c>
      <c r="M112" s="5">
        <v>-1.47944</v>
      </c>
      <c r="N112" s="5">
        <v>0.366772</v>
      </c>
      <c r="O112" s="5">
        <v>0.155679</v>
      </c>
    </row>
    <row r="113">
      <c r="A113" s="12" t="str">
        <f>IFERROR(__xludf.DUMMYFUNCTION("""COMPUTED_VALUE"""),"Alef Alves")</f>
        <v>Alef Alves</v>
      </c>
      <c r="B113" s="13" t="str">
        <f>IFERROR(__xludf.DUMMYFUNCTION("""COMPUTED_VALUE"""),"MOUR")</f>
        <v>MOUR</v>
      </c>
      <c r="C113" s="14">
        <f>IFERROR(__xludf.DUMMYFUNCTION("""COMPUTED_VALUE"""),8.7)</f>
        <v>8.7</v>
      </c>
      <c r="D113" s="15">
        <f>IFERROR(__xludf.DUMMYFUNCTION("""COMPUTED_VALUE"""),-0.43573159109476617)</f>
        <v>-0.4357315911</v>
      </c>
      <c r="E113" s="15">
        <f>IFERROR(__xludf.DUMMYFUNCTION("""COMPUTED_VALUE"""),-0.11934419856343778)</f>
        <v>-0.1193441986</v>
      </c>
      <c r="F113" s="15">
        <f>IFERROR(__xludf.DUMMYFUNCTION("""COMPUTED_VALUE"""),-0.555097889658204)</f>
        <v>-0.5550978897</v>
      </c>
      <c r="G113" s="17">
        <f>IFERROR(__xludf.DUMMYFUNCTION("""COMPUTED_VALUE"""),0.003828716158955788)</f>
        <v>0.003828716159</v>
      </c>
      <c r="H113" s="4"/>
      <c r="I113" s="5" t="s">
        <v>3330</v>
      </c>
      <c r="J113" s="5" t="s">
        <v>3331</v>
      </c>
      <c r="K113" s="5">
        <v>838.0</v>
      </c>
      <c r="L113" s="5">
        <v>-0.351086</v>
      </c>
      <c r="M113" s="5">
        <v>0.710362</v>
      </c>
      <c r="N113" s="5">
        <v>0.359276</v>
      </c>
      <c r="O113" s="5">
        <v>0.600281</v>
      </c>
    </row>
    <row r="114">
      <c r="A114" s="18" t="str">
        <f>IFERROR(__xludf.DUMMYFUNCTION("""COMPUTED_VALUE"""),"Vinicius Pastor")</f>
        <v>Vinicius Pastor</v>
      </c>
      <c r="B114" s="19" t="str">
        <f>IFERROR(__xludf.DUMMYFUNCTION("""COMPUTED_VALUE"""),"MOUR")</f>
        <v>MOUR</v>
      </c>
      <c r="C114" s="20">
        <f>IFERROR(__xludf.DUMMYFUNCTION("""COMPUTED_VALUE"""),563.9)</f>
        <v>563.9</v>
      </c>
      <c r="D114" s="21">
        <f>IFERROR(__xludf.DUMMYFUNCTION("""COMPUTED_VALUE"""),1.365424333950151)</f>
        <v>1.365424334</v>
      </c>
      <c r="E114" s="21">
        <f>IFERROR(__xludf.DUMMYFUNCTION("""COMPUTED_VALUE"""),-1.938872847325276)</f>
        <v>-1.938872847</v>
      </c>
      <c r="F114" s="21">
        <f>IFERROR(__xludf.DUMMYFUNCTION("""COMPUTED_VALUE"""),-0.5734547133751252)</f>
        <v>-0.5734547134</v>
      </c>
      <c r="G114" s="23">
        <f>IFERROR(__xludf.DUMMYFUNCTION("""COMPUTED_VALUE"""),0.24360159084886188)</f>
        <v>0.2436015908</v>
      </c>
      <c r="H114" s="4"/>
      <c r="I114" s="5" t="s">
        <v>3332</v>
      </c>
      <c r="J114" s="5" t="s">
        <v>3217</v>
      </c>
      <c r="K114" s="5">
        <v>18.0</v>
      </c>
      <c r="L114" s="5">
        <v>0.244165</v>
      </c>
      <c r="M114" s="5">
        <v>0.079685</v>
      </c>
      <c r="N114" s="5">
        <v>0.323851</v>
      </c>
      <c r="O114" s="5">
        <v>0.012729</v>
      </c>
    </row>
    <row r="115">
      <c r="A115" s="12" t="str">
        <f>IFERROR(__xludf.DUMMYFUNCTION("""COMPUTED_VALUE"""),"Faricio De Oliveira")</f>
        <v>Faricio De Oliveira</v>
      </c>
      <c r="B115" s="13" t="str">
        <f>IFERROR(__xludf.DUMMYFUNCTION("""COMPUTED_VALUE"""),"MOG")</f>
        <v>MOG</v>
      </c>
      <c r="C115" s="14">
        <f>IFERROR(__xludf.DUMMYFUNCTION("""COMPUTED_VALUE"""),28.0)</f>
        <v>28</v>
      </c>
      <c r="D115" s="15">
        <f>IFERROR(__xludf.DUMMYFUNCTION("""COMPUTED_VALUE"""),-0.659173324667413)</f>
        <v>-0.6591733247</v>
      </c>
      <c r="E115" s="15">
        <f>IFERROR(__xludf.DUMMYFUNCTION("""COMPUTED_VALUE"""),0.06783552184697904)</f>
        <v>0.06783552185</v>
      </c>
      <c r="F115" s="15">
        <f>IFERROR(__xludf.DUMMYFUNCTION("""COMPUTED_VALUE"""),-0.5913538028204339)</f>
        <v>-0.5913538028</v>
      </c>
      <c r="G115" s="17">
        <f>IFERROR(__xludf.DUMMYFUNCTION("""COMPUTED_VALUE"""),0.012050212516797627)</f>
        <v>0.01205021252</v>
      </c>
      <c r="H115" s="4"/>
      <c r="I115" s="5" t="s">
        <v>1068</v>
      </c>
      <c r="J115" s="5" t="s">
        <v>3217</v>
      </c>
      <c r="K115" s="24">
        <v>347.0</v>
      </c>
      <c r="L115" s="5">
        <v>0.331608</v>
      </c>
      <c r="M115" s="5">
        <v>-0.011678</v>
      </c>
      <c r="N115" s="5">
        <v>0.31993</v>
      </c>
      <c r="O115" s="5">
        <v>0.242561</v>
      </c>
    </row>
    <row r="116">
      <c r="A116" s="18" t="str">
        <f>IFERROR(__xludf.DUMMYFUNCTION("""COMPUTED_VALUE"""),"Gabriel Fernandes")</f>
        <v>Gabriel Fernandes</v>
      </c>
      <c r="B116" s="19" t="str">
        <f>IFERROR(__xludf.DUMMYFUNCTION("""COMPUTED_VALUE"""),"CEA")</f>
        <v>CEA</v>
      </c>
      <c r="C116" s="20">
        <f>IFERROR(__xludf.DUMMYFUNCTION("""COMPUTED_VALUE"""),7.4)</f>
        <v>7.4</v>
      </c>
      <c r="D116" s="21">
        <f>IFERROR(__xludf.DUMMYFUNCTION("""COMPUTED_VALUE"""),-0.3284862078038911)</f>
        <v>-0.3284862078</v>
      </c>
      <c r="E116" s="21">
        <f>IFERROR(__xludf.DUMMYFUNCTION("""COMPUTED_VALUE"""),-0.29438957464767035)</f>
        <v>-0.2943895746</v>
      </c>
      <c r="F116" s="21">
        <f>IFERROR(__xludf.DUMMYFUNCTION("""COMPUTED_VALUE"""),-0.6228897824515615)</f>
        <v>-0.6228897825</v>
      </c>
      <c r="G116" s="23">
        <f>IFERROR(__xludf.DUMMYFUNCTION("""COMPUTED_VALUE"""),0.0031301518069025984)</f>
        <v>0.003130151807</v>
      </c>
      <c r="H116" s="4"/>
      <c r="I116" s="5" t="s">
        <v>3333</v>
      </c>
      <c r="J116" s="5" t="s">
        <v>3226</v>
      </c>
      <c r="K116" s="5">
        <v>568.0</v>
      </c>
      <c r="L116" s="5">
        <v>0.238597</v>
      </c>
      <c r="M116" s="5">
        <v>0.066363</v>
      </c>
      <c r="N116" s="5">
        <v>0.30496</v>
      </c>
      <c r="O116" s="5">
        <v>0.399141</v>
      </c>
    </row>
    <row r="117">
      <c r="A117" s="12" t="str">
        <f>IFERROR(__xludf.DUMMYFUNCTION("""COMPUTED_VALUE"""),"Dikembe Andre")</f>
        <v>Dikembe Andre</v>
      </c>
      <c r="B117" s="13" t="str">
        <f>IFERROR(__xludf.DUMMYFUNCTION("""COMPUTED_VALUE"""),"PAU")</f>
        <v>PAU</v>
      </c>
      <c r="C117" s="14">
        <f>IFERROR(__xludf.DUMMYFUNCTION("""COMPUTED_VALUE"""),10.0)</f>
        <v>10</v>
      </c>
      <c r="D117" s="15">
        <f>IFERROR(__xludf.DUMMYFUNCTION("""COMPUTED_VALUE"""),-0.5505551928654697)</f>
        <v>-0.5505551929</v>
      </c>
      <c r="E117" s="15">
        <f>IFERROR(__xludf.DUMMYFUNCTION("""COMPUTED_VALUE"""),-0.14464796026309062)</f>
        <v>-0.1446479603</v>
      </c>
      <c r="F117" s="15">
        <f>IFERROR(__xludf.DUMMYFUNCTION("""COMPUTED_VALUE"""),-0.6952247531285604)</f>
        <v>-0.6952247531</v>
      </c>
      <c r="G117" s="17">
        <f>IFERROR(__xludf.DUMMYFUNCTION("""COMPUTED_VALUE"""),0.003989257404381047)</f>
        <v>0.003989257404</v>
      </c>
      <c r="H117" s="4"/>
      <c r="I117" s="5" t="s">
        <v>3334</v>
      </c>
      <c r="J117" s="5" t="s">
        <v>2838</v>
      </c>
      <c r="K117" s="5">
        <v>688.0</v>
      </c>
      <c r="L117" s="5">
        <v>0.411198</v>
      </c>
      <c r="M117" s="5">
        <v>-0.159124</v>
      </c>
      <c r="N117" s="5">
        <v>0.252074</v>
      </c>
      <c r="O117" s="5">
        <v>0.464045</v>
      </c>
    </row>
    <row r="118">
      <c r="A118" s="18" t="str">
        <f>IFERROR(__xludf.DUMMYFUNCTION("""COMPUTED_VALUE"""),"Henrique Cerimelli")</f>
        <v>Henrique Cerimelli</v>
      </c>
      <c r="B118" s="19" t="str">
        <f>IFERROR(__xludf.DUMMYFUNCTION("""COMPUTED_VALUE"""),"BAU")</f>
        <v>BAU</v>
      </c>
      <c r="C118" s="20">
        <f>IFERROR(__xludf.DUMMYFUNCTION("""COMPUTED_VALUE"""),23.0)</f>
        <v>23</v>
      </c>
      <c r="D118" s="21">
        <f>IFERROR(__xludf.DUMMYFUNCTION("""COMPUTED_VALUE"""),-0.18559366660663956)</f>
        <v>-0.1855936666</v>
      </c>
      <c r="E118" s="21">
        <f>IFERROR(__xludf.DUMMYFUNCTION("""COMPUTED_VALUE"""),-0.5127613831819704)</f>
        <v>-0.5127613832</v>
      </c>
      <c r="F118" s="21">
        <f>IFERROR(__xludf.DUMMYFUNCTION("""COMPUTED_VALUE"""),-0.69837334978861)</f>
        <v>-0.6983733498</v>
      </c>
      <c r="G118" s="23">
        <f>IFERROR(__xludf.DUMMYFUNCTION("""COMPUTED_VALUE"""),0.009139712987606576)</f>
        <v>0.009139712988</v>
      </c>
      <c r="H118" s="4"/>
      <c r="I118" s="5" t="s">
        <v>3335</v>
      </c>
      <c r="J118" s="5" t="s">
        <v>2201</v>
      </c>
      <c r="K118" s="24">
        <v>511.0</v>
      </c>
      <c r="L118" s="5">
        <v>-1.063728</v>
      </c>
      <c r="M118" s="5">
        <v>1.303911</v>
      </c>
      <c r="N118" s="5">
        <v>0.240182</v>
      </c>
      <c r="O118" s="5">
        <v>0.349405</v>
      </c>
    </row>
    <row r="119">
      <c r="A119" s="12" t="str">
        <f>IFERROR(__xludf.DUMMYFUNCTION("""COMPUTED_VALUE"""),"Vithor Lersch")</f>
        <v>Vithor Lersch</v>
      </c>
      <c r="B119" s="13" t="str">
        <f>IFERROR(__xludf.DUMMYFUNCTION("""COMPUTED_VALUE"""),"MOG")</f>
        <v>MOG</v>
      </c>
      <c r="C119" s="14">
        <f>IFERROR(__xludf.DUMMYFUNCTION("""COMPUTED_VALUE"""),542.4)</f>
        <v>542.4</v>
      </c>
      <c r="D119" s="15">
        <f>IFERROR(__xludf.DUMMYFUNCTION("""COMPUTED_VALUE"""),-0.47891850311070694)</f>
        <v>-0.4789185031</v>
      </c>
      <c r="E119" s="15">
        <f>IFERROR(__xludf.DUMMYFUNCTION("""COMPUTED_VALUE"""),-0.23134018909995752)</f>
        <v>-0.2313401891</v>
      </c>
      <c r="F119" s="15">
        <f>IFERROR(__xludf.DUMMYFUNCTION("""COMPUTED_VALUE"""),-0.7102682922106645)</f>
        <v>-0.7102682922</v>
      </c>
      <c r="G119" s="17">
        <f>IFERROR(__xludf.DUMMYFUNCTION("""COMPUTED_VALUE"""),0.21345007363157406)</f>
        <v>0.2134500736</v>
      </c>
      <c r="H119" s="4"/>
      <c r="I119" s="5" t="s">
        <v>3336</v>
      </c>
      <c r="J119" s="5" t="s">
        <v>3207</v>
      </c>
      <c r="K119" s="24">
        <v>11.0</v>
      </c>
      <c r="L119" s="5">
        <v>0.223952</v>
      </c>
      <c r="M119" s="5">
        <v>0.011983</v>
      </c>
      <c r="N119" s="5">
        <v>0.235936</v>
      </c>
      <c r="O119" s="5">
        <v>0.007134</v>
      </c>
    </row>
    <row r="120">
      <c r="A120" s="18" t="str">
        <f>IFERROR(__xludf.DUMMYFUNCTION("""COMPUTED_VALUE"""),"Guilherme Giovannoni")</f>
        <v>Guilherme Giovannoni</v>
      </c>
      <c r="B120" s="19" t="str">
        <f>IFERROR(__xludf.DUMMYFUNCTION("""COMPUTED_VALUE"""),"VAS")</f>
        <v>VAS</v>
      </c>
      <c r="C120" s="20">
        <f>IFERROR(__xludf.DUMMYFUNCTION("""COMPUTED_VALUE"""),872.6)</f>
        <v>872.6</v>
      </c>
      <c r="D120" s="21">
        <f>IFERROR(__xludf.DUMMYFUNCTION("""COMPUTED_VALUE"""),-0.6446487277934366)</f>
        <v>-0.6446487278</v>
      </c>
      <c r="E120" s="21">
        <f>IFERROR(__xludf.DUMMYFUNCTION("""COMPUTED_VALUE"""),-0.09726494744678645)</f>
        <v>-0.09726494745</v>
      </c>
      <c r="F120" s="21">
        <f>IFERROR(__xludf.DUMMYFUNCTION("""COMPUTED_VALUE"""),-0.7419259752402231)</f>
        <v>-0.7419259752</v>
      </c>
      <c r="G120" s="23">
        <f>IFERROR(__xludf.DUMMYFUNCTION("""COMPUTED_VALUE"""),0.33303569720794646)</f>
        <v>0.3330356972</v>
      </c>
      <c r="H120" s="4"/>
      <c r="I120" s="5" t="s">
        <v>3337</v>
      </c>
      <c r="J120" s="5" t="s">
        <v>3251</v>
      </c>
      <c r="K120" s="5">
        <v>7.0</v>
      </c>
      <c r="L120" s="5">
        <v>0.125449</v>
      </c>
      <c r="M120" s="5">
        <v>0.024069</v>
      </c>
      <c r="N120" s="5">
        <v>0.149518</v>
      </c>
      <c r="O120" s="5">
        <v>0.004441</v>
      </c>
    </row>
    <row r="121">
      <c r="A121" s="12" t="str">
        <f>IFERROR(__xludf.DUMMYFUNCTION("""COMPUTED_VALUE"""),"Alexandre Paranhos")</f>
        <v>Alexandre Paranhos</v>
      </c>
      <c r="B121" s="13" t="str">
        <f>IFERROR(__xludf.DUMMYFUNCTION("""COMPUTED_VALUE"""),"CAX")</f>
        <v>CAX</v>
      </c>
      <c r="C121" s="14">
        <f>IFERROR(__xludf.DUMMYFUNCTION("""COMPUTED_VALUE"""),858.8)</f>
        <v>858.8</v>
      </c>
      <c r="D121" s="15">
        <f>IFERROR(__xludf.DUMMYFUNCTION("""COMPUTED_VALUE"""),-2.3245346649928336)</f>
        <v>-2.324534665</v>
      </c>
      <c r="E121" s="15">
        <f>IFERROR(__xludf.DUMMYFUNCTION("""COMPUTED_VALUE"""),1.5553556927186696)</f>
        <v>1.555355693</v>
      </c>
      <c r="F121" s="15">
        <f>IFERROR(__xludf.DUMMYFUNCTION("""COMPUTED_VALUE"""),-0.769185372274164)</f>
        <v>-0.7691853723</v>
      </c>
      <c r="G121" s="17">
        <f>IFERROR(__xludf.DUMMYFUNCTION("""COMPUTED_VALUE"""),0.3199069989576565)</f>
        <v>0.319906999</v>
      </c>
      <c r="H121" s="4"/>
      <c r="I121" s="5" t="s">
        <v>3338</v>
      </c>
      <c r="J121" s="5" t="s">
        <v>3215</v>
      </c>
      <c r="K121" s="5">
        <v>379.0</v>
      </c>
      <c r="L121" s="5">
        <v>0.251217</v>
      </c>
      <c r="M121" s="5">
        <v>-0.131085</v>
      </c>
      <c r="N121" s="5">
        <v>0.120131</v>
      </c>
      <c r="O121" s="5">
        <v>0.243925</v>
      </c>
    </row>
    <row r="122">
      <c r="A122" s="18" t="str">
        <f>IFERROR(__xludf.DUMMYFUNCTION("""COMPUTED_VALUE"""),"Fulvio de Assis")</f>
        <v>Fulvio de Assis</v>
      </c>
      <c r="B122" s="19" t="str">
        <f>IFERROR(__xludf.DUMMYFUNCTION("""COMPUTED_VALUE"""),"VAS")</f>
        <v>VAS</v>
      </c>
      <c r="C122" s="20">
        <f>IFERROR(__xludf.DUMMYFUNCTION("""COMPUTED_VALUE"""),561.4)</f>
        <v>561.4</v>
      </c>
      <c r="D122" s="21">
        <f>IFERROR(__xludf.DUMMYFUNCTION("""COMPUTED_VALUE"""),0.9857618969390007)</f>
        <v>0.9857618969</v>
      </c>
      <c r="E122" s="21">
        <f>IFERROR(__xludf.DUMMYFUNCTION("""COMPUTED_VALUE"""),-1.7568187573525784)</f>
        <v>-1.756818757</v>
      </c>
      <c r="F122" s="21">
        <f>IFERROR(__xludf.DUMMYFUNCTION("""COMPUTED_VALUE"""),-0.7710732604135777)</f>
        <v>-0.7710732604</v>
      </c>
      <c r="G122" s="23">
        <f>IFERROR(__xludf.DUMMYFUNCTION("""COMPUTED_VALUE"""),0.20930797426605885)</f>
        <v>0.2093079743</v>
      </c>
      <c r="H122" s="4"/>
      <c r="I122" s="5" t="s">
        <v>3339</v>
      </c>
      <c r="J122" s="5" t="s">
        <v>3237</v>
      </c>
      <c r="K122" s="24">
        <v>241.0</v>
      </c>
      <c r="L122" s="5">
        <v>-1.808563</v>
      </c>
      <c r="M122" s="5">
        <v>1.884509</v>
      </c>
      <c r="N122" s="5">
        <v>0.075946</v>
      </c>
      <c r="O122" s="5">
        <v>0.168723</v>
      </c>
    </row>
    <row r="123">
      <c r="A123" s="12" t="str">
        <f>IFERROR(__xludf.DUMMYFUNCTION("""COMPUTED_VALUE"""),"Greg Brown")</f>
        <v>Greg Brown</v>
      </c>
      <c r="B123" s="13" t="str">
        <f>IFERROR(__xludf.DUMMYFUNCTION("""COMPUTED_VALUE"""),"MOUR")</f>
        <v>MOUR</v>
      </c>
      <c r="C123" s="14">
        <f>IFERROR(__xludf.DUMMYFUNCTION("""COMPUTED_VALUE"""),892.4)</f>
        <v>892.4</v>
      </c>
      <c r="D123" s="15">
        <f>IFERROR(__xludf.DUMMYFUNCTION("""COMPUTED_VALUE"""),0.5431958932625259)</f>
        <v>0.5431958933</v>
      </c>
      <c r="E123" s="15">
        <f>IFERROR(__xludf.DUMMYFUNCTION("""COMPUTED_VALUE"""),-1.3463264120785277)</f>
        <v>-1.346326412</v>
      </c>
      <c r="F123" s="15">
        <f>IFERROR(__xludf.DUMMYFUNCTION("""COMPUTED_VALUE"""),-0.8031497188160018)</f>
        <v>-0.8031497188</v>
      </c>
      <c r="G123" s="17">
        <f>IFERROR(__xludf.DUMMYFUNCTION("""COMPUTED_VALUE"""),0.3234495692733454)</f>
        <v>0.3234495693</v>
      </c>
      <c r="H123" s="4"/>
      <c r="I123" s="5" t="s">
        <v>3340</v>
      </c>
      <c r="J123" s="5" t="s">
        <v>3237</v>
      </c>
      <c r="K123" s="5">
        <v>18.0</v>
      </c>
      <c r="L123" s="5">
        <v>0.094306</v>
      </c>
      <c r="M123" s="5">
        <v>-0.030578</v>
      </c>
      <c r="N123" s="5">
        <v>0.063728</v>
      </c>
      <c r="O123" s="5">
        <v>0.012533</v>
      </c>
    </row>
    <row r="124">
      <c r="A124" s="18" t="str">
        <f>IFERROR(__xludf.DUMMYFUNCTION("""COMPUTED_VALUE"""),"Leandro de Almeida")</f>
        <v>Leandro de Almeida</v>
      </c>
      <c r="B124" s="19" t="str">
        <f>IFERROR(__xludf.DUMMYFUNCTION("""COMPUTED_VALUE"""),"LIG")</f>
        <v>LIG</v>
      </c>
      <c r="C124" s="20">
        <f>IFERROR(__xludf.DUMMYFUNCTION("""COMPUTED_VALUE"""),76.4)</f>
        <v>76.4</v>
      </c>
      <c r="D124" s="21">
        <f>IFERROR(__xludf.DUMMYFUNCTION("""COMPUTED_VALUE"""),-1.3564229793305773)</f>
        <v>-1.356422979</v>
      </c>
      <c r="E124" s="21">
        <f>IFERROR(__xludf.DUMMYFUNCTION("""COMPUTED_VALUE"""),0.5516002613870566)</f>
        <v>0.5516002614</v>
      </c>
      <c r="F124" s="21">
        <f>IFERROR(__xludf.DUMMYFUNCTION("""COMPUTED_VALUE"""),-0.8048392179435206)</f>
        <v>-0.8048392179</v>
      </c>
      <c r="G124" s="23">
        <f>IFERROR(__xludf.DUMMYFUNCTION("""COMPUTED_VALUE"""),0.027458078313840544)</f>
        <v>0.02745807831</v>
      </c>
      <c r="H124" s="4"/>
      <c r="I124" s="5" t="s">
        <v>3341</v>
      </c>
      <c r="J124" s="5" t="s">
        <v>644</v>
      </c>
      <c r="K124" s="5">
        <v>107.0</v>
      </c>
      <c r="L124" s="5">
        <v>0.949195</v>
      </c>
      <c r="M124" s="5">
        <v>-0.934574</v>
      </c>
      <c r="N124" s="5">
        <v>0.01462</v>
      </c>
      <c r="O124" s="5">
        <v>0.065381</v>
      </c>
    </row>
    <row r="125">
      <c r="A125" s="12" t="str">
        <f>IFERROR(__xludf.DUMMYFUNCTION("""COMPUTED_VALUE"""),"Rafael Hettsheimer")</f>
        <v>Rafael Hettsheimer</v>
      </c>
      <c r="B125" s="13" t="str">
        <f>IFERROR(__xludf.DUMMYFUNCTION("""COMPUTED_VALUE"""),"BAU")</f>
        <v>BAU</v>
      </c>
      <c r="C125" s="14">
        <f>IFERROR(__xludf.DUMMYFUNCTION("""COMPUTED_VALUE"""),999.6)</f>
        <v>999.6</v>
      </c>
      <c r="D125" s="15">
        <f>IFERROR(__xludf.DUMMYFUNCTION("""COMPUTED_VALUE"""),1.918474025168056)</f>
        <v>1.918474025</v>
      </c>
      <c r="E125" s="15">
        <f>IFERROR(__xludf.DUMMYFUNCTION("""COMPUTED_VALUE"""),-2.7596929366848717)</f>
        <v>-2.759692937</v>
      </c>
      <c r="F125" s="15">
        <f>IFERROR(__xludf.DUMMYFUNCTION("""COMPUTED_VALUE"""),-0.8412304115168154)</f>
        <v>-0.8412304115</v>
      </c>
      <c r="G125" s="17">
        <f>IFERROR(__xludf.DUMMYFUNCTION("""COMPUTED_VALUE"""),0.35292736963691085)</f>
        <v>0.3529273696</v>
      </c>
      <c r="H125" s="4"/>
      <c r="I125" s="5" t="s">
        <v>3342</v>
      </c>
      <c r="J125" s="5" t="s">
        <v>3240</v>
      </c>
      <c r="K125" s="24">
        <v>23.0</v>
      </c>
      <c r="L125" s="5">
        <v>-0.101425</v>
      </c>
      <c r="M125" s="5">
        <v>0.098087</v>
      </c>
      <c r="N125" s="5">
        <v>-0.003338</v>
      </c>
      <c r="O125" s="5">
        <v>0.014248</v>
      </c>
    </row>
    <row r="126">
      <c r="A126" s="18" t="str">
        <f>IFERROR(__xludf.DUMMYFUNCTION("""COMPUTED_VALUE"""),"Nick Okorie")</f>
        <v>Nick Okorie</v>
      </c>
      <c r="B126" s="19" t="str">
        <f>IFERROR(__xludf.DUMMYFUNCTION("""COMPUTED_VALUE"""),"UNIV")</f>
        <v>UNIV</v>
      </c>
      <c r="C126" s="20">
        <f>IFERROR(__xludf.DUMMYFUNCTION("""COMPUTED_VALUE"""),842.6)</f>
        <v>842.6</v>
      </c>
      <c r="D126" s="21">
        <f>IFERROR(__xludf.DUMMYFUNCTION("""COMPUTED_VALUE"""),0.8369436932930276)</f>
        <v>0.8369436933</v>
      </c>
      <c r="E126" s="21">
        <f>IFERROR(__xludf.DUMMYFUNCTION("""COMPUTED_VALUE"""),-1.710961007858643)</f>
        <v>-1.710961008</v>
      </c>
      <c r="F126" s="21">
        <f>IFERROR(__xludf.DUMMYFUNCTION("""COMPUTED_VALUE"""),-0.8740242145656155)</f>
        <v>-0.8740242146</v>
      </c>
      <c r="G126" s="23">
        <f>IFERROR(__xludf.DUMMYFUNCTION("""COMPUTED_VALUE"""),0.28582481328417425)</f>
        <v>0.2858248133</v>
      </c>
      <c r="H126" s="4"/>
      <c r="I126" s="5" t="s">
        <v>3343</v>
      </c>
      <c r="J126" s="5" t="s">
        <v>3226</v>
      </c>
      <c r="K126" s="5">
        <v>0.0</v>
      </c>
      <c r="L126" s="5">
        <v>-0.005493</v>
      </c>
      <c r="M126" s="5">
        <v>5.51E-4</v>
      </c>
      <c r="N126" s="5">
        <v>-0.004942</v>
      </c>
      <c r="O126" s="5">
        <v>1.83E-4</v>
      </c>
    </row>
    <row r="127">
      <c r="A127" s="12" t="str">
        <f>IFERROR(__xludf.DUMMYFUNCTION("""COMPUTED_VALUE"""),"Guilherme Lessa")</f>
        <v>Guilherme Lessa</v>
      </c>
      <c r="B127" s="13" t="str">
        <f>IFERROR(__xludf.DUMMYFUNCTION("""COMPUTED_VALUE"""),"MOG")</f>
        <v>MOG</v>
      </c>
      <c r="C127" s="14">
        <f>IFERROR(__xludf.DUMMYFUNCTION("""COMPUTED_VALUE"""),72.6)</f>
        <v>72.6</v>
      </c>
      <c r="D127" s="15">
        <f>IFERROR(__xludf.DUMMYFUNCTION("""COMPUTED_VALUE"""),-0.19494812174552836)</f>
        <v>-0.1949481217</v>
      </c>
      <c r="E127" s="15">
        <f>IFERROR(__xludf.DUMMYFUNCTION("""COMPUTED_VALUE"""),-0.6999129040658654)</f>
        <v>-0.6999129041</v>
      </c>
      <c r="F127" s="15">
        <f>IFERROR(__xludf.DUMMYFUNCTION("""COMPUTED_VALUE"""),-0.8948705258113937)</f>
        <v>-0.8948705258</v>
      </c>
      <c r="G127" s="17">
        <f>IFERROR(__xludf.DUMMYFUNCTION("""COMPUTED_VALUE"""),0.024489279444899918)</f>
        <v>0.02448927944</v>
      </c>
      <c r="H127" s="4"/>
      <c r="I127" s="5" t="s">
        <v>3344</v>
      </c>
      <c r="J127" s="5" t="s">
        <v>3263</v>
      </c>
      <c r="K127" s="5">
        <v>1.0</v>
      </c>
      <c r="L127" s="5">
        <v>-0.009802</v>
      </c>
      <c r="M127" s="5">
        <v>1.9E-4</v>
      </c>
      <c r="N127" s="5">
        <v>-0.009612</v>
      </c>
      <c r="O127" s="5">
        <v>2.99E-4</v>
      </c>
    </row>
    <row r="128">
      <c r="A128" s="18" t="str">
        <f>IFERROR(__xludf.DUMMYFUNCTION("""COMPUTED_VALUE"""),"Carioca Vieira")</f>
        <v>Carioca Vieira</v>
      </c>
      <c r="B128" s="19" t="str">
        <f>IFERROR(__xludf.DUMMYFUNCTION("""COMPUTED_VALUE"""),"MOG")</f>
        <v>MOG</v>
      </c>
      <c r="C128" s="20">
        <f>IFERROR(__xludf.DUMMYFUNCTION("""COMPUTED_VALUE"""),198.9)</f>
        <v>198.9</v>
      </c>
      <c r="D128" s="21">
        <f>IFERROR(__xludf.DUMMYFUNCTION("""COMPUTED_VALUE"""),-2.960234631548738)</f>
        <v>-2.960234632</v>
      </c>
      <c r="E128" s="21">
        <f>IFERROR(__xludf.DUMMYFUNCTION("""COMPUTED_VALUE"""),1.9839893621327813)</f>
        <v>1.983989362</v>
      </c>
      <c r="F128" s="21">
        <f>IFERROR(__xludf.DUMMYFUNCTION("""COMPUTED_VALUE"""),-0.9762462694159566)</f>
        <v>-0.9762462694</v>
      </c>
      <c r="G128" s="23">
        <f>IFERROR(__xludf.DUMMYFUNCTION("""COMPUTED_VALUE"""),0.06212908946060502)</f>
        <v>0.06212908946</v>
      </c>
      <c r="H128" s="4"/>
      <c r="I128" s="5" t="s">
        <v>3345</v>
      </c>
      <c r="J128" s="5" t="s">
        <v>3207</v>
      </c>
      <c r="K128" s="5">
        <v>1.0</v>
      </c>
      <c r="L128" s="5">
        <v>-0.014508</v>
      </c>
      <c r="M128" s="5">
        <v>-0.004298</v>
      </c>
      <c r="N128" s="5">
        <v>-0.018806</v>
      </c>
      <c r="O128" s="5">
        <v>4.73E-4</v>
      </c>
    </row>
    <row r="129">
      <c r="A129" s="12" t="str">
        <f>IFERROR(__xludf.DUMMYFUNCTION("""COMPUTED_VALUE"""),"Felipe Vezaro")</f>
        <v>Felipe Vezaro</v>
      </c>
      <c r="B129" s="13" t="str">
        <f>IFERROR(__xludf.DUMMYFUNCTION("""COMPUTED_VALUE"""),"JOI")</f>
        <v>JOI</v>
      </c>
      <c r="C129" s="14">
        <f>IFERROR(__xludf.DUMMYFUNCTION("""COMPUTED_VALUE"""),880.1)</f>
        <v>880.1</v>
      </c>
      <c r="D129" s="15">
        <f>IFERROR(__xludf.DUMMYFUNCTION("""COMPUTED_VALUE"""),0.15113139797136796)</f>
        <v>0.151131398</v>
      </c>
      <c r="E129" s="15">
        <f>IFERROR(__xludf.DUMMYFUNCTION("""COMPUTED_VALUE"""),-1.1330218223965354)</f>
        <v>-1.133021822</v>
      </c>
      <c r="F129" s="15">
        <f>IFERROR(__xludf.DUMMYFUNCTION("""COMPUTED_VALUE"""),-0.9818916244251674)</f>
        <v>-0.9818916244</v>
      </c>
      <c r="G129" s="17">
        <f>IFERROR(__xludf.DUMMYFUNCTION("""COMPUTED_VALUE"""),0.2726817300792085)</f>
        <v>0.2726817301</v>
      </c>
      <c r="H129" s="4"/>
      <c r="I129" s="5" t="s">
        <v>3346</v>
      </c>
      <c r="J129" s="5" t="s">
        <v>2838</v>
      </c>
      <c r="K129" s="5">
        <v>1.0</v>
      </c>
      <c r="L129" s="5">
        <v>-0.021517</v>
      </c>
      <c r="M129" s="5">
        <v>0.002627</v>
      </c>
      <c r="N129" s="5">
        <v>-0.01889</v>
      </c>
      <c r="O129" s="5">
        <v>7.12E-4</v>
      </c>
    </row>
    <row r="130">
      <c r="A130" s="18" t="str">
        <f>IFERROR(__xludf.DUMMYFUNCTION("""COMPUTED_VALUE"""),"Joao Victor Mamedes")</f>
        <v>Joao Victor Mamedes</v>
      </c>
      <c r="B130" s="19" t="str">
        <f>IFERROR(__xludf.DUMMYFUNCTION("""COMPUTED_VALUE"""),"PIN")</f>
        <v>PIN</v>
      </c>
      <c r="C130" s="20">
        <f>IFERROR(__xludf.DUMMYFUNCTION("""COMPUTED_VALUE"""),20.2)</f>
        <v>20.2</v>
      </c>
      <c r="D130" s="21">
        <f>IFERROR(__xludf.DUMMYFUNCTION("""COMPUTED_VALUE"""),-0.7544977178007378)</f>
        <v>-0.7544977178</v>
      </c>
      <c r="E130" s="21">
        <f>IFERROR(__xludf.DUMMYFUNCTION("""COMPUTED_VALUE"""),-0.25562802291510595)</f>
        <v>-0.2556280229</v>
      </c>
      <c r="F130" s="21">
        <f>IFERROR(__xludf.DUMMYFUNCTION("""COMPUTED_VALUE"""),-1.0101342407158438)</f>
        <v>-1.010134241</v>
      </c>
      <c r="G130" s="23">
        <f>IFERROR(__xludf.DUMMYFUNCTION("""COMPUTED_VALUE"""),0.00610246211949712)</f>
        <v>0.006102462119</v>
      </c>
      <c r="H130" s="4"/>
      <c r="I130" s="5" t="s">
        <v>3347</v>
      </c>
      <c r="J130" s="5" t="s">
        <v>3263</v>
      </c>
      <c r="K130" s="24">
        <v>2.0</v>
      </c>
      <c r="L130" s="5">
        <v>-0.031276</v>
      </c>
      <c r="M130" s="5">
        <v>6.91E-4</v>
      </c>
      <c r="N130" s="5">
        <v>-0.030586</v>
      </c>
      <c r="O130" s="5">
        <v>9.47E-4</v>
      </c>
    </row>
    <row r="131">
      <c r="A131" s="12" t="str">
        <f>IFERROR(__xludf.DUMMYFUNCTION("""COMPUTED_VALUE"""),"Chris Gradnigo")</f>
        <v>Chris Gradnigo</v>
      </c>
      <c r="B131" s="13" t="str">
        <f>IFERROR(__xludf.DUMMYFUNCTION("""COMPUTED_VALUE"""),"MOUR")</f>
        <v>MOUR</v>
      </c>
      <c r="C131" s="14">
        <f>IFERROR(__xludf.DUMMYFUNCTION("""COMPUTED_VALUE"""),18.8)</f>
        <v>18.8</v>
      </c>
      <c r="D131" s="15">
        <f>IFERROR(__xludf.DUMMYFUNCTION("""COMPUTED_VALUE"""),-0.8015380792486314)</f>
        <v>-0.8015380792</v>
      </c>
      <c r="E131" s="15">
        <f>IFERROR(__xludf.DUMMYFUNCTION("""COMPUTED_VALUE"""),-0.2754031686536733)</f>
        <v>-0.2754031687</v>
      </c>
      <c r="F131" s="15">
        <f>IFERROR(__xludf.DUMMYFUNCTION("""COMPUTED_VALUE"""),-1.0769532479023047)</f>
        <v>-1.076953248</v>
      </c>
      <c r="G131" s="17">
        <f>IFERROR(__xludf.DUMMYFUNCTION("""COMPUTED_VALUE"""),0.005266881858923098)</f>
        <v>0.005266881859</v>
      </c>
      <c r="H131" s="4"/>
      <c r="I131" s="5" t="s">
        <v>3348</v>
      </c>
      <c r="J131" s="5" t="s">
        <v>3233</v>
      </c>
      <c r="K131" s="5">
        <v>5.0</v>
      </c>
      <c r="L131" s="5">
        <v>0.110076</v>
      </c>
      <c r="M131" s="5">
        <v>-0.143024</v>
      </c>
      <c r="N131" s="5">
        <v>-0.032949</v>
      </c>
      <c r="O131" s="5">
        <v>0.002907</v>
      </c>
    </row>
    <row r="132">
      <c r="A132" s="18" t="str">
        <f>IFERROR(__xludf.DUMMYFUNCTION("""COMPUTED_VALUE"""),"Jonathan Muller")</f>
        <v>Jonathan Muller</v>
      </c>
      <c r="B132" s="19" t="str">
        <f>IFERROR(__xludf.DUMMYFUNCTION("""COMPUTED_VALUE"""),"CAX")</f>
        <v>CAX</v>
      </c>
      <c r="C132" s="20">
        <f>IFERROR(__xludf.DUMMYFUNCTION("""COMPUTED_VALUE"""),53.6)</f>
        <v>53.6</v>
      </c>
      <c r="D132" s="21">
        <f>IFERROR(__xludf.DUMMYFUNCTION("""COMPUTED_VALUE"""),-0.6803705637522446)</f>
        <v>-0.6803705638</v>
      </c>
      <c r="E132" s="21">
        <f>IFERROR(__xludf.DUMMYFUNCTION("""COMPUTED_VALUE"""),-0.4000999967478198)</f>
        <v>-0.4000999967</v>
      </c>
      <c r="F132" s="21">
        <f>IFERROR(__xludf.DUMMYFUNCTION("""COMPUTED_VALUE"""),-1.0804777605000644)</f>
        <v>-1.080477761</v>
      </c>
      <c r="G132" s="23">
        <f>IFERROR(__xludf.DUMMYFUNCTION("""COMPUTED_VALUE"""),0.014923372447794802)</f>
        <v>0.01492337245</v>
      </c>
      <c r="H132" s="4"/>
      <c r="I132" s="5" t="s">
        <v>3349</v>
      </c>
      <c r="J132" s="5" t="s">
        <v>3256</v>
      </c>
      <c r="K132" s="5">
        <v>2.0</v>
      </c>
      <c r="L132" s="5">
        <v>-0.046405</v>
      </c>
      <c r="M132" s="5">
        <v>0.003305</v>
      </c>
      <c r="N132" s="5">
        <v>-0.043101</v>
      </c>
      <c r="O132" s="5">
        <v>0.001425</v>
      </c>
    </row>
    <row r="133">
      <c r="A133" s="12" t="str">
        <f>IFERROR(__xludf.DUMMYFUNCTION("""COMPUTED_VALUE"""),"Kevin Crescenzi")</f>
        <v>Kevin Crescenzi</v>
      </c>
      <c r="B133" s="13" t="str">
        <f>IFERROR(__xludf.DUMMYFUNCTION("""COMPUTED_VALUE"""),"LIG")</f>
        <v>LIG</v>
      </c>
      <c r="C133" s="14">
        <f>IFERROR(__xludf.DUMMYFUNCTION("""COMPUTED_VALUE"""),730.2)</f>
        <v>730.2</v>
      </c>
      <c r="D133" s="15">
        <f>IFERROR(__xludf.DUMMYFUNCTION("""COMPUTED_VALUE"""),0.4107227844964344)</f>
        <v>0.4107227845</v>
      </c>
      <c r="E133" s="15">
        <f>IFERROR(__xludf.DUMMYFUNCTION("""COMPUTED_VALUE"""),-1.5165034032841875)</f>
        <v>-1.516503403</v>
      </c>
      <c r="F133" s="15">
        <f>IFERROR(__xludf.DUMMYFUNCTION("""COMPUTED_VALUE"""),-1.1057983187877531)</f>
        <v>-1.105798319</v>
      </c>
      <c r="G133" s="17">
        <f>IFERROR(__xludf.DUMMYFUNCTION("""COMPUTED_VALUE"""),0.1962482877678818)</f>
        <v>0.1962482878</v>
      </c>
      <c r="H133" s="4"/>
      <c r="I133" s="5" t="s">
        <v>885</v>
      </c>
      <c r="J133" s="5" t="s">
        <v>3203</v>
      </c>
      <c r="K133" s="5">
        <v>9.0</v>
      </c>
      <c r="L133" s="5">
        <v>-0.206764</v>
      </c>
      <c r="M133" s="5">
        <v>0.145312</v>
      </c>
      <c r="N133" s="5">
        <v>-0.061452</v>
      </c>
      <c r="O133" s="5">
        <v>0.005526</v>
      </c>
    </row>
    <row r="134">
      <c r="A134" s="18" t="str">
        <f>IFERROR(__xludf.DUMMYFUNCTION("""COMPUTED_VALUE"""),"Renato Scholz")</f>
        <v>Renato Scholz</v>
      </c>
      <c r="B134" s="19" t="str">
        <f>IFERROR(__xludf.DUMMYFUNCTION("""COMPUTED_VALUE"""),"UNIV")</f>
        <v>UNIV</v>
      </c>
      <c r="C134" s="20">
        <f>IFERROR(__xludf.DUMMYFUNCTION("""COMPUTED_VALUE"""),481.9)</f>
        <v>481.9</v>
      </c>
      <c r="D134" s="21">
        <f>IFERROR(__xludf.DUMMYFUNCTION("""COMPUTED_VALUE"""),-2.7087244119898735)</f>
        <v>-2.708724412</v>
      </c>
      <c r="E134" s="21">
        <f>IFERROR(__xludf.DUMMYFUNCTION("""COMPUTED_VALUE"""),1.5695437033112034)</f>
        <v>1.569543703</v>
      </c>
      <c r="F134" s="21">
        <f>IFERROR(__xludf.DUMMYFUNCTION("""COMPUTED_VALUE"""),-1.13918400867867)</f>
        <v>-1.139184009</v>
      </c>
      <c r="G134" s="23">
        <f>IFERROR(__xludf.DUMMYFUNCTION("""COMPUTED_VALUE"""),0.12497342119777234)</f>
        <v>0.1249734212</v>
      </c>
      <c r="H134" s="4"/>
      <c r="I134" s="5" t="s">
        <v>3350</v>
      </c>
      <c r="J134" s="5" t="s">
        <v>3223</v>
      </c>
      <c r="K134" s="24">
        <v>26.0</v>
      </c>
      <c r="L134" s="5">
        <v>0.167917</v>
      </c>
      <c r="M134" s="5">
        <v>-0.233374</v>
      </c>
      <c r="N134" s="5">
        <v>-0.065457</v>
      </c>
      <c r="O134" s="5">
        <v>0.015169</v>
      </c>
    </row>
    <row r="135">
      <c r="A135" s="12" t="str">
        <f>IFERROR(__xludf.DUMMYFUNCTION("""COMPUTED_VALUE"""),"Pedro Lima")</f>
        <v>Pedro Lima</v>
      </c>
      <c r="B135" s="13" t="str">
        <f>IFERROR(__xludf.DUMMYFUNCTION("""COMPUTED_VALUE"""),"FRA")</f>
        <v>FRA</v>
      </c>
      <c r="C135" s="14">
        <f>IFERROR(__xludf.DUMMYFUNCTION("""COMPUTED_VALUE"""),587.1)</f>
        <v>587.1</v>
      </c>
      <c r="D135" s="15">
        <f>IFERROR(__xludf.DUMMYFUNCTION("""COMPUTED_VALUE"""),-0.7033281189476155)</f>
        <v>-0.7033281189</v>
      </c>
      <c r="E135" s="15">
        <f>IFERROR(__xludf.DUMMYFUNCTION("""COMPUTED_VALUE"""),-0.4610398312797875)</f>
        <v>-0.4610398313</v>
      </c>
      <c r="F135" s="15">
        <f>IFERROR(__xludf.DUMMYFUNCTION("""COMPUTED_VALUE"""),-1.164377150227403)</f>
        <v>-1.16437715</v>
      </c>
      <c r="G135" s="17">
        <f>IFERROR(__xludf.DUMMYFUNCTION("""COMPUTED_VALUE"""),0.16619963872001753)</f>
        <v>0.1661996387</v>
      </c>
      <c r="H135" s="4"/>
      <c r="I135" s="5" t="s">
        <v>3351</v>
      </c>
      <c r="J135" s="5" t="s">
        <v>3223</v>
      </c>
      <c r="K135" s="5">
        <v>4.0</v>
      </c>
      <c r="L135" s="5">
        <v>-0.073309</v>
      </c>
      <c r="M135" s="5">
        <v>-0.002192</v>
      </c>
      <c r="N135" s="5">
        <v>-0.075501</v>
      </c>
      <c r="O135" s="5">
        <v>0.002223</v>
      </c>
    </row>
    <row r="136">
      <c r="A136" s="18" t="str">
        <f>IFERROR(__xludf.DUMMYFUNCTION("""COMPUTED_VALUE"""),"Vinicius Oliveira")</f>
        <v>Vinicius Oliveira</v>
      </c>
      <c r="B136" s="19" t="str">
        <f>IFERROR(__xludf.DUMMYFUNCTION("""COMPUTED_VALUE"""),"MOUR")</f>
        <v>MOUR</v>
      </c>
      <c r="C136" s="20">
        <f>IFERROR(__xludf.DUMMYFUNCTION("""COMPUTED_VALUE"""),65.0)</f>
        <v>65</v>
      </c>
      <c r="D136" s="21">
        <f>IFERROR(__xludf.DUMMYFUNCTION("""COMPUTED_VALUE"""),-0.9868667762045673)</f>
        <v>-0.9868667762</v>
      </c>
      <c r="E136" s="21">
        <f>IFERROR(__xludf.DUMMYFUNCTION("""COMPUTED_VALUE"""),-0.19630170570823932)</f>
        <v>-0.1963017057</v>
      </c>
      <c r="F136" s="21">
        <f>IFERROR(__xludf.DUMMYFUNCTION("""COMPUTED_VALUE"""),-1.1831750819128066)</f>
        <v>-1.183175082</v>
      </c>
      <c r="G136" s="23">
        <f>IFERROR(__xludf.DUMMYFUNCTION("""COMPUTED_VALUE"""),0.016084293433727803)</f>
        <v>0.01608429343</v>
      </c>
      <c r="H136" s="4"/>
      <c r="I136" s="5" t="s">
        <v>3352</v>
      </c>
      <c r="J136" s="5" t="s">
        <v>3256</v>
      </c>
      <c r="K136" s="24">
        <v>5.0</v>
      </c>
      <c r="L136" s="5">
        <v>-0.09032</v>
      </c>
      <c r="M136" s="5">
        <v>0.006981</v>
      </c>
      <c r="N136" s="5">
        <v>-0.083339</v>
      </c>
      <c r="O136" s="5">
        <v>0.002734</v>
      </c>
    </row>
    <row r="137">
      <c r="A137" s="12" t="str">
        <f>IFERROR(__xludf.DUMMYFUNCTION("""COMPUTED_VALUE"""),"Fernando Buboltz")</f>
        <v>Fernando Buboltz</v>
      </c>
      <c r="B137" s="13" t="str">
        <f>IFERROR(__xludf.DUMMYFUNCTION("""COMPUTED_VALUE"""),"CAX")</f>
        <v>CAX</v>
      </c>
      <c r="C137" s="14">
        <f>IFERROR(__xludf.DUMMYFUNCTION("""COMPUTED_VALUE"""),97.6)</f>
        <v>97.6</v>
      </c>
      <c r="D137" s="15">
        <f>IFERROR(__xludf.DUMMYFUNCTION("""COMPUTED_VALUE"""),-1.3180740903792578)</f>
        <v>-1.31807409</v>
      </c>
      <c r="E137" s="15">
        <f>IFERROR(__xludf.DUMMYFUNCTION("""COMPUTED_VALUE"""),0.11458841948655135)</f>
        <v>0.1145884195</v>
      </c>
      <c r="F137" s="15">
        <f>IFERROR(__xludf.DUMMYFUNCTION("""COMPUTED_VALUE"""),-1.2035047708927065)</f>
        <v>-1.203504771</v>
      </c>
      <c r="G137" s="17">
        <f>IFERROR(__xludf.DUMMYFUNCTION("""COMPUTED_VALUE"""),0.02354592731953681)</f>
        <v>0.02354592732</v>
      </c>
      <c r="H137" s="4"/>
      <c r="I137" s="5" t="s">
        <v>968</v>
      </c>
      <c r="J137" s="5" t="s">
        <v>3240</v>
      </c>
      <c r="K137" s="5">
        <v>727.0</v>
      </c>
      <c r="L137" s="5">
        <v>0.856302</v>
      </c>
      <c r="M137" s="5">
        <v>-0.944493</v>
      </c>
      <c r="N137" s="5">
        <v>-0.088191</v>
      </c>
      <c r="O137" s="5">
        <v>0.423778</v>
      </c>
    </row>
    <row r="138">
      <c r="A138" s="18" t="str">
        <f>IFERROR(__xludf.DUMMYFUNCTION("""COMPUTED_VALUE"""),"Cassiano Bueno")</f>
        <v>Cassiano Bueno</v>
      </c>
      <c r="B138" s="19" t="str">
        <f>IFERROR(__xludf.DUMMYFUNCTION("""COMPUTED_VALUE"""),"FRA")</f>
        <v>FRA</v>
      </c>
      <c r="C138" s="20">
        <f>IFERROR(__xludf.DUMMYFUNCTION("""COMPUTED_VALUE"""),221.5)</f>
        <v>221.5</v>
      </c>
      <c r="D138" s="21">
        <f>IFERROR(__xludf.DUMMYFUNCTION("""COMPUTED_VALUE"""),-2.427019586325834)</f>
        <v>-2.427019586</v>
      </c>
      <c r="E138" s="21">
        <f>IFERROR(__xludf.DUMMYFUNCTION("""COMPUTED_VALUE"""),1.1489427393368685)</f>
        <v>1.148942739</v>
      </c>
      <c r="F138" s="21">
        <f>IFERROR(__xludf.DUMMYFUNCTION("""COMPUTED_VALUE"""),-1.2780958469889656)</f>
        <v>-1.278095847</v>
      </c>
      <c r="G138" s="23">
        <f>IFERROR(__xludf.DUMMYFUNCTION("""COMPUTED_VALUE"""),0.05418626622355831)</f>
        <v>0.05418626622</v>
      </c>
      <c r="H138" s="4"/>
      <c r="I138" s="5" t="s">
        <v>3353</v>
      </c>
      <c r="J138" s="5" t="s">
        <v>3237</v>
      </c>
      <c r="K138" s="5">
        <v>3.0</v>
      </c>
      <c r="L138" s="5">
        <v>-0.086398</v>
      </c>
      <c r="M138" s="5">
        <v>-0.016246</v>
      </c>
      <c r="N138" s="5">
        <v>-0.102644</v>
      </c>
      <c r="O138" s="5">
        <v>0.001728</v>
      </c>
    </row>
    <row r="139">
      <c r="A139" s="12" t="str">
        <f>IFERROR(__xludf.DUMMYFUNCTION("""COMPUTED_VALUE"""),"Paulinho Boracini")</f>
        <v>Paulinho Boracini</v>
      </c>
      <c r="B139" s="13" t="str">
        <f>IFERROR(__xludf.DUMMYFUNCTION("""COMPUTED_VALUE"""),"CEA")</f>
        <v>CEA</v>
      </c>
      <c r="C139" s="14">
        <f>IFERROR(__xludf.DUMMYFUNCTION("""COMPUTED_VALUE"""),788.5)</f>
        <v>788.5</v>
      </c>
      <c r="D139" s="15">
        <f>IFERROR(__xludf.DUMMYFUNCTION("""COMPUTED_VALUE"""),0.9078452576767729)</f>
        <v>0.9078452577</v>
      </c>
      <c r="E139" s="15">
        <f>IFERROR(__xludf.DUMMYFUNCTION("""COMPUTED_VALUE"""),-2.192737800195967)</f>
        <v>-2.1927378</v>
      </c>
      <c r="F139" s="15">
        <f>IFERROR(__xludf.DUMMYFUNCTION("""COMPUTED_VALUE"""),-1.2849123425191942)</f>
        <v>-1.284912343</v>
      </c>
      <c r="G139" s="17">
        <f>IFERROR(__xludf.DUMMYFUNCTION("""COMPUTED_VALUE"""),0.17243643551305313)</f>
        <v>0.1724364355</v>
      </c>
      <c r="H139" s="4"/>
      <c r="I139" s="5" t="s">
        <v>1239</v>
      </c>
      <c r="J139" s="5" t="s">
        <v>3215</v>
      </c>
      <c r="K139" s="5">
        <v>394.0</v>
      </c>
      <c r="L139" s="5">
        <v>-0.642232</v>
      </c>
      <c r="M139" s="5">
        <v>0.532077</v>
      </c>
      <c r="N139" s="5">
        <v>-0.110155</v>
      </c>
      <c r="O139" s="5">
        <v>0.22621</v>
      </c>
    </row>
    <row r="140">
      <c r="A140" s="18" t="str">
        <f>IFERROR(__xludf.DUMMYFUNCTION("""COMPUTED_VALUE"""),"Guilherme Filipin")</f>
        <v>Guilherme Filipin</v>
      </c>
      <c r="B140" s="19" t="str">
        <f>IFERROR(__xludf.DUMMYFUNCTION("""COMPUTED_VALUE"""),"MOG")</f>
        <v>MOG</v>
      </c>
      <c r="C140" s="20">
        <f>IFERROR(__xludf.DUMMYFUNCTION("""COMPUTED_VALUE"""),634.6)</f>
        <v>634.6</v>
      </c>
      <c r="D140" s="21">
        <f>IFERROR(__xludf.DUMMYFUNCTION("""COMPUTED_VALUE"""),-0.12133938278697573)</f>
        <v>-0.1213393828</v>
      </c>
      <c r="E140" s="21">
        <f>IFERROR(__xludf.DUMMYFUNCTION("""COMPUTED_VALUE"""),-1.1699773866897178)</f>
        <v>-1.169977387</v>
      </c>
      <c r="F140" s="21">
        <f>IFERROR(__xludf.DUMMYFUNCTION("""COMPUTED_VALUE"""),-1.2913297694766936)</f>
        <v>-1.291329769</v>
      </c>
      <c r="G140" s="23">
        <f>IFERROR(__xludf.DUMMYFUNCTION("""COMPUTED_VALUE"""),0.13722812176994695)</f>
        <v>0.1372281218</v>
      </c>
      <c r="H140" s="4"/>
      <c r="I140" s="5" t="s">
        <v>3354</v>
      </c>
      <c r="J140" s="5" t="s">
        <v>3263</v>
      </c>
      <c r="K140" s="5">
        <v>25.0</v>
      </c>
      <c r="L140" s="5">
        <v>-0.375747</v>
      </c>
      <c r="M140" s="5">
        <v>0.207031</v>
      </c>
      <c r="N140" s="5">
        <v>-0.168716</v>
      </c>
      <c r="O140" s="5">
        <v>0.01354</v>
      </c>
    </row>
    <row r="141">
      <c r="A141" s="12" t="str">
        <f>IFERROR(__xludf.DUMMYFUNCTION("""COMPUTED_VALUE"""),"Wesley Alves")</f>
        <v>Wesley Alves</v>
      </c>
      <c r="B141" s="13" t="str">
        <f>IFERROR(__xludf.DUMMYFUNCTION("""COMPUTED_VALUE"""),"FLA")</f>
        <v>FLA</v>
      </c>
      <c r="C141" s="14">
        <f>IFERROR(__xludf.DUMMYFUNCTION("""COMPUTED_VALUE"""),35.1)</f>
        <v>35.1</v>
      </c>
      <c r="D141" s="15">
        <f>IFERROR(__xludf.DUMMYFUNCTION("""COMPUTED_VALUE"""),-1.2989635086808347)</f>
        <v>-1.298963509</v>
      </c>
      <c r="E141" s="15">
        <f>IFERROR(__xludf.DUMMYFUNCTION("""COMPUTED_VALUE"""),-0.006876732421396153)</f>
        <v>-0.006876732421</v>
      </c>
      <c r="F141" s="15">
        <f>IFERROR(__xludf.DUMMYFUNCTION("""COMPUTED_VALUE"""),-1.3058620411022308)</f>
        <v>-1.305862041</v>
      </c>
      <c r="G141" s="17">
        <f>IFERROR(__xludf.DUMMYFUNCTION("""COMPUTED_VALUE"""),0.007455869925852784)</f>
        <v>0.007455869926</v>
      </c>
      <c r="H141" s="4"/>
      <c r="I141" s="5" t="s">
        <v>3355</v>
      </c>
      <c r="J141" s="5" t="s">
        <v>3237</v>
      </c>
      <c r="K141" s="5">
        <v>2.0</v>
      </c>
      <c r="L141" s="5">
        <v>-0.170836</v>
      </c>
      <c r="M141" s="5">
        <v>-2.36E-4</v>
      </c>
      <c r="N141" s="5">
        <v>-0.171072</v>
      </c>
      <c r="O141" s="5">
        <v>0.001172</v>
      </c>
    </row>
    <row r="142">
      <c r="A142" s="18" t="str">
        <f>IFERROR(__xludf.DUMMYFUNCTION("""COMPUTED_VALUE"""),"Lucas Mariano")</f>
        <v>Lucas Mariano</v>
      </c>
      <c r="B142" s="19" t="str">
        <f>IFERROR(__xludf.DUMMYFUNCTION("""COMPUTED_VALUE"""),"VAS")</f>
        <v>VAS</v>
      </c>
      <c r="C142" s="20">
        <f>IFERROR(__xludf.DUMMYFUNCTION("""COMPUTED_VALUE"""),675.2)</f>
        <v>675.2</v>
      </c>
      <c r="D142" s="21">
        <f>IFERROR(__xludf.DUMMYFUNCTION("""COMPUTED_VALUE"""),0.3475348352694249)</f>
        <v>0.3475348353</v>
      </c>
      <c r="E142" s="21">
        <f>IFERROR(__xludf.DUMMYFUNCTION("""COMPUTED_VALUE"""),-1.6648938029787974)</f>
        <v>-1.664893803</v>
      </c>
      <c r="F142" s="21">
        <f>IFERROR(__xludf.DUMMYFUNCTION("""COMPUTED_VALUE"""),-1.3173672677093724)</f>
        <v>-1.317367268</v>
      </c>
      <c r="G142" s="23">
        <f>IFERROR(__xludf.DUMMYFUNCTION("""COMPUTED_VALUE"""),0.1398294548988118)</f>
        <v>0.1398294549</v>
      </c>
      <c r="H142" s="4"/>
      <c r="I142" s="5" t="s">
        <v>3356</v>
      </c>
      <c r="J142" s="5" t="s">
        <v>3237</v>
      </c>
      <c r="K142" s="24">
        <v>7.0</v>
      </c>
      <c r="L142" s="5">
        <v>-0.27802</v>
      </c>
      <c r="M142" s="5">
        <v>0.104922</v>
      </c>
      <c r="N142" s="5">
        <v>-0.173098</v>
      </c>
      <c r="O142" s="5">
        <v>0.004561</v>
      </c>
    </row>
    <row r="143">
      <c r="A143" s="12" t="str">
        <f>IFERROR(__xludf.DUMMYFUNCTION("""COMPUTED_VALUE"""),"Andrezao de Sousa")</f>
        <v>Andrezao de Sousa</v>
      </c>
      <c r="B143" s="13" t="str">
        <f>IFERROR(__xludf.DUMMYFUNCTION("""COMPUTED_VALUE"""),"LIG")</f>
        <v>LIG</v>
      </c>
      <c r="C143" s="14">
        <f>IFERROR(__xludf.DUMMYFUNCTION("""COMPUTED_VALUE"""),222.1)</f>
        <v>222.1</v>
      </c>
      <c r="D143" s="15">
        <f>IFERROR(__xludf.DUMMYFUNCTION("""COMPUTED_VALUE"""),-0.6675780397199567)</f>
        <v>-0.6675780397</v>
      </c>
      <c r="E143" s="15">
        <f>IFERROR(__xludf.DUMMYFUNCTION("""COMPUTED_VALUE"""),-0.6573658129614148)</f>
        <v>-0.657365813</v>
      </c>
      <c r="F143" s="15">
        <f>IFERROR(__xludf.DUMMYFUNCTION("""COMPUTED_VALUE"""),-1.3249594526813715)</f>
        <v>-1.324959453</v>
      </c>
      <c r="G143" s="17">
        <f>IFERROR(__xludf.DUMMYFUNCTION("""COMPUTED_VALUE"""),0.04507317483937781)</f>
        <v>0.04507317484</v>
      </c>
      <c r="H143" s="4"/>
      <c r="I143" s="5" t="s">
        <v>3357</v>
      </c>
      <c r="J143" s="5" t="s">
        <v>3210</v>
      </c>
      <c r="K143" s="5">
        <v>18.0</v>
      </c>
      <c r="L143" s="5">
        <v>0.106977</v>
      </c>
      <c r="M143" s="5">
        <v>-0.281848</v>
      </c>
      <c r="N143" s="5">
        <v>-0.174871</v>
      </c>
      <c r="O143" s="5">
        <v>0.009721</v>
      </c>
    </row>
    <row r="144">
      <c r="A144" s="18" t="str">
        <f>IFERROR(__xludf.DUMMYFUNCTION("""COMPUTED_VALUE"""),"Dida Bellato")</f>
        <v>Dida Bellato</v>
      </c>
      <c r="B144" s="19" t="str">
        <f>IFERROR(__xludf.DUMMYFUNCTION("""COMPUTED_VALUE"""),"CAX")</f>
        <v>CAX</v>
      </c>
      <c r="C144" s="20">
        <f>IFERROR(__xludf.DUMMYFUNCTION("""COMPUTED_VALUE"""),76.4)</f>
        <v>76.4</v>
      </c>
      <c r="D144" s="21">
        <f>IFERROR(__xludf.DUMMYFUNCTION("""COMPUTED_VALUE"""),-1.1931692615652123)</f>
        <v>-1.193169262</v>
      </c>
      <c r="E144" s="21">
        <f>IFERROR(__xludf.DUMMYFUNCTION("""COMPUTED_VALUE"""),-0.1341174731581339)</f>
        <v>-0.1341174732</v>
      </c>
      <c r="F144" s="21">
        <f>IFERROR(__xludf.DUMMYFUNCTION("""COMPUTED_VALUE"""),-1.3273070347233462)</f>
        <v>-1.327307035</v>
      </c>
      <c r="G144" s="23">
        <f>IFERROR(__xludf.DUMMYFUNCTION("""COMPUTED_VALUE"""),0.015574246939189653)</f>
        <v>0.01557424694</v>
      </c>
      <c r="H144" s="4"/>
      <c r="I144" s="5" t="s">
        <v>964</v>
      </c>
      <c r="J144" s="5" t="s">
        <v>3226</v>
      </c>
      <c r="K144" s="5">
        <v>4.0</v>
      </c>
      <c r="L144" s="5">
        <v>-0.135464</v>
      </c>
      <c r="M144" s="5">
        <v>-0.045648</v>
      </c>
      <c r="N144" s="5">
        <v>-0.181112</v>
      </c>
      <c r="O144" s="5">
        <v>0.00222</v>
      </c>
    </row>
    <row r="145">
      <c r="A145" s="12" t="str">
        <f>IFERROR(__xludf.DUMMYFUNCTION("""COMPUTED_VALUE"""),"Dontrell Brite")</f>
        <v>Dontrell Brite</v>
      </c>
      <c r="B145" s="13" t="str">
        <f>IFERROR(__xludf.DUMMYFUNCTION("""COMPUTED_VALUE"""),"LIG")</f>
        <v>LIG</v>
      </c>
      <c r="C145" s="14">
        <f>IFERROR(__xludf.DUMMYFUNCTION("""COMPUTED_VALUE"""),852.7)</f>
        <v>852.7</v>
      </c>
      <c r="D145" s="15">
        <f>IFERROR(__xludf.DUMMYFUNCTION("""COMPUTED_VALUE"""),-1.0308284044747116)</f>
        <v>-1.030828404</v>
      </c>
      <c r="E145" s="15">
        <f>IFERROR(__xludf.DUMMYFUNCTION("""COMPUTED_VALUE"""),-0.31612498558075147)</f>
        <v>-0.3161249856</v>
      </c>
      <c r="F145" s="15">
        <f>IFERROR(__xludf.DUMMYFUNCTION("""COMPUTED_VALUE"""),-1.346972690055463)</f>
        <v>-1.34697269</v>
      </c>
      <c r="G145" s="17">
        <f>IFERROR(__xludf.DUMMYFUNCTION("""COMPUTED_VALUE"""),0.16736594157924564)</f>
        <v>0.1673659416</v>
      </c>
      <c r="H145" s="4"/>
      <c r="I145" s="5" t="s">
        <v>3358</v>
      </c>
      <c r="J145" s="5" t="s">
        <v>3240</v>
      </c>
      <c r="K145" s="5">
        <v>67.0</v>
      </c>
      <c r="L145" s="5">
        <v>0.02928</v>
      </c>
      <c r="M145" s="5">
        <v>-0.214644</v>
      </c>
      <c r="N145" s="5">
        <v>-0.185364</v>
      </c>
      <c r="O145" s="5">
        <v>0.036799</v>
      </c>
    </row>
    <row r="146">
      <c r="A146" s="18" t="str">
        <f>IFERROR(__xludf.DUMMYFUNCTION("""COMPUTED_VALUE"""),"Rafinha da Silva")</f>
        <v>Rafinha da Silva</v>
      </c>
      <c r="B146" s="19" t="str">
        <f>IFERROR(__xludf.DUMMYFUNCTION("""COMPUTED_VALUE"""),"BOT")</f>
        <v>BOT</v>
      </c>
      <c r="C146" s="20">
        <f>IFERROR(__xludf.DUMMYFUNCTION("""COMPUTED_VALUE"""),172.0)</f>
        <v>172</v>
      </c>
      <c r="D146" s="21">
        <f>IFERROR(__xludf.DUMMYFUNCTION("""COMPUTED_VALUE"""),-0.2773166333500279)</f>
        <v>-0.2773166334</v>
      </c>
      <c r="E146" s="21">
        <f>IFERROR(__xludf.DUMMYFUNCTION("""COMPUTED_VALUE"""),-1.070542917623159)</f>
        <v>-1.070542918</v>
      </c>
      <c r="F146" s="21">
        <f>IFERROR(__xludf.DUMMYFUNCTION("""COMPUTED_VALUE"""),-1.3478764509731869)</f>
        <v>-1.347876451</v>
      </c>
      <c r="G146" s="23">
        <f>IFERROR(__xludf.DUMMYFUNCTION("""COMPUTED_VALUE"""),0.03437280505294813)</f>
        <v>0.03437280505</v>
      </c>
      <c r="H146" s="4"/>
      <c r="I146" s="5" t="s">
        <v>3359</v>
      </c>
      <c r="J146" s="5" t="s">
        <v>3226</v>
      </c>
      <c r="K146" s="5">
        <v>4.0</v>
      </c>
      <c r="L146" s="5">
        <v>-0.200066</v>
      </c>
      <c r="M146" s="5">
        <v>0.009252</v>
      </c>
      <c r="N146" s="5">
        <v>-0.190814</v>
      </c>
      <c r="O146" s="5">
        <v>0.002098</v>
      </c>
    </row>
    <row r="147">
      <c r="A147" s="12" t="str">
        <f>IFERROR(__xludf.DUMMYFUNCTION("""COMPUTED_VALUE"""),"William Drudi")</f>
        <v>William Drudi</v>
      </c>
      <c r="B147" s="13" t="str">
        <f>IFERROR(__xludf.DUMMYFUNCTION("""COMPUTED_VALUE"""),"LIG")</f>
        <v>LIG</v>
      </c>
      <c r="C147" s="14">
        <f>IFERROR(__xludf.DUMMYFUNCTION("""COMPUTED_VALUE"""),609.5)</f>
        <v>609.5</v>
      </c>
      <c r="D147" s="15">
        <f>IFERROR(__xludf.DUMMYFUNCTION("""COMPUTED_VALUE"""),-0.6599871909743295)</f>
        <v>-0.659987191</v>
      </c>
      <c r="E147" s="15">
        <f>IFERROR(__xludf.DUMMYFUNCTION("""COMPUTED_VALUE"""),-0.7068666039883036)</f>
        <v>-0.706866604</v>
      </c>
      <c r="F147" s="15">
        <f>IFERROR(__xludf.DUMMYFUNCTION("""COMPUTED_VALUE"""),-1.366867994962633)</f>
        <v>-1.366867995</v>
      </c>
      <c r="G147" s="17">
        <f>IFERROR(__xludf.DUMMYFUNCTION("""COMPUTED_VALUE"""),0.11598732820621271)</f>
        <v>0.1159873282</v>
      </c>
      <c r="H147" s="4"/>
      <c r="I147" s="5" t="s">
        <v>3360</v>
      </c>
      <c r="J147" s="5" t="s">
        <v>3210</v>
      </c>
      <c r="K147" s="5">
        <v>2.0</v>
      </c>
      <c r="L147" s="5">
        <v>-0.181339</v>
      </c>
      <c r="M147" s="5">
        <v>-0.010969</v>
      </c>
      <c r="N147" s="5">
        <v>-0.192308</v>
      </c>
      <c r="O147" s="5">
        <v>9.25E-4</v>
      </c>
    </row>
    <row r="148">
      <c r="A148" s="18" t="str">
        <f>IFERROR(__xludf.DUMMYFUNCTION("""COMPUTED_VALUE"""),"Pedro da Silva")</f>
        <v>Pedro da Silva</v>
      </c>
      <c r="B148" s="19" t="str">
        <f>IFERROR(__xludf.DUMMYFUNCTION("""COMPUTED_VALUE"""),"CAX")</f>
        <v>CAX</v>
      </c>
      <c r="C148" s="20">
        <f>IFERROR(__xludf.DUMMYFUNCTION("""COMPUTED_VALUE"""),756.4)</f>
        <v>756.4</v>
      </c>
      <c r="D148" s="21">
        <f>IFERROR(__xludf.DUMMYFUNCTION("""COMPUTED_VALUE"""),-1.8987387201757417)</f>
        <v>-1.89873872</v>
      </c>
      <c r="E148" s="21">
        <f>IFERROR(__xludf.DUMMYFUNCTION("""COMPUTED_VALUE"""),0.5067554844629185)</f>
        <v>0.5067554845</v>
      </c>
      <c r="F148" s="21">
        <f>IFERROR(__xludf.DUMMYFUNCTION("""COMPUTED_VALUE"""),-1.3920003357128232)</f>
        <v>-1.392000336</v>
      </c>
      <c r="G148" s="23">
        <f>IFERROR(__xludf.DUMMYFUNCTION("""COMPUTED_VALUE"""),0.13919979070162564)</f>
        <v>0.1391997907</v>
      </c>
      <c r="H148" s="4"/>
      <c r="I148" s="5" t="s">
        <v>3361</v>
      </c>
      <c r="J148" s="5" t="s">
        <v>3281</v>
      </c>
      <c r="K148" s="5">
        <v>2.0</v>
      </c>
      <c r="L148" s="5">
        <v>-0.091056</v>
      </c>
      <c r="M148" s="5">
        <v>-0.113393</v>
      </c>
      <c r="N148" s="5">
        <v>-0.204448</v>
      </c>
      <c r="O148" s="5">
        <v>0.00115</v>
      </c>
    </row>
    <row r="149">
      <c r="A149" s="12" t="str">
        <f>IFERROR(__xludf.DUMMYFUNCTION("""COMPUTED_VALUE"""),"Stafano Alles")</f>
        <v>Stafano Alles</v>
      </c>
      <c r="B149" s="13" t="str">
        <f>IFERROR(__xludf.DUMMYFUNCTION("""COMPUTED_VALUE"""),"BAU")</f>
        <v>BAU</v>
      </c>
      <c r="C149" s="14">
        <f>IFERROR(__xludf.DUMMYFUNCTION("""COMPUTED_VALUE"""),76.8)</f>
        <v>76.8</v>
      </c>
      <c r="D149" s="15">
        <f>IFERROR(__xludf.DUMMYFUNCTION("""COMPUTED_VALUE"""),-0.7451180062572867)</f>
        <v>-0.7451180063</v>
      </c>
      <c r="E149" s="15">
        <f>IFERROR(__xludf.DUMMYFUNCTION("""COMPUTED_VALUE"""),-0.6598400240706066)</f>
        <v>-0.6598400241</v>
      </c>
      <c r="F149" s="15">
        <f>IFERROR(__xludf.DUMMYFUNCTION("""COMPUTED_VALUE"""),-1.4049803303278934)</f>
        <v>-1.40498033</v>
      </c>
      <c r="G149" s="17">
        <f>IFERROR(__xludf.DUMMYFUNCTION("""COMPUTED_VALUE"""),0.0139455427196598)</f>
        <v>0.01394554272</v>
      </c>
      <c r="H149" s="4"/>
      <c r="I149" s="5" t="s">
        <v>940</v>
      </c>
      <c r="J149" s="5" t="s">
        <v>3256</v>
      </c>
      <c r="K149" s="24">
        <v>114.0</v>
      </c>
      <c r="L149" s="5">
        <v>-1.372906</v>
      </c>
      <c r="M149" s="5">
        <v>1.162912</v>
      </c>
      <c r="N149" s="5">
        <v>-0.209994</v>
      </c>
      <c r="O149" s="5">
        <v>0.061771</v>
      </c>
    </row>
    <row r="150">
      <c r="A150" s="18" t="str">
        <f>IFERROR(__xludf.DUMMYFUNCTION("""COMPUTED_VALUE"""),"Gui Deodato")</f>
        <v>Gui Deodato</v>
      </c>
      <c r="B150" s="19" t="str">
        <f>IFERROR(__xludf.DUMMYFUNCTION("""COMPUTED_VALUE"""),"VAS")</f>
        <v>VAS</v>
      </c>
      <c r="C150" s="20">
        <f>IFERROR(__xludf.DUMMYFUNCTION("""COMPUTED_VALUE"""),49.0)</f>
        <v>49</v>
      </c>
      <c r="D150" s="21">
        <f>IFERROR(__xludf.DUMMYFUNCTION("""COMPUTED_VALUE"""),-0.8251769566498695)</f>
        <v>-0.8251769566</v>
      </c>
      <c r="E150" s="21">
        <f>IFERROR(__xludf.DUMMYFUNCTION("""COMPUTED_VALUE"""),-0.6489099755344124)</f>
        <v>-0.6489099755</v>
      </c>
      <c r="F150" s="21">
        <f>IFERROR(__xludf.DUMMYFUNCTION("""COMPUTED_VALUE"""),-1.4741023321842819)</f>
        <v>-1.474102332</v>
      </c>
      <c r="G150" s="23">
        <f>IFERROR(__xludf.DUMMYFUNCTION("""COMPUTED_VALUE"""),0.007832589992714193)</f>
        <v>0.007832589993</v>
      </c>
      <c r="H150" s="4"/>
      <c r="I150" s="5" t="s">
        <v>3362</v>
      </c>
      <c r="J150" s="5" t="s">
        <v>644</v>
      </c>
      <c r="K150" s="24">
        <v>3.0</v>
      </c>
      <c r="L150" s="5">
        <v>-0.16432</v>
      </c>
      <c r="M150" s="5">
        <v>-0.088385</v>
      </c>
      <c r="N150" s="5">
        <v>-0.252706</v>
      </c>
      <c r="O150" s="5">
        <v>0.001644</v>
      </c>
    </row>
    <row r="151">
      <c r="A151" s="12" t="str">
        <f>IFERROR(__xludf.DUMMYFUNCTION("""COMPUTED_VALUE"""),"Lucao Moraes")</f>
        <v>Lucao Moraes</v>
      </c>
      <c r="B151" s="13" t="str">
        <f>IFERROR(__xludf.DUMMYFUNCTION("""COMPUTED_VALUE"""),"LIG")</f>
        <v>LIG</v>
      </c>
      <c r="C151" s="14">
        <f>IFERROR(__xludf.DUMMYFUNCTION("""COMPUTED_VALUE"""),392.5)</f>
        <v>392.5</v>
      </c>
      <c r="D151" s="15">
        <f>IFERROR(__xludf.DUMMYFUNCTION("""COMPUTED_VALUE"""),0.1638891412740171)</f>
        <v>0.1638891413</v>
      </c>
      <c r="E151" s="15">
        <f>IFERROR(__xludf.DUMMYFUNCTION("""COMPUTED_VALUE"""),-1.6390109758616105)</f>
        <v>-1.639010976</v>
      </c>
      <c r="F151" s="15">
        <f>IFERROR(__xludf.DUMMYFUNCTION("""COMPUTED_VALUE"""),-1.4751292345875935)</f>
        <v>-1.475129235</v>
      </c>
      <c r="G151" s="17">
        <f>IFERROR(__xludf.DUMMYFUNCTION("""COMPUTED_VALUE"""),0.06192034163989453)</f>
        <v>0.06192034164</v>
      </c>
      <c r="H151" s="4"/>
      <c r="I151" s="5" t="s">
        <v>3363</v>
      </c>
      <c r="J151" s="5" t="s">
        <v>3217</v>
      </c>
      <c r="K151" s="24">
        <v>8.0</v>
      </c>
      <c r="L151" s="5">
        <v>-0.039457</v>
      </c>
      <c r="M151" s="5">
        <v>-0.217761</v>
      </c>
      <c r="N151" s="5">
        <v>-0.257217</v>
      </c>
      <c r="O151" s="5">
        <v>0.004144</v>
      </c>
    </row>
    <row r="152">
      <c r="A152" s="18" t="str">
        <f>IFERROR(__xludf.DUMMYFUNCTION("""COMPUTED_VALUE"""),"Shilton Santos")</f>
        <v>Shilton Santos</v>
      </c>
      <c r="B152" s="19" t="str">
        <f>IFERROR(__xludf.DUMMYFUNCTION("""COMPUTED_VALUE"""),"BAU")</f>
        <v>BAU</v>
      </c>
      <c r="C152" s="20">
        <f>IFERROR(__xludf.DUMMYFUNCTION("""COMPUTED_VALUE"""),643.7)</f>
        <v>643.7</v>
      </c>
      <c r="D152" s="21">
        <f>IFERROR(__xludf.DUMMYFUNCTION("""COMPUTED_VALUE"""),-1.4043710376510152)</f>
        <v>-1.404371038</v>
      </c>
      <c r="E152" s="21">
        <f>IFERROR(__xludf.DUMMYFUNCTION("""COMPUTED_VALUE"""),-0.13573647306415837)</f>
        <v>-0.1357364731</v>
      </c>
      <c r="F152" s="21">
        <f>IFERROR(__xludf.DUMMYFUNCTION("""COMPUTED_VALUE"""),-1.5401109107151736)</f>
        <v>-1.540110911</v>
      </c>
      <c r="G152" s="23">
        <f>IFERROR(__xludf.DUMMYFUNCTION("""COMPUTED_VALUE"""),0.0901988161976615)</f>
        <v>0.0901988162</v>
      </c>
      <c r="H152" s="4"/>
      <c r="I152" s="5" t="s">
        <v>3364</v>
      </c>
      <c r="J152" s="5" t="s">
        <v>3263</v>
      </c>
      <c r="K152" s="5">
        <v>11.0</v>
      </c>
      <c r="L152" s="5">
        <v>-0.258202</v>
      </c>
      <c r="M152" s="5">
        <v>5.83E-4</v>
      </c>
      <c r="N152" s="5">
        <v>-0.257619</v>
      </c>
      <c r="O152" s="5">
        <v>0.005865</v>
      </c>
    </row>
    <row r="153">
      <c r="A153" s="12" t="str">
        <f>IFERROR(__xludf.DUMMYFUNCTION("""COMPUTED_VALUE"""),"Davi De Oliveira")</f>
        <v>Davi De Oliveira</v>
      </c>
      <c r="B153" s="13" t="str">
        <f>IFERROR(__xludf.DUMMYFUNCTION("""COMPUTED_VALUE"""),"CEA")</f>
        <v>CEA</v>
      </c>
      <c r="C153" s="14">
        <f>IFERROR(__xludf.DUMMYFUNCTION("""COMPUTED_VALUE"""),1121.1)</f>
        <v>1121.1</v>
      </c>
      <c r="D153" s="15">
        <f>IFERROR(__xludf.DUMMYFUNCTION("""COMPUTED_VALUE"""),-1.5602638972172278)</f>
        <v>-1.560263897</v>
      </c>
      <c r="E153" s="15">
        <f>IFERROR(__xludf.DUMMYFUNCTION("""COMPUTED_VALUE"""),-0.04881120667804075)</f>
        <v>-0.04881120668</v>
      </c>
      <c r="F153" s="15">
        <f>IFERROR(__xludf.DUMMYFUNCTION("""COMPUTED_VALUE"""),-1.6090913038952686)</f>
        <v>-1.609091304</v>
      </c>
      <c r="G153" s="17">
        <f>IFERROR(__xludf.DUMMYFUNCTION("""COMPUTED_VALUE"""),0.13402640474830976)</f>
        <v>0.1340264047</v>
      </c>
      <c r="H153" s="4"/>
      <c r="I153" s="5" t="s">
        <v>3365</v>
      </c>
      <c r="J153" s="5" t="s">
        <v>3220</v>
      </c>
      <c r="K153" s="24">
        <v>811.0</v>
      </c>
      <c r="L153" s="5">
        <v>-0.077698</v>
      </c>
      <c r="M153" s="5">
        <v>-0.202854</v>
      </c>
      <c r="N153" s="5">
        <v>-0.280552</v>
      </c>
      <c r="O153" s="5">
        <v>0.427995</v>
      </c>
    </row>
    <row r="154">
      <c r="A154" s="18" t="str">
        <f>IFERROR(__xludf.DUMMYFUNCTION("""COMPUTED_VALUE"""),"Rodrigo Italo")</f>
        <v>Rodrigo Italo</v>
      </c>
      <c r="B154" s="19" t="str">
        <f>IFERROR(__xludf.DUMMYFUNCTION("""COMPUTED_VALUE"""),"LIG")</f>
        <v>LIG</v>
      </c>
      <c r="C154" s="20">
        <f>IFERROR(__xludf.DUMMYFUNCTION("""COMPUTED_VALUE"""),136.7)</f>
        <v>136.7</v>
      </c>
      <c r="D154" s="21">
        <f>IFERROR(__xludf.DUMMYFUNCTION("""COMPUTED_VALUE"""),-2.861031114218683)</f>
        <v>-2.861031114</v>
      </c>
      <c r="E154" s="21">
        <f>IFERROR(__xludf.DUMMYFUNCTION("""COMPUTED_VALUE"""),1.1993221449887639)</f>
        <v>1.199322145</v>
      </c>
      <c r="F154" s="21">
        <f>IFERROR(__xludf.DUMMYFUNCTION("""COMPUTED_VALUE"""),-1.6617201692299193)</f>
        <v>-1.661720169</v>
      </c>
      <c r="G154" s="23">
        <f>IFERROR(__xludf.DUMMYFUNCTION("""COMPUTED_VALUE"""),0.01390861457678313)</f>
        <v>0.01390861458</v>
      </c>
      <c r="H154" s="4"/>
      <c r="I154" s="5" t="s">
        <v>3366</v>
      </c>
      <c r="J154" s="5" t="s">
        <v>3278</v>
      </c>
      <c r="K154" s="5">
        <v>8.0</v>
      </c>
      <c r="L154" s="5">
        <v>-0.236755</v>
      </c>
      <c r="M154" s="5">
        <v>-0.048637</v>
      </c>
      <c r="N154" s="5">
        <v>-0.285392</v>
      </c>
      <c r="O154" s="5">
        <v>0.004039</v>
      </c>
    </row>
    <row r="155">
      <c r="A155" s="12" t="str">
        <f>IFERROR(__xludf.DUMMYFUNCTION("""COMPUTED_VALUE"""),"Andre Coimbra")</f>
        <v>Andre Coimbra</v>
      </c>
      <c r="B155" s="13" t="str">
        <f>IFERROR(__xludf.DUMMYFUNCTION("""COMPUTED_VALUE"""),"BOT")</f>
        <v>BOT</v>
      </c>
      <c r="C155" s="14">
        <f>IFERROR(__xludf.DUMMYFUNCTION("""COMPUTED_VALUE"""),627.6)</f>
        <v>627.6</v>
      </c>
      <c r="D155" s="15">
        <f>IFERROR(__xludf.DUMMYFUNCTION("""COMPUTED_VALUE"""),-3.1976215836949136)</f>
        <v>-3.197621584</v>
      </c>
      <c r="E155" s="15">
        <f>IFERROR(__xludf.DUMMYFUNCTION("""COMPUTED_VALUE"""),1.4797717737216258)</f>
        <v>1.479771774</v>
      </c>
      <c r="F155" s="15">
        <f>IFERROR(__xludf.DUMMYFUNCTION("""COMPUTED_VALUE"""),-1.7178679099732876)</f>
        <v>-1.71786791</v>
      </c>
      <c r="G155" s="17">
        <f>IFERROR(__xludf.DUMMYFUNCTION("""COMPUTED_VALUE"""),0.054252955144108155)</f>
        <v>0.05425295514</v>
      </c>
      <c r="H155" s="4"/>
      <c r="I155" s="5" t="s">
        <v>3130</v>
      </c>
      <c r="J155" s="5" t="s">
        <v>3212</v>
      </c>
      <c r="K155" s="5">
        <v>85.0</v>
      </c>
      <c r="L155" s="5">
        <v>-0.755871</v>
      </c>
      <c r="M155" s="5">
        <v>0.469907</v>
      </c>
      <c r="N155" s="5">
        <v>-0.285964</v>
      </c>
      <c r="O155" s="5">
        <v>0.044044</v>
      </c>
    </row>
    <row r="156">
      <c r="A156" s="18" t="str">
        <f>IFERROR(__xludf.DUMMYFUNCTION("""COMPUTED_VALUE"""),"Murilo Becker")</f>
        <v>Murilo Becker</v>
      </c>
      <c r="B156" s="19" t="str">
        <f>IFERROR(__xludf.DUMMYFUNCTION("""COMPUTED_VALUE"""),"UNIV")</f>
        <v>UNIV</v>
      </c>
      <c r="C156" s="20">
        <f>IFERROR(__xludf.DUMMYFUNCTION("""COMPUTED_VALUE"""),545.0)</f>
        <v>545</v>
      </c>
      <c r="D156" s="21">
        <f>IFERROR(__xludf.DUMMYFUNCTION("""COMPUTED_VALUE"""),-2.340030447871368)</f>
        <v>-2.340030448</v>
      </c>
      <c r="E156" s="21">
        <f>IFERROR(__xludf.DUMMYFUNCTION("""COMPUTED_VALUE"""),0.6005222357768494)</f>
        <v>0.6005222358</v>
      </c>
      <c r="F156" s="21">
        <f>IFERROR(__xludf.DUMMYFUNCTION("""COMPUTED_VALUE"""),-1.7395287120945186)</f>
        <v>-1.739528712</v>
      </c>
      <c r="G156" s="23">
        <f>IFERROR(__xludf.DUMMYFUNCTION("""COMPUTED_VALUE"""),0.042786171746303614)</f>
        <v>0.04278617175</v>
      </c>
      <c r="H156" s="4"/>
      <c r="I156" s="5" t="s">
        <v>3193</v>
      </c>
      <c r="J156" s="5" t="s">
        <v>3210</v>
      </c>
      <c r="K156" s="5">
        <v>457.0</v>
      </c>
      <c r="L156" s="5">
        <v>-0.047917</v>
      </c>
      <c r="M156" s="5">
        <v>-0.239113</v>
      </c>
      <c r="N156" s="5">
        <v>-0.28703</v>
      </c>
      <c r="O156" s="5">
        <v>0.235709</v>
      </c>
    </row>
    <row r="157">
      <c r="A157" s="12" t="str">
        <f>IFERROR(__xludf.DUMMYFUNCTION("""COMPUTED_VALUE"""),"Felipe Ribeiro")</f>
        <v>Felipe Ribeiro</v>
      </c>
      <c r="B157" s="13" t="str">
        <f>IFERROR(__xludf.DUMMYFUNCTION("""COMPUTED_VALUE"""),"CEA")</f>
        <v>CEA</v>
      </c>
      <c r="C157" s="14">
        <f>IFERROR(__xludf.DUMMYFUNCTION("""COMPUTED_VALUE"""),414.2)</f>
        <v>414.2</v>
      </c>
      <c r="D157" s="15">
        <f>IFERROR(__xludf.DUMMYFUNCTION("""COMPUTED_VALUE"""),-2.4822662906420154)</f>
        <v>-2.482266291</v>
      </c>
      <c r="E157" s="15">
        <f>IFERROR(__xludf.DUMMYFUNCTION("""COMPUTED_VALUE"""),0.7309117788394195)</f>
        <v>0.7309117788</v>
      </c>
      <c r="F157" s="15">
        <f>IFERROR(__xludf.DUMMYFUNCTION("""COMPUTED_VALUE"""),-1.751359511802596)</f>
        <v>-1.751359512</v>
      </c>
      <c r="G157" s="17">
        <f>IFERROR(__xludf.DUMMYFUNCTION("""COMPUTED_VALUE"""),0.03149699187819052)</f>
        <v>0.03149699188</v>
      </c>
      <c r="H157" s="4"/>
      <c r="I157" s="5" t="s">
        <v>3367</v>
      </c>
      <c r="J157" s="5" t="s">
        <v>3251</v>
      </c>
      <c r="K157" s="5">
        <v>11.0</v>
      </c>
      <c r="L157" s="5">
        <v>-0.24745</v>
      </c>
      <c r="M157" s="5">
        <v>-0.058857</v>
      </c>
      <c r="N157" s="5">
        <v>-0.306307</v>
      </c>
      <c r="O157" s="5">
        <v>0.005609</v>
      </c>
    </row>
    <row r="158">
      <c r="A158" s="18" t="str">
        <f>IFERROR(__xludf.DUMMYFUNCTION("""COMPUTED_VALUE"""),"Joao Pedro Demetrio")</f>
        <v>Joao Pedro Demetrio</v>
      </c>
      <c r="B158" s="19" t="str">
        <f>IFERROR(__xludf.DUMMYFUNCTION("""COMPUTED_VALUE"""),"FRA")</f>
        <v>FRA</v>
      </c>
      <c r="C158" s="20">
        <f>IFERROR(__xludf.DUMMYFUNCTION("""COMPUTED_VALUE"""),232.9)</f>
        <v>232.9</v>
      </c>
      <c r="D158" s="21">
        <f>IFERROR(__xludf.DUMMYFUNCTION("""COMPUTED_VALUE"""),-2.4195782102578773)</f>
        <v>-2.41957821</v>
      </c>
      <c r="E158" s="21">
        <f>IFERROR(__xludf.DUMMYFUNCTION("""COMPUTED_VALUE"""),0.6428307536560729)</f>
        <v>0.6428307537</v>
      </c>
      <c r="F158" s="21">
        <f>IFERROR(__xludf.DUMMYFUNCTION("""COMPUTED_VALUE"""),-1.7767629566018044)</f>
        <v>-1.776762957</v>
      </c>
      <c r="G158" s="23">
        <f>IFERROR(__xludf.DUMMYFUNCTION("""COMPUTED_VALUE"""),0.01762793475861781)</f>
        <v>0.01762793476</v>
      </c>
      <c r="H158" s="4"/>
      <c r="I158" s="5" t="s">
        <v>3368</v>
      </c>
      <c r="J158" s="5" t="s">
        <v>2201</v>
      </c>
      <c r="K158" s="5">
        <v>415.0</v>
      </c>
      <c r="L158" s="5">
        <v>0.058384</v>
      </c>
      <c r="M158" s="5">
        <v>-0.369694</v>
      </c>
      <c r="N158" s="5">
        <v>-0.31131</v>
      </c>
      <c r="O158" s="5">
        <v>0.214031</v>
      </c>
    </row>
    <row r="159">
      <c r="A159" s="12" t="str">
        <f>IFERROR(__xludf.DUMMYFUNCTION("""COMPUTED_VALUE"""),"Bruninho Langsdorff")</f>
        <v>Bruninho Langsdorff</v>
      </c>
      <c r="B159" s="13" t="str">
        <f>IFERROR(__xludf.DUMMYFUNCTION("""COMPUTED_VALUE"""),"VAS")</f>
        <v>VAS</v>
      </c>
      <c r="C159" s="14">
        <f>IFERROR(__xludf.DUMMYFUNCTION("""COMPUTED_VALUE"""),118.4)</f>
        <v>118.4</v>
      </c>
      <c r="D159" s="15">
        <f>IFERROR(__xludf.DUMMYFUNCTION("""COMPUTED_VALUE"""),-0.3102905814530005)</f>
        <v>-0.3102905815</v>
      </c>
      <c r="E159" s="15">
        <f>IFERROR(__xludf.DUMMYFUNCTION("""COMPUTED_VALUE"""),-1.4668455648511294)</f>
        <v>-1.466845565</v>
      </c>
      <c r="F159" s="15">
        <f>IFERROR(__xludf.DUMMYFUNCTION("""COMPUTED_VALUE"""),-1.7771463463041297)</f>
        <v>-1.777146346</v>
      </c>
      <c r="G159" s="17">
        <f>IFERROR(__xludf.DUMMYFUNCTION("""COMPUTED_VALUE"""),0.008014526652059862)</f>
        <v>0.008014526652</v>
      </c>
      <c r="H159" s="4"/>
      <c r="I159" s="5" t="s">
        <v>3079</v>
      </c>
      <c r="J159" s="5" t="s">
        <v>3223</v>
      </c>
      <c r="K159" s="5">
        <v>28.0</v>
      </c>
      <c r="L159" s="5">
        <v>-0.240873</v>
      </c>
      <c r="M159" s="5">
        <v>-0.100813</v>
      </c>
      <c r="N159" s="5">
        <v>-0.341686</v>
      </c>
      <c r="O159" s="5">
        <v>0.014112</v>
      </c>
    </row>
    <row r="160">
      <c r="A160" s="18" t="str">
        <f>IFERROR(__xludf.DUMMYFUNCTION("""COMPUTED_VALUE"""),"Marcao Vinicius")</f>
        <v>Marcao Vinicius</v>
      </c>
      <c r="B160" s="19" t="str">
        <f>IFERROR(__xludf.DUMMYFUNCTION("""COMPUTED_VALUE"""),"CAX")</f>
        <v>CAX</v>
      </c>
      <c r="C160" s="20">
        <f>IFERROR(__xludf.DUMMYFUNCTION("""COMPUTED_VALUE"""),734.0)</f>
        <v>734</v>
      </c>
      <c r="D160" s="21">
        <f>IFERROR(__xludf.DUMMYFUNCTION("""COMPUTED_VALUE"""),-1.9244516368849827)</f>
        <v>-1.924451637</v>
      </c>
      <c r="E160" s="21">
        <f>IFERROR(__xludf.DUMMYFUNCTION("""COMPUTED_VALUE"""),0.10569585301029631)</f>
        <v>0.105695853</v>
      </c>
      <c r="F160" s="21">
        <f>IFERROR(__xludf.DUMMYFUNCTION("""COMPUTED_VALUE"""),-1.8187564838746864)</f>
        <v>-1.818756484</v>
      </c>
      <c r="G160" s="23">
        <f>IFERROR(__xludf.DUMMYFUNCTION("""COMPUTED_VALUE"""),0.04026210322900262)</f>
        <v>0.04026210323</v>
      </c>
      <c r="H160" s="4"/>
      <c r="I160" s="5" t="s">
        <v>3369</v>
      </c>
      <c r="J160" s="5" t="s">
        <v>3331</v>
      </c>
      <c r="K160" s="24">
        <v>584.0</v>
      </c>
      <c r="L160" s="5">
        <v>1.210235</v>
      </c>
      <c r="M160" s="5">
        <v>-1.556802</v>
      </c>
      <c r="N160" s="5">
        <v>-0.346567</v>
      </c>
      <c r="O160" s="5">
        <v>0.293173</v>
      </c>
    </row>
    <row r="161">
      <c r="A161" s="12" t="str">
        <f>IFERROR(__xludf.DUMMYFUNCTION("""COMPUTED_VALUE"""),"Alex Oliveira")</f>
        <v>Alex Oliveira</v>
      </c>
      <c r="B161" s="13" t="str">
        <f>IFERROR(__xludf.DUMMYFUNCTION("""COMPUTED_VALUE"""),"CAX")</f>
        <v>CAX</v>
      </c>
      <c r="C161" s="14">
        <f>IFERROR(__xludf.DUMMYFUNCTION("""COMPUTED_VALUE"""),1076.5)</f>
        <v>1076.5</v>
      </c>
      <c r="D161" s="15">
        <f>IFERROR(__xludf.DUMMYFUNCTION("""COMPUTED_VALUE"""),-0.9530602632802118)</f>
        <v>-0.9530602633</v>
      </c>
      <c r="E161" s="15">
        <f>IFERROR(__xludf.DUMMYFUNCTION("""COMPUTED_VALUE"""),-0.9343402131382711)</f>
        <v>-0.9343402131</v>
      </c>
      <c r="F161" s="15">
        <f>IFERROR(__xludf.DUMMYFUNCTION("""COMPUTED_VALUE"""),-1.8874072764184828)</f>
        <v>-1.887407276</v>
      </c>
      <c r="G161" s="17">
        <f>IFERROR(__xludf.DUMMYFUNCTION("""COMPUTED_VALUE"""),0.03668894534276473)</f>
        <v>0.03668894534</v>
      </c>
      <c r="H161" s="4"/>
      <c r="I161" s="5" t="s">
        <v>3370</v>
      </c>
      <c r="J161" s="5" t="s">
        <v>644</v>
      </c>
      <c r="K161" s="5">
        <v>527.0</v>
      </c>
      <c r="L161" s="5">
        <v>2.778987</v>
      </c>
      <c r="M161" s="5">
        <v>-3.143447</v>
      </c>
      <c r="N161" s="5">
        <v>-0.364459</v>
      </c>
      <c r="O161" s="5">
        <v>0.261718</v>
      </c>
    </row>
    <row r="162">
      <c r="A162" s="18" t="str">
        <f>IFERROR(__xludf.DUMMYFUNCTION("""COMPUTED_VALUE"""),"Diego Santos")</f>
        <v>Diego Santos</v>
      </c>
      <c r="B162" s="19" t="str">
        <f>IFERROR(__xludf.DUMMYFUNCTION("""COMPUTED_VALUE"""),"JOI")</f>
        <v>JOI</v>
      </c>
      <c r="C162" s="20">
        <f>IFERROR(__xludf.DUMMYFUNCTION("""COMPUTED_VALUE"""),102.1)</f>
        <v>102.1</v>
      </c>
      <c r="D162" s="21">
        <f>IFERROR(__xludf.DUMMYFUNCTION("""COMPUTED_VALUE"""),-0.9715262051133717)</f>
        <v>-0.9715262051</v>
      </c>
      <c r="E162" s="21">
        <f>IFERROR(__xludf.DUMMYFUNCTION("""COMPUTED_VALUE"""),-0.9459604548014163)</f>
        <v>-0.9459604548</v>
      </c>
      <c r="F162" s="21">
        <f>IFERROR(__xludf.DUMMYFUNCTION("""COMPUTED_VALUE"""),-1.9174903599147881)</f>
        <v>-1.91749036</v>
      </c>
      <c r="G162" s="23">
        <f>IFERROR(__xludf.DUMMYFUNCTION("""COMPUTED_VALUE"""),0.002567348818784133)</f>
        <v>0.002567348819</v>
      </c>
      <c r="H162" s="4"/>
      <c r="I162" s="5" t="s">
        <v>3371</v>
      </c>
      <c r="J162" s="5" t="s">
        <v>3237</v>
      </c>
      <c r="K162" s="24">
        <v>9.0</v>
      </c>
      <c r="L162" s="5">
        <v>0.088565</v>
      </c>
      <c r="M162" s="5">
        <v>-0.460218</v>
      </c>
      <c r="N162" s="5">
        <v>-0.371652</v>
      </c>
      <c r="O162" s="5">
        <v>0.004834</v>
      </c>
    </row>
    <row r="163">
      <c r="A163" s="12" t="str">
        <f>IFERROR(__xludf.DUMMYFUNCTION("""COMPUTED_VALUE"""),"Fernando Ferreira")</f>
        <v>Fernando Ferreira</v>
      </c>
      <c r="B163" s="13" t="str">
        <f>IFERROR(__xludf.DUMMYFUNCTION("""COMPUTED_VALUE"""),"CAX")</f>
        <v>CAX</v>
      </c>
      <c r="C163" s="14">
        <f>IFERROR(__xludf.DUMMYFUNCTION("""COMPUTED_VALUE"""),276.2)</f>
        <v>276.2</v>
      </c>
      <c r="D163" s="15">
        <f>IFERROR(__xludf.DUMMYFUNCTION("""COMPUTED_VALUE"""),-4.173659773968462)</f>
        <v>-4.173659774</v>
      </c>
      <c r="E163" s="15">
        <f>IFERROR(__xludf.DUMMYFUNCTION("""COMPUTED_VALUE"""),2.2390076436043693)</f>
        <v>2.239007644</v>
      </c>
      <c r="F163" s="15">
        <f>IFERROR(__xludf.DUMMYFUNCTION("""COMPUTED_VALUE"""),-1.9346658303640931)</f>
        <v>-1.93466583</v>
      </c>
      <c r="G163" s="17">
        <f>IFERROR(__xludf.DUMMYFUNCTION("""COMPUTED_VALUE"""),0.005474979686841746)</f>
        <v>0.005474979687</v>
      </c>
      <c r="H163" s="4"/>
      <c r="I163" s="5" t="s">
        <v>3372</v>
      </c>
      <c r="J163" s="5" t="s">
        <v>3240</v>
      </c>
      <c r="K163" s="5">
        <v>73.0</v>
      </c>
      <c r="L163" s="5">
        <v>-0.806155</v>
      </c>
      <c r="M163" s="5">
        <v>0.427757</v>
      </c>
      <c r="N163" s="5">
        <v>-0.378399</v>
      </c>
      <c r="O163" s="5">
        <v>0.036247</v>
      </c>
    </row>
    <row r="164">
      <c r="A164" s="18" t="str">
        <f>IFERROR(__xludf.DUMMYFUNCTION("""COMPUTED_VALUE"""),"Wesley Sena")</f>
        <v>Wesley Sena</v>
      </c>
      <c r="B164" s="19" t="str">
        <f>IFERROR(__xludf.DUMMYFUNCTION("""COMPUTED_VALUE"""),"MOG")</f>
        <v>MOG</v>
      </c>
      <c r="C164" s="20">
        <f>IFERROR(__xludf.DUMMYFUNCTION("""COMPUTED_VALUE"""),526.1)</f>
        <v>526.1</v>
      </c>
      <c r="D164" s="21">
        <f>IFERROR(__xludf.DUMMYFUNCTION("""COMPUTED_VALUE"""),-3.2332151129264366)</f>
        <v>-3.233215113</v>
      </c>
      <c r="E164" s="21">
        <f>IFERROR(__xludf.DUMMYFUNCTION("""COMPUTED_VALUE"""),1.2612157073238381)</f>
        <v>1.261215707</v>
      </c>
      <c r="F164" s="21">
        <f>IFERROR(__xludf.DUMMYFUNCTION("""COMPUTED_VALUE"""),-1.9720026056025985)</f>
        <v>-1.972002606</v>
      </c>
      <c r="G164" s="23">
        <f>IFERROR(__xludf.DUMMYFUNCTION("""COMPUTED_VALUE"""),0.004497309346879377)</f>
        <v>0.004497309347</v>
      </c>
      <c r="H164" s="4"/>
      <c r="I164" s="5" t="s">
        <v>3373</v>
      </c>
      <c r="J164" s="5" t="s">
        <v>3283</v>
      </c>
      <c r="K164" s="24">
        <v>5.0</v>
      </c>
      <c r="L164" s="5">
        <v>-0.276599</v>
      </c>
      <c r="M164" s="5">
        <v>-0.123603</v>
      </c>
      <c r="N164" s="5">
        <v>-0.400202</v>
      </c>
      <c r="O164" s="5">
        <v>0.002187</v>
      </c>
    </row>
    <row r="165">
      <c r="A165" s="12" t="str">
        <f>IFERROR(__xludf.DUMMYFUNCTION("""COMPUTED_VALUE"""),"Danilo Santos")</f>
        <v>Danilo Santos</v>
      </c>
      <c r="B165" s="13" t="str">
        <f>IFERROR(__xludf.DUMMYFUNCTION("""COMPUTED_VALUE"""),"PIN")</f>
        <v>PIN</v>
      </c>
      <c r="C165" s="14">
        <f>IFERROR(__xludf.DUMMYFUNCTION("""COMPUTED_VALUE"""),62.6)</f>
        <v>62.6</v>
      </c>
      <c r="D165" s="15">
        <f>IFERROR(__xludf.DUMMYFUNCTION("""COMPUTED_VALUE"""),-1.449710209397121)</f>
        <v>-1.449710209</v>
      </c>
      <c r="E165" s="15">
        <f>IFERROR(__xludf.DUMMYFUNCTION("""COMPUTED_VALUE"""),-0.5270704901343359)</f>
        <v>-0.5270704901</v>
      </c>
      <c r="F165" s="15">
        <f>IFERROR(__xludf.DUMMYFUNCTION("""COMPUTED_VALUE"""),-1.976784499531457)</f>
        <v>-1.9767845</v>
      </c>
      <c r="G165" s="17">
        <f>IFERROR(__xludf.DUMMYFUNCTION("""COMPUTED_VALUE"""),4.467191550564534E-4)</f>
        <v>0.0004467191551</v>
      </c>
      <c r="H165" s="4"/>
      <c r="I165" s="5" t="s">
        <v>3374</v>
      </c>
      <c r="J165" s="5" t="s">
        <v>2838</v>
      </c>
      <c r="K165" s="5">
        <v>10.0</v>
      </c>
      <c r="L165" s="5">
        <v>-0.343351</v>
      </c>
      <c r="M165" s="5">
        <v>-0.078729</v>
      </c>
      <c r="N165" s="5">
        <v>-0.42208</v>
      </c>
      <c r="O165" s="5">
        <v>0.004538</v>
      </c>
    </row>
    <row r="166">
      <c r="A166" s="18" t="str">
        <f>IFERROR(__xludf.DUMMYFUNCTION("""COMPUTED_VALUE"""),"Jose Carlos")</f>
        <v>Jose Carlos</v>
      </c>
      <c r="B166" s="19" t="str">
        <f>IFERROR(__xludf.DUMMYFUNCTION("""COMPUTED_VALUE"""),"MOG")</f>
        <v>MOG</v>
      </c>
      <c r="C166" s="20">
        <f>IFERROR(__xludf.DUMMYFUNCTION("""COMPUTED_VALUE"""),84.6)</f>
        <v>84.6</v>
      </c>
      <c r="D166" s="21">
        <f>IFERROR(__xludf.DUMMYFUNCTION("""COMPUTED_VALUE"""),-1.3181268459743465)</f>
        <v>-1.318126846</v>
      </c>
      <c r="E166" s="21">
        <f>IFERROR(__xludf.DUMMYFUNCTION("""COMPUTED_VALUE"""),-0.6821295676475676)</f>
        <v>-0.6821295676</v>
      </c>
      <c r="F166" s="21">
        <f>IFERROR(__xludf.DUMMYFUNCTION("""COMPUTED_VALUE"""),-2.000275013621914)</f>
        <v>-2.000275014</v>
      </c>
      <c r="G166" s="23">
        <f>IFERROR(__xludf.DUMMYFUNCTION("""COMPUTED_VALUE"""),1.1501243377252115E-5)</f>
        <v>0.00001150124338</v>
      </c>
      <c r="H166" s="4"/>
      <c r="I166" s="5" t="s">
        <v>3375</v>
      </c>
      <c r="J166" s="5" t="s">
        <v>3203</v>
      </c>
      <c r="K166" s="5">
        <v>650.0</v>
      </c>
      <c r="L166" s="5">
        <v>0.803708</v>
      </c>
      <c r="M166" s="5">
        <v>-1.242739</v>
      </c>
      <c r="N166" s="5">
        <v>-0.43903</v>
      </c>
      <c r="O166" s="5">
        <v>0.307868</v>
      </c>
    </row>
    <row r="167">
      <c r="A167" s="12" t="str">
        <f>IFERROR(__xludf.DUMMYFUNCTION("""COMPUTED_VALUE"""),"Biloca Garcia")</f>
        <v>Biloca Garcia</v>
      </c>
      <c r="B167" s="13" t="str">
        <f>IFERROR(__xludf.DUMMYFUNCTION("""COMPUTED_VALUE"""),"JOI")</f>
        <v>JOI</v>
      </c>
      <c r="C167" s="14">
        <f>IFERROR(__xludf.DUMMYFUNCTION("""COMPUTED_VALUE"""),36.4)</f>
        <v>36.4</v>
      </c>
      <c r="D167" s="15">
        <f>IFERROR(__xludf.DUMMYFUNCTION("""COMPUTED_VALUE"""),-1.1673149065797201)</f>
        <v>-1.167314907</v>
      </c>
      <c r="E167" s="15">
        <f>IFERROR(__xludf.DUMMYFUNCTION("""COMPUTED_VALUE"""),-0.8369221521007499)</f>
        <v>-0.8369221521</v>
      </c>
      <c r="F167" s="15">
        <f>IFERROR(__xludf.DUMMYFUNCTION("""COMPUTED_VALUE"""),-2.00424955868047)</f>
        <v>-2.004249559</v>
      </c>
      <c r="G167" s="17">
        <f>IFERROR(__xludf.DUMMYFUNCTION("""COMPUTED_VALUE"""),-3.457315559333901E-5)</f>
        <v>-0.00003457315559</v>
      </c>
      <c r="H167" s="4"/>
      <c r="I167" s="5" t="s">
        <v>3376</v>
      </c>
      <c r="J167" s="5" t="s">
        <v>644</v>
      </c>
      <c r="K167" s="5">
        <v>3.0</v>
      </c>
      <c r="L167" s="5">
        <v>-0.317082</v>
      </c>
      <c r="M167" s="5">
        <v>-0.125032</v>
      </c>
      <c r="N167" s="5">
        <v>-0.442114</v>
      </c>
      <c r="O167" s="5">
        <v>0.001182</v>
      </c>
    </row>
    <row r="168">
      <c r="A168" s="18" t="str">
        <f>IFERROR(__xludf.DUMMYFUNCTION("""COMPUTED_VALUE"""),"Betinho Duarte")</f>
        <v>Betinho Duarte</v>
      </c>
      <c r="B168" s="19" t="str">
        <f>IFERROR(__xludf.DUMMYFUNCTION("""COMPUTED_VALUE"""),"CEA")</f>
        <v>CEA</v>
      </c>
      <c r="C168" s="20">
        <f>IFERROR(__xludf.DUMMYFUNCTION("""COMPUTED_VALUE"""),915.0)</f>
        <v>915</v>
      </c>
      <c r="D168" s="21">
        <f>IFERROR(__xludf.DUMMYFUNCTION("""COMPUTED_VALUE"""),0.10603658370695511)</f>
        <v>0.1060365837</v>
      </c>
      <c r="E168" s="21">
        <f>IFERROR(__xludf.DUMMYFUNCTION("""COMPUTED_VALUE"""),-2.1120510147631855)</f>
        <v>-2.112051015</v>
      </c>
      <c r="F168" s="21">
        <f>IFERROR(__xludf.DUMMYFUNCTION("""COMPUTED_VALUE"""),-2.0060285310562302)</f>
        <v>-2.006028531</v>
      </c>
      <c r="G168" s="23">
        <f>IFERROR(__xludf.DUMMYFUNCTION("""COMPUTED_VALUE"""),-0.0016726502491199008)</f>
        <v>-0.001672650249</v>
      </c>
      <c r="H168" s="4"/>
      <c r="I168" s="5" t="s">
        <v>3377</v>
      </c>
      <c r="J168" s="5" t="s">
        <v>3223</v>
      </c>
      <c r="K168" s="5">
        <v>10.0</v>
      </c>
      <c r="L168" s="5">
        <v>-0.485909</v>
      </c>
      <c r="M168" s="5">
        <v>0.020034</v>
      </c>
      <c r="N168" s="5">
        <v>-0.465875</v>
      </c>
      <c r="O168" s="5">
        <v>0.004662</v>
      </c>
    </row>
    <row r="169">
      <c r="A169" s="12" t="str">
        <f>IFERROR(__xludf.DUMMYFUNCTION("""COMPUTED_VALUE"""),"Chris Ware")</f>
        <v>Chris Ware</v>
      </c>
      <c r="B169" s="13" t="str">
        <f>IFERROR(__xludf.DUMMYFUNCTION("""COMPUTED_VALUE"""),"PIN")</f>
        <v>PIN</v>
      </c>
      <c r="C169" s="14">
        <f>IFERROR(__xludf.DUMMYFUNCTION("""COMPUTED_VALUE"""),560.0)</f>
        <v>560</v>
      </c>
      <c r="D169" s="15">
        <f>IFERROR(__xludf.DUMMYFUNCTION("""COMPUTED_VALUE"""),-1.3761806372836662)</f>
        <v>-1.376180637</v>
      </c>
      <c r="E169" s="15">
        <f>IFERROR(__xludf.DUMMYFUNCTION("""COMPUTED_VALUE"""),-0.6499035765248231)</f>
        <v>-0.6499035765</v>
      </c>
      <c r="F169" s="15">
        <f>IFERROR(__xludf.DUMMYFUNCTION("""COMPUTED_VALUE"""),-2.0260846138084894)</f>
        <v>-2.026084614</v>
      </c>
      <c r="G169" s="17">
        <f>IFERROR(__xludf.DUMMYFUNCTION("""COMPUTED_VALUE"""),-0.004451490946990637)</f>
        <v>-0.004451490947</v>
      </c>
      <c r="H169" s="4"/>
      <c r="I169" s="5" t="s">
        <v>3378</v>
      </c>
      <c r="J169" s="5" t="s">
        <v>3210</v>
      </c>
      <c r="K169" s="5">
        <v>84.0</v>
      </c>
      <c r="L169" s="5">
        <v>-0.678753</v>
      </c>
      <c r="M169" s="5">
        <v>0.150786</v>
      </c>
      <c r="N169" s="5">
        <v>-0.527967</v>
      </c>
      <c r="O169" s="5">
        <v>0.037295</v>
      </c>
    </row>
    <row r="170">
      <c r="A170" s="18" t="str">
        <f>IFERROR(__xludf.DUMMYFUNCTION("""COMPUTED_VALUE"""),"Helio Vitor Lima")</f>
        <v>Helio Vitor Lima</v>
      </c>
      <c r="B170" s="19" t="str">
        <f>IFERROR(__xludf.DUMMYFUNCTION("""COMPUTED_VALUE"""),"MOUR")</f>
        <v>MOUR</v>
      </c>
      <c r="C170" s="20">
        <f>IFERROR(__xludf.DUMMYFUNCTION("""COMPUTED_VALUE"""),522.1)</f>
        <v>522.1</v>
      </c>
      <c r="D170" s="21">
        <f>IFERROR(__xludf.DUMMYFUNCTION("""COMPUTED_VALUE"""),0.2183896988230546)</f>
        <v>0.2183896988</v>
      </c>
      <c r="E170" s="21">
        <f>IFERROR(__xludf.DUMMYFUNCTION("""COMPUTED_VALUE"""),-2.421443303284327)</f>
        <v>-2.421443303</v>
      </c>
      <c r="F170" s="21">
        <f>IFERROR(__xludf.DUMMYFUNCTION("""COMPUTED_VALUE"""),-2.203062904461272)</f>
        <v>-2.203062904</v>
      </c>
      <c r="G170" s="23">
        <f>IFERROR(__xludf.DUMMYFUNCTION("""COMPUTED_VALUE"""),-0.032095184123245614)</f>
        <v>-0.03209518412</v>
      </c>
      <c r="H170" s="4"/>
      <c r="I170" s="5" t="s">
        <v>3379</v>
      </c>
      <c r="J170" s="5" t="s">
        <v>3240</v>
      </c>
      <c r="K170" s="5">
        <v>16.0</v>
      </c>
      <c r="L170" s="5">
        <v>-0.671469</v>
      </c>
      <c r="M170" s="5">
        <v>0.116782</v>
      </c>
      <c r="N170" s="5">
        <v>-0.554687</v>
      </c>
      <c r="O170" s="5">
        <v>0.006964</v>
      </c>
    </row>
    <row r="171">
      <c r="A171" s="12" t="str">
        <f>IFERROR(__xludf.DUMMYFUNCTION("""COMPUTED_VALUE"""),"Raphael Figueiredo")</f>
        <v>Raphael Figueiredo</v>
      </c>
      <c r="B171" s="13" t="str">
        <f>IFERROR(__xludf.DUMMYFUNCTION("""COMPUTED_VALUE"""),"LIG")</f>
        <v>LIG</v>
      </c>
      <c r="C171" s="14">
        <f>IFERROR(__xludf.DUMMYFUNCTION("""COMPUTED_VALUE"""),86.0)</f>
        <v>86</v>
      </c>
      <c r="D171" s="15">
        <f>IFERROR(__xludf.DUMMYFUNCTION("""COMPUTED_VALUE"""),-1.2535613039658777)</f>
        <v>-1.253561304</v>
      </c>
      <c r="E171" s="15">
        <f>IFERROR(__xludf.DUMMYFUNCTION("""COMPUTED_VALUE"""),-0.9750814745863621)</f>
        <v>-0.9750814746</v>
      </c>
      <c r="F171" s="15">
        <f>IFERROR(__xludf.DUMMYFUNCTION("""COMPUTED_VALUE"""),-2.22865607855224)</f>
        <v>-2.228656079</v>
      </c>
      <c r="G171" s="17">
        <f>IFERROR(__xludf.DUMMYFUNCTION("""COMPUTED_VALUE"""),-0.005896470234905758)</f>
        <v>-0.005896470235</v>
      </c>
      <c r="H171" s="4"/>
      <c r="I171" s="5" t="s">
        <v>3380</v>
      </c>
      <c r="J171" s="5" t="s">
        <v>3226</v>
      </c>
      <c r="K171" s="5">
        <v>425.0</v>
      </c>
      <c r="L171" s="5">
        <v>-2.975299</v>
      </c>
      <c r="M171" s="5">
        <v>2.392324</v>
      </c>
      <c r="N171" s="5">
        <v>-0.582976</v>
      </c>
      <c r="O171" s="5">
        <v>0.183592</v>
      </c>
    </row>
    <row r="172">
      <c r="A172" s="18" t="str">
        <f>IFERROR(__xludf.DUMMYFUNCTION("""COMPUTED_VALUE"""),"Eric Laster")</f>
        <v>Eric Laster</v>
      </c>
      <c r="B172" s="19" t="str">
        <f>IFERROR(__xludf.DUMMYFUNCTION("""COMPUTED_VALUE"""),"CEA")</f>
        <v>CEA</v>
      </c>
      <c r="C172" s="20">
        <f>IFERROR(__xludf.DUMMYFUNCTION("""COMPUTED_VALUE"""),46.0)</f>
        <v>46</v>
      </c>
      <c r="D172" s="21">
        <f>IFERROR(__xludf.DUMMYFUNCTION("""COMPUTED_VALUE"""),-1.2907864558739697)</f>
        <v>-1.290786456</v>
      </c>
      <c r="E172" s="21">
        <f>IFERROR(__xludf.DUMMYFUNCTION("""COMPUTED_VALUE"""),-1.062556658523482)</f>
        <v>-1.062556659</v>
      </c>
      <c r="F172" s="21">
        <f>IFERROR(__xludf.DUMMYFUNCTION("""COMPUTED_VALUE"""),-2.3533532143974516)</f>
        <v>-2.353353214</v>
      </c>
      <c r="G172" s="23">
        <f>IFERROR(__xludf.DUMMYFUNCTION("""COMPUTED_VALUE"""),-0.004960228171037622)</f>
        <v>-0.004960228171</v>
      </c>
      <c r="H172" s="4"/>
      <c r="I172" s="5" t="s">
        <v>3381</v>
      </c>
      <c r="J172" s="5" t="s">
        <v>3281</v>
      </c>
      <c r="K172" s="5">
        <v>380.0</v>
      </c>
      <c r="L172" s="5">
        <v>-1.179694</v>
      </c>
      <c r="M172" s="5">
        <v>0.572275</v>
      </c>
      <c r="N172" s="5">
        <v>-0.607419</v>
      </c>
      <c r="O172" s="5">
        <v>0.161517</v>
      </c>
    </row>
    <row r="173">
      <c r="A173" s="12" t="str">
        <f>IFERROR(__xludf.DUMMYFUNCTION("""COMPUTED_VALUE"""),"Wallisson Vinicius")</f>
        <v>Wallisson Vinicius</v>
      </c>
      <c r="B173" s="13" t="str">
        <f>IFERROR(__xludf.DUMMYFUNCTION("""COMPUTED_VALUE"""),"CEA")</f>
        <v>CEA</v>
      </c>
      <c r="C173" s="14">
        <f>IFERROR(__xludf.DUMMYFUNCTION("""COMPUTED_VALUE"""),70.0)</f>
        <v>70</v>
      </c>
      <c r="D173" s="15">
        <f>IFERROR(__xludf.DUMMYFUNCTION("""COMPUTED_VALUE"""),-1.706867974410181)</f>
        <v>-1.706867974</v>
      </c>
      <c r="E173" s="15">
        <f>IFERROR(__xludf.DUMMYFUNCTION("""COMPUTED_VALUE"""),-0.7309530400459373)</f>
        <v>-0.73095304</v>
      </c>
      <c r="F173" s="15">
        <f>IFERROR(__xludf.DUMMYFUNCTION("""COMPUTED_VALUE"""),-2.437821514456118)</f>
        <v>-2.437821514</v>
      </c>
      <c r="G173" s="17">
        <f>IFERROR(__xludf.DUMMYFUNCTION("""COMPUTED_VALUE"""),-0.009371090970788771)</f>
        <v>-0.009371090971</v>
      </c>
      <c r="H173" s="4"/>
      <c r="I173" s="5" t="s">
        <v>3382</v>
      </c>
      <c r="J173" s="5" t="s">
        <v>3217</v>
      </c>
      <c r="K173" s="5">
        <v>29.0</v>
      </c>
      <c r="L173" s="5">
        <v>-0.435694</v>
      </c>
      <c r="M173" s="5">
        <v>-0.175182</v>
      </c>
      <c r="N173" s="5">
        <v>-0.610877</v>
      </c>
      <c r="O173" s="5">
        <v>0.012082</v>
      </c>
    </row>
    <row r="174">
      <c r="A174" s="18" t="str">
        <f>IFERROR(__xludf.DUMMYFUNCTION("""COMPUTED_VALUE"""),"Wesley Henrique")</f>
        <v>Wesley Henrique</v>
      </c>
      <c r="B174" s="19" t="str">
        <f>IFERROR(__xludf.DUMMYFUNCTION("""COMPUTED_VALUE"""),"MOUR")</f>
        <v>MOUR</v>
      </c>
      <c r="C174" s="20">
        <f>IFERROR(__xludf.DUMMYFUNCTION("""COMPUTED_VALUE"""),177.8)</f>
        <v>177.8</v>
      </c>
      <c r="D174" s="21">
        <f>IFERROR(__xludf.DUMMYFUNCTION("""COMPUTED_VALUE"""),-1.210905255941222)</f>
        <v>-1.210905256</v>
      </c>
      <c r="E174" s="21">
        <f>IFERROR(__xludf.DUMMYFUNCTION("""COMPUTED_VALUE"""),-1.2324615504322878)</f>
        <v>-1.23246155</v>
      </c>
      <c r="F174" s="21">
        <f>IFERROR(__xludf.DUMMYFUNCTION("""COMPUTED_VALUE"""),-2.4433784063735096)</f>
        <v>-2.443378406</v>
      </c>
      <c r="G174" s="23">
        <f>IFERROR(__xludf.DUMMYFUNCTION("""COMPUTED_VALUE"""),-0.02386033941275278)</f>
        <v>-0.02386033941</v>
      </c>
      <c r="H174" s="4"/>
      <c r="I174" s="5" t="s">
        <v>3383</v>
      </c>
      <c r="J174" s="5" t="s">
        <v>3281</v>
      </c>
      <c r="K174" s="5">
        <v>373.0</v>
      </c>
      <c r="L174" s="5">
        <v>-0.621654</v>
      </c>
      <c r="M174" s="5">
        <v>0.007196</v>
      </c>
      <c r="N174" s="5">
        <v>-0.614458</v>
      </c>
      <c r="O174" s="5">
        <v>0.157406</v>
      </c>
    </row>
    <row r="175">
      <c r="A175" s="12" t="str">
        <f>IFERROR(__xludf.DUMMYFUNCTION("""COMPUTED_VALUE"""),"Augusto Leao")</f>
        <v>Augusto Leao</v>
      </c>
      <c r="B175" s="13" t="str">
        <f>IFERROR(__xludf.DUMMYFUNCTION("""COMPUTED_VALUE"""),"MIN")</f>
        <v>MIN</v>
      </c>
      <c r="C175" s="14">
        <f>IFERROR(__xludf.DUMMYFUNCTION("""COMPUTED_VALUE"""),67.7)</f>
        <v>67.7</v>
      </c>
      <c r="D175" s="15">
        <f>IFERROR(__xludf.DUMMYFUNCTION("""COMPUTED_VALUE"""),-2.236519542325543)</f>
        <v>-2.236519542</v>
      </c>
      <c r="E175" s="15">
        <f>IFERROR(__xludf.DUMMYFUNCTION("""COMPUTED_VALUE"""),-0.2316089817069366)</f>
        <v>-0.2316089817</v>
      </c>
      <c r="F175" s="15">
        <f>IFERROR(__xludf.DUMMYFUNCTION("""COMPUTED_VALUE"""),-2.4681383240324797)</f>
        <v>-2.468138324</v>
      </c>
      <c r="G175" s="17">
        <f>IFERROR(__xludf.DUMMYFUNCTION("""COMPUTED_VALUE"""),-0.009676905952991893)</f>
        <v>-0.009676905953</v>
      </c>
      <c r="H175" s="4"/>
      <c r="I175" s="5" t="s">
        <v>3384</v>
      </c>
      <c r="J175" s="5" t="s">
        <v>3220</v>
      </c>
      <c r="K175" s="24">
        <v>43.0</v>
      </c>
      <c r="L175" s="5">
        <v>0.00717</v>
      </c>
      <c r="M175" s="5">
        <v>-0.62762</v>
      </c>
      <c r="N175" s="5">
        <v>-0.62045</v>
      </c>
      <c r="O175" s="5">
        <v>0.018211</v>
      </c>
    </row>
    <row r="176">
      <c r="A176" s="18" t="str">
        <f>IFERROR(__xludf.DUMMYFUNCTION("""COMPUTED_VALUE"""),"Juliano Armani")</f>
        <v>Juliano Armani</v>
      </c>
      <c r="B176" s="19" t="str">
        <f>IFERROR(__xludf.DUMMYFUNCTION("""COMPUTED_VALUE"""),"CEA")</f>
        <v>CEA</v>
      </c>
      <c r="C176" s="20">
        <f>IFERROR(__xludf.DUMMYFUNCTION("""COMPUTED_VALUE"""),108.8)</f>
        <v>108.8</v>
      </c>
      <c r="D176" s="21">
        <f>IFERROR(__xludf.DUMMYFUNCTION("""COMPUTED_VALUE"""),-1.7997570322791998)</f>
        <v>-1.799757032</v>
      </c>
      <c r="E176" s="21">
        <f>IFERROR(__xludf.DUMMYFUNCTION("""COMPUTED_VALUE"""),-0.7093057273408633)</f>
        <v>-0.7093057273</v>
      </c>
      <c r="F176" s="21">
        <f>IFERROR(__xludf.DUMMYFUNCTION("""COMPUTED_VALUE"""),-2.509083859620063)</f>
        <v>-2.50908386</v>
      </c>
      <c r="G176" s="23">
        <f>IFERROR(__xludf.DUMMYFUNCTION("""COMPUTED_VALUE"""),-0.016915896967916684)</f>
        <v>-0.01691589697</v>
      </c>
      <c r="H176" s="4"/>
      <c r="I176" s="5" t="s">
        <v>3385</v>
      </c>
      <c r="J176" s="5" t="s">
        <v>3203</v>
      </c>
      <c r="K176" s="5">
        <v>17.0</v>
      </c>
      <c r="L176" s="5">
        <v>-0.45183</v>
      </c>
      <c r="M176" s="5">
        <v>-0.207793</v>
      </c>
      <c r="N176" s="5">
        <v>-0.659623</v>
      </c>
      <c r="O176" s="5">
        <v>0.006747</v>
      </c>
    </row>
    <row r="177">
      <c r="A177" s="12" t="str">
        <f>IFERROR(__xludf.DUMMYFUNCTION("""COMPUTED_VALUE"""),"Billy Rush")</f>
        <v>Billy Rush</v>
      </c>
      <c r="B177" s="13" t="str">
        <f>IFERROR(__xludf.DUMMYFUNCTION("""COMPUTED_VALUE"""),"MIN")</f>
        <v>MIN</v>
      </c>
      <c r="C177" s="14">
        <f>IFERROR(__xludf.DUMMYFUNCTION("""COMPUTED_VALUE"""),588.6)</f>
        <v>588.6</v>
      </c>
      <c r="D177" s="15">
        <f>IFERROR(__xludf.DUMMYFUNCTION("""COMPUTED_VALUE"""),-1.8183456690382538)</f>
        <v>-1.818345669</v>
      </c>
      <c r="E177" s="15">
        <f>IFERROR(__xludf.DUMMYFUNCTION("""COMPUTED_VALUE"""),-0.6998483622218217)</f>
        <v>-0.6998483622</v>
      </c>
      <c r="F177" s="15">
        <f>IFERROR(__xludf.DUMMYFUNCTION("""COMPUTED_VALUE"""),-2.5181982312600755)</f>
        <v>-2.518198231</v>
      </c>
      <c r="G177" s="17">
        <f>IFERROR(__xludf.DUMMYFUNCTION("""COMPUTED_VALUE"""),-0.09322016546233892)</f>
        <v>-0.09322016546</v>
      </c>
      <c r="H177" s="4"/>
      <c r="I177" s="5" t="s">
        <v>3386</v>
      </c>
      <c r="J177" s="5" t="s">
        <v>3226</v>
      </c>
      <c r="K177" s="24">
        <v>53.0</v>
      </c>
      <c r="L177" s="5">
        <v>-1.124436</v>
      </c>
      <c r="M177" s="5">
        <v>0.457689</v>
      </c>
      <c r="N177" s="5">
        <v>-0.666747</v>
      </c>
      <c r="O177" s="5">
        <v>0.02148</v>
      </c>
    </row>
    <row r="178">
      <c r="A178" s="18" t="str">
        <f>IFERROR(__xludf.DUMMYFUNCTION("""COMPUTED_VALUE"""),"Lucas Rosa")</f>
        <v>Lucas Rosa</v>
      </c>
      <c r="B178" s="19" t="str">
        <f>IFERROR(__xludf.DUMMYFUNCTION("""COMPUTED_VALUE"""),"LIG")</f>
        <v>LIG</v>
      </c>
      <c r="C178" s="20">
        <f>IFERROR(__xludf.DUMMYFUNCTION("""COMPUTED_VALUE"""),295.7)</f>
        <v>295.7</v>
      </c>
      <c r="D178" s="21">
        <f>IFERROR(__xludf.DUMMYFUNCTION("""COMPUTED_VALUE"""),-4.055703185378385)</f>
        <v>-4.055703185</v>
      </c>
      <c r="E178" s="21">
        <f>IFERROR(__xludf.DUMMYFUNCTION("""COMPUTED_VALUE"""),1.5344363726769397)</f>
        <v>1.534436373</v>
      </c>
      <c r="F178" s="21">
        <f>IFERROR(__xludf.DUMMYFUNCTION("""COMPUTED_VALUE"""),-2.521271312701445)</f>
        <v>-2.521271313</v>
      </c>
      <c r="G178" s="23">
        <f>IFERROR(__xludf.DUMMYFUNCTION("""COMPUTED_VALUE"""),-0.04631933899093349)</f>
        <v>-0.04631933899</v>
      </c>
      <c r="H178" s="4"/>
      <c r="I178" s="5" t="s">
        <v>3387</v>
      </c>
      <c r="J178" s="5" t="s">
        <v>3278</v>
      </c>
      <c r="K178" s="5">
        <v>267.0</v>
      </c>
      <c r="L178" s="5">
        <v>0.792143</v>
      </c>
      <c r="M178" s="5">
        <v>-1.464885</v>
      </c>
      <c r="N178" s="5">
        <v>-0.672742</v>
      </c>
      <c r="O178" s="5">
        <v>0.106939</v>
      </c>
    </row>
    <row r="179">
      <c r="A179" s="12" t="str">
        <f>IFERROR(__xludf.DUMMYFUNCTION("""COMPUTED_VALUE"""),"Felipe Cortes")</f>
        <v>Felipe Cortes</v>
      </c>
      <c r="B179" s="13" t="str">
        <f>IFERROR(__xludf.DUMMYFUNCTION("""COMPUTED_VALUE"""),"CEA")</f>
        <v>CEA</v>
      </c>
      <c r="C179" s="14">
        <f>IFERROR(__xludf.DUMMYFUNCTION("""COMPUTED_VALUE"""),394.1)</f>
        <v>394.1</v>
      </c>
      <c r="D179" s="15">
        <f>IFERROR(__xludf.DUMMYFUNCTION("""COMPUTED_VALUE"""),-2.105743469766808)</f>
        <v>-2.10574347</v>
      </c>
      <c r="E179" s="15">
        <f>IFERROR(__xludf.DUMMYFUNCTION("""COMPUTED_VALUE"""),-0.41979932684913396)</f>
        <v>-0.4197993268</v>
      </c>
      <c r="F179" s="15">
        <f>IFERROR(__xludf.DUMMYFUNCTION("""COMPUTED_VALUE"""),-2.525560596615942)</f>
        <v>-2.525560597</v>
      </c>
      <c r="G179" s="17">
        <f>IFERROR(__xludf.DUMMYFUNCTION("""COMPUTED_VALUE"""),-0.06331773132274256)</f>
        <v>-0.06331773132</v>
      </c>
      <c r="H179" s="4"/>
      <c r="I179" s="5" t="s">
        <v>3388</v>
      </c>
      <c r="J179" s="5" t="s">
        <v>644</v>
      </c>
      <c r="K179" s="5">
        <v>253.0</v>
      </c>
      <c r="L179" s="5">
        <v>-1.658229</v>
      </c>
      <c r="M179" s="5">
        <v>0.976332</v>
      </c>
      <c r="N179" s="5">
        <v>-0.681897</v>
      </c>
      <c r="O179" s="5">
        <v>0.101239</v>
      </c>
    </row>
    <row r="180">
      <c r="A180" s="18" t="str">
        <f>IFERROR(__xludf.DUMMYFUNCTION("""COMPUTED_VALUE"""),"Cam Tatum")</f>
        <v>Cam Tatum</v>
      </c>
      <c r="B180" s="19" t="str">
        <f>IFERROR(__xludf.DUMMYFUNCTION("""COMPUTED_VALUE"""),"BOT")</f>
        <v>BOT</v>
      </c>
      <c r="C180" s="20">
        <f>IFERROR(__xludf.DUMMYFUNCTION("""COMPUTED_VALUE"""),651.0)</f>
        <v>651</v>
      </c>
      <c r="D180" s="21">
        <f>IFERROR(__xludf.DUMMYFUNCTION("""COMPUTED_VALUE"""),-1.5536022155650817)</f>
        <v>-1.553602216</v>
      </c>
      <c r="E180" s="21">
        <f>IFERROR(__xludf.DUMMYFUNCTION("""COMPUTED_VALUE"""),-1.071202350360434)</f>
        <v>-1.07120235</v>
      </c>
      <c r="F180" s="21">
        <f>IFERROR(__xludf.DUMMYFUNCTION("""COMPUTED_VALUE"""),-2.6248066659255156)</f>
        <v>-2.624806666</v>
      </c>
      <c r="G180" s="23">
        <f>IFERROR(__xludf.DUMMYFUNCTION("""COMPUTED_VALUE"""),-0.12458403308252342)</f>
        <v>-0.1245840331</v>
      </c>
      <c r="H180" s="4"/>
      <c r="I180" s="5" t="s">
        <v>3389</v>
      </c>
      <c r="J180" s="5" t="s">
        <v>3240</v>
      </c>
      <c r="K180" s="5">
        <v>682.0</v>
      </c>
      <c r="L180" s="5">
        <v>0.445729</v>
      </c>
      <c r="M180" s="5">
        <v>-1.132658</v>
      </c>
      <c r="N180" s="5">
        <v>-0.686929</v>
      </c>
      <c r="O180" s="5">
        <v>0.273201</v>
      </c>
    </row>
    <row r="181">
      <c r="A181" s="12" t="str">
        <f>IFERROR(__xludf.DUMMYFUNCTION("""COMPUTED_VALUE"""),"Douglas Kurtz")</f>
        <v>Douglas Kurtz</v>
      </c>
      <c r="B181" s="13" t="str">
        <f>IFERROR(__xludf.DUMMYFUNCTION("""COMPUTED_VALUE"""),"UNIV")</f>
        <v>UNIV</v>
      </c>
      <c r="C181" s="14">
        <f>IFERROR(__xludf.DUMMYFUNCTION("""COMPUTED_VALUE"""),620.0)</f>
        <v>620</v>
      </c>
      <c r="D181" s="15">
        <f>IFERROR(__xludf.DUMMYFUNCTION("""COMPUTED_VALUE"""),-3.8813329216098906)</f>
        <v>-3.881332922</v>
      </c>
      <c r="E181" s="15">
        <f>IFERROR(__xludf.DUMMYFUNCTION("""COMPUTED_VALUE"""),1.1797941894334723)</f>
        <v>1.179794189</v>
      </c>
      <c r="F181" s="15">
        <f>IFERROR(__xludf.DUMMYFUNCTION("""COMPUTED_VALUE"""),-2.7015490321764184)</f>
        <v>-2.701549032</v>
      </c>
      <c r="G181" s="17">
        <f>IFERROR(__xludf.DUMMYFUNCTION("""COMPUTED_VALUE"""),-0.1310251057362972)</f>
        <v>-0.1310251057</v>
      </c>
      <c r="H181" s="4"/>
      <c r="I181" s="5" t="s">
        <v>3390</v>
      </c>
      <c r="J181" s="5" t="s">
        <v>3283</v>
      </c>
      <c r="K181" s="5">
        <v>15.0</v>
      </c>
      <c r="L181" s="5">
        <v>-0.470273</v>
      </c>
      <c r="M181" s="5">
        <v>-0.239655</v>
      </c>
      <c r="N181" s="5">
        <v>-0.709928</v>
      </c>
      <c r="O181" s="5">
        <v>0.005801</v>
      </c>
    </row>
    <row r="182">
      <c r="A182" s="18" t="str">
        <f>IFERROR(__xludf.DUMMYFUNCTION("""COMPUTED_VALUE"""),"Daniel Castellar")</f>
        <v>Daniel Castellar</v>
      </c>
      <c r="B182" s="19" t="str">
        <f>IFERROR(__xludf.DUMMYFUNCTION("""COMPUTED_VALUE"""),"MOUR")</f>
        <v>MOUR</v>
      </c>
      <c r="C182" s="20">
        <f>IFERROR(__xludf.DUMMYFUNCTION("""COMPUTED_VALUE"""),388.1)</f>
        <v>388.1</v>
      </c>
      <c r="D182" s="21">
        <f>IFERROR(__xludf.DUMMYFUNCTION("""COMPUTED_VALUE"""),-4.330571261152624)</f>
        <v>-4.330571261</v>
      </c>
      <c r="E182" s="21">
        <f>IFERROR(__xludf.DUMMYFUNCTION("""COMPUTED_VALUE"""),1.509698179099709)</f>
        <v>1.509698179</v>
      </c>
      <c r="F182" s="21">
        <f>IFERROR(__xludf.DUMMYFUNCTION("""COMPUTED_VALUE"""),-2.820891482052915)</f>
        <v>-2.820891482</v>
      </c>
      <c r="G182" s="23">
        <f>IFERROR(__xludf.DUMMYFUNCTION("""COMPUTED_VALUE"""),-0.09645571445445227)</f>
        <v>-0.09645571445</v>
      </c>
      <c r="H182" s="4"/>
      <c r="I182" s="5" t="s">
        <v>3391</v>
      </c>
      <c r="J182" s="5" t="s">
        <v>3256</v>
      </c>
      <c r="K182" s="5">
        <v>81.0</v>
      </c>
      <c r="L182" s="5">
        <v>-0.770181</v>
      </c>
      <c r="M182" s="5">
        <v>0.043169</v>
      </c>
      <c r="N182" s="5">
        <v>-0.727012</v>
      </c>
      <c r="O182" s="5">
        <v>0.031218</v>
      </c>
    </row>
    <row r="183">
      <c r="A183" s="12" t="str">
        <f>IFERROR(__xludf.DUMMYFUNCTION("""COMPUTED_VALUE"""),"George Yeye Torres")</f>
        <v>George Yeye Torres</v>
      </c>
      <c r="B183" s="13" t="str">
        <f>IFERROR(__xludf.DUMMYFUNCTION("""COMPUTED_VALUE"""),"MIN")</f>
        <v>MIN</v>
      </c>
      <c r="C183" s="14">
        <f>IFERROR(__xludf.DUMMYFUNCTION("""COMPUTED_VALUE"""),1025.1)</f>
        <v>1025.1</v>
      </c>
      <c r="D183" s="15">
        <f>IFERROR(__xludf.DUMMYFUNCTION("""COMPUTED_VALUE"""),-1.1094519120119917)</f>
        <v>-1.109451912</v>
      </c>
      <c r="E183" s="15">
        <f>IFERROR(__xludf.DUMMYFUNCTION("""COMPUTED_VALUE"""),-1.8037315618556669)</f>
        <v>-1.803731562</v>
      </c>
      <c r="F183" s="15">
        <f>IFERROR(__xludf.DUMMYFUNCTION("""COMPUTED_VALUE"""),-2.9131850738676586)</f>
        <v>-2.913185074</v>
      </c>
      <c r="G183" s="17">
        <f>IFERROR(__xludf.DUMMYFUNCTION("""COMPUTED_VALUE"""),-0.2861118602425995)</f>
        <v>-0.2861118602</v>
      </c>
      <c r="H183" s="4"/>
      <c r="I183" s="5" t="s">
        <v>3392</v>
      </c>
      <c r="J183" s="5" t="s">
        <v>3205</v>
      </c>
      <c r="K183" s="5">
        <v>621.0</v>
      </c>
      <c r="L183" s="5">
        <v>-0.669208</v>
      </c>
      <c r="M183" s="5">
        <v>-0.058883</v>
      </c>
      <c r="N183" s="5">
        <v>-0.728091</v>
      </c>
      <c r="O183" s="5">
        <v>0.239726</v>
      </c>
    </row>
    <row r="184">
      <c r="A184" s="18" t="str">
        <f>IFERROR(__xludf.DUMMYFUNCTION("""COMPUTED_VALUE"""),"Germerson Barbosa")</f>
        <v>Germerson Barbosa</v>
      </c>
      <c r="B184" s="19" t="str">
        <f>IFERROR(__xludf.DUMMYFUNCTION("""COMPUTED_VALUE"""),"PIN")</f>
        <v>PIN</v>
      </c>
      <c r="C184" s="20">
        <f>IFERROR(__xludf.DUMMYFUNCTION("""COMPUTED_VALUE"""),355.9)</f>
        <v>355.9</v>
      </c>
      <c r="D184" s="21">
        <f>IFERROR(__xludf.DUMMYFUNCTION("""COMPUTED_VALUE"""),-0.6704302097086456)</f>
        <v>-0.6704302097</v>
      </c>
      <c r="E184" s="21">
        <f>IFERROR(__xludf.DUMMYFUNCTION("""COMPUTED_VALUE"""),-2.266706952227136)</f>
        <v>-2.266706952</v>
      </c>
      <c r="F184" s="21">
        <f>IFERROR(__xludf.DUMMYFUNCTION("""COMPUTED_VALUE"""),-2.9371579619357817)</f>
        <v>-2.937157962</v>
      </c>
      <c r="G184" s="23">
        <f>IFERROR(__xludf.DUMMYFUNCTION("""COMPUTED_VALUE"""),-0.10163048343759695)</f>
        <v>-0.1016304834</v>
      </c>
      <c r="H184" s="4"/>
      <c r="I184" s="5" t="s">
        <v>3393</v>
      </c>
      <c r="J184" s="5" t="s">
        <v>3281</v>
      </c>
      <c r="K184" s="5">
        <v>87.0</v>
      </c>
      <c r="L184" s="5">
        <v>-1.159717</v>
      </c>
      <c r="M184" s="5">
        <v>0.423817</v>
      </c>
      <c r="N184" s="5">
        <v>-0.735899</v>
      </c>
      <c r="O184" s="5">
        <v>0.033609</v>
      </c>
    </row>
    <row r="185">
      <c r="A185" s="12" t="str">
        <f>IFERROR(__xludf.DUMMYFUNCTION("""COMPUTED_VALUE"""),"Chris Hayes")</f>
        <v>Chris Hayes</v>
      </c>
      <c r="B185" s="13" t="str">
        <f>IFERROR(__xludf.DUMMYFUNCTION("""COMPUTED_VALUE"""),"VAS")</f>
        <v>VAS</v>
      </c>
      <c r="C185" s="14">
        <f>IFERROR(__xludf.DUMMYFUNCTION("""COMPUTED_VALUE"""),454.7)</f>
        <v>454.7</v>
      </c>
      <c r="D185" s="15">
        <f>IFERROR(__xludf.DUMMYFUNCTION("""COMPUTED_VALUE"""),-1.3971484302082124)</f>
        <v>-1.39714843</v>
      </c>
      <c r="E185" s="15">
        <f>IFERROR(__xludf.DUMMYFUNCTION("""COMPUTED_VALUE"""),-1.545660214860258)</f>
        <v>-1.545660215</v>
      </c>
      <c r="F185" s="15">
        <f>IFERROR(__xludf.DUMMYFUNCTION("""COMPUTED_VALUE"""),-2.9428203450684705)</f>
        <v>-2.942820345</v>
      </c>
      <c r="G185" s="17">
        <f>IFERROR(__xludf.DUMMYFUNCTION("""COMPUTED_VALUE"""),-0.13003736743354194)</f>
        <v>-0.1300373674</v>
      </c>
      <c r="H185" s="4"/>
      <c r="I185" s="5" t="s">
        <v>3394</v>
      </c>
      <c r="J185" s="5" t="s">
        <v>3278</v>
      </c>
      <c r="K185" s="24">
        <v>20.0</v>
      </c>
      <c r="L185" s="5">
        <v>-0.905808</v>
      </c>
      <c r="M185" s="5">
        <v>0.163242</v>
      </c>
      <c r="N185" s="5">
        <v>-0.742566</v>
      </c>
      <c r="O185" s="5">
        <v>0.007405</v>
      </c>
    </row>
    <row r="186">
      <c r="A186" s="18" t="str">
        <f>IFERROR(__xludf.DUMMYFUNCTION("""COMPUTED_VALUE"""),"Ryan Rhoomes")</f>
        <v>Ryan Rhoomes</v>
      </c>
      <c r="B186" s="19" t="str">
        <f>IFERROR(__xludf.DUMMYFUNCTION("""COMPUTED_VALUE"""),"MIN")</f>
        <v>MIN</v>
      </c>
      <c r="C186" s="20">
        <f>IFERROR(__xludf.DUMMYFUNCTION("""COMPUTED_VALUE"""),176.4)</f>
        <v>176.4</v>
      </c>
      <c r="D186" s="21">
        <f>IFERROR(__xludf.DUMMYFUNCTION("""COMPUTED_VALUE"""),-2.3541617612978576)</f>
        <v>-2.354161761</v>
      </c>
      <c r="E186" s="21">
        <f>IFERROR(__xludf.DUMMYFUNCTION("""COMPUTED_VALUE"""),-0.5974225792395172)</f>
        <v>-0.5974225792</v>
      </c>
      <c r="F186" s="21">
        <f>IFERROR(__xludf.DUMMYFUNCTION("""COMPUTED_VALUE"""),-2.951589440537375)</f>
        <v>-2.951589441</v>
      </c>
      <c r="G186" s="23">
        <f>IFERROR(__xludf.DUMMYFUNCTION("""COMPUTED_VALUE"""),-0.05130010732037195)</f>
        <v>-0.05130010732</v>
      </c>
      <c r="H186" s="4"/>
      <c r="I186" s="5" t="s">
        <v>3395</v>
      </c>
      <c r="J186" s="5" t="s">
        <v>3233</v>
      </c>
      <c r="K186" s="5">
        <v>84.0</v>
      </c>
      <c r="L186" s="5">
        <v>0.266053</v>
      </c>
      <c r="M186" s="5">
        <v>-1.014186</v>
      </c>
      <c r="N186" s="5">
        <v>-0.748133</v>
      </c>
      <c r="O186" s="5">
        <v>0.031226</v>
      </c>
    </row>
    <row r="187">
      <c r="A187" s="12" t="str">
        <f>IFERROR(__xludf.DUMMYFUNCTION("""COMPUTED_VALUE"""),"Alexei Patricio")</f>
        <v>Alexei Patricio</v>
      </c>
      <c r="B187" s="13" t="str">
        <f>IFERROR(__xludf.DUMMYFUNCTION("""COMPUTED_VALUE"""),"VAS")</f>
        <v>VAS</v>
      </c>
      <c r="C187" s="14">
        <f>IFERROR(__xludf.DUMMYFUNCTION("""COMPUTED_VALUE"""),81.5)</f>
        <v>81.5</v>
      </c>
      <c r="D187" s="15">
        <f>IFERROR(__xludf.DUMMYFUNCTION("""COMPUTED_VALUE"""),-2.0819571130279346)</f>
        <v>-2.081957113</v>
      </c>
      <c r="E187" s="15">
        <f>IFERROR(__xludf.DUMMYFUNCTION("""COMPUTED_VALUE"""),-0.9975091891144332)</f>
        <v>-0.9975091891</v>
      </c>
      <c r="F187" s="15">
        <f>IFERROR(__xludf.DUMMYFUNCTION("""COMPUTED_VALUE"""),-3.079472402142368)</f>
        <v>-3.079472402</v>
      </c>
      <c r="G187" s="17">
        <f>IFERROR(__xludf.DUMMYFUNCTION("""COMPUTED_VALUE"""),-0.026682297340807935)</f>
        <v>-0.02668229734</v>
      </c>
      <c r="H187" s="4"/>
      <c r="I187" s="5" t="s">
        <v>945</v>
      </c>
      <c r="J187" s="5" t="s">
        <v>3226</v>
      </c>
      <c r="K187" s="5">
        <v>68.0</v>
      </c>
      <c r="L187" s="5">
        <v>-0.892872</v>
      </c>
      <c r="M187" s="5">
        <v>0.119832</v>
      </c>
      <c r="N187" s="5">
        <v>-0.773039</v>
      </c>
      <c r="O187" s="5">
        <v>0.025346</v>
      </c>
    </row>
    <row r="188">
      <c r="A188" s="18" t="str">
        <f>IFERROR(__xludf.DUMMYFUNCTION("""COMPUTED_VALUE"""),"Gustavo Ruiz")</f>
        <v>Gustavo Ruiz</v>
      </c>
      <c r="B188" s="19" t="str">
        <f>IFERROR(__xludf.DUMMYFUNCTION("""COMPUTED_VALUE"""),"BOT")</f>
        <v>BOT</v>
      </c>
      <c r="C188" s="20">
        <f>IFERROR(__xludf.DUMMYFUNCTION("""COMPUTED_VALUE"""),174.7)</f>
        <v>174.7</v>
      </c>
      <c r="D188" s="21">
        <f>IFERROR(__xludf.DUMMYFUNCTION("""COMPUTED_VALUE"""),-1.5535088436403963)</f>
        <v>-1.553508844</v>
      </c>
      <c r="E188" s="21">
        <f>IFERROR(__xludf.DUMMYFUNCTION("""COMPUTED_VALUE"""),-1.6130039500803448)</f>
        <v>-1.61300395</v>
      </c>
      <c r="F188" s="21">
        <f>IFERROR(__xludf.DUMMYFUNCTION("""COMPUTED_VALUE"""),-3.166517093720741)</f>
        <v>-3.166517094</v>
      </c>
      <c r="G188" s="23">
        <f>IFERROR(__xludf.DUMMYFUNCTION("""COMPUTED_VALUE"""),-0.06241617593065763)</f>
        <v>-0.06241617593</v>
      </c>
      <c r="H188" s="4"/>
      <c r="I188" s="5" t="s">
        <v>1202</v>
      </c>
      <c r="J188" s="5" t="s">
        <v>3263</v>
      </c>
      <c r="K188" s="5">
        <v>31.0</v>
      </c>
      <c r="L188" s="5">
        <v>-0.773589</v>
      </c>
      <c r="M188" s="5">
        <v>-0.003118</v>
      </c>
      <c r="N188" s="5">
        <v>-0.776707</v>
      </c>
      <c r="O188" s="5">
        <v>0.011398</v>
      </c>
    </row>
    <row r="189">
      <c r="A189" s="12" t="str">
        <f>IFERROR(__xludf.DUMMYFUNCTION("""COMPUTED_VALUE"""),"Emiliano Giano")</f>
        <v>Emiliano Giano</v>
      </c>
      <c r="B189" s="13" t="str">
        <f>IFERROR(__xludf.DUMMYFUNCTION("""COMPUTED_VALUE"""),"MOUR")</f>
        <v>MOUR</v>
      </c>
      <c r="C189" s="14">
        <f>IFERROR(__xludf.DUMMYFUNCTION("""COMPUTED_VALUE"""),441.2)</f>
        <v>441.2</v>
      </c>
      <c r="D189" s="15">
        <f>IFERROR(__xludf.DUMMYFUNCTION("""COMPUTED_VALUE"""),-1.1650192737199956)</f>
        <v>-1.165019274</v>
      </c>
      <c r="E189" s="15">
        <f>IFERROR(__xludf.DUMMYFUNCTION("""COMPUTED_VALUE"""),-2.018204460169718)</f>
        <v>-2.01820446</v>
      </c>
      <c r="F189" s="15">
        <f>IFERROR(__xludf.DUMMYFUNCTION("""COMPUTED_VALUE"""),-3.183236133889714)</f>
        <v>-3.183236134</v>
      </c>
      <c r="G189" s="17">
        <f>IFERROR(__xludf.DUMMYFUNCTION("""COMPUTED_VALUE"""),-0.15807175289119596)</f>
        <v>-0.1580717529</v>
      </c>
      <c r="H189" s="4"/>
      <c r="I189" s="5" t="s">
        <v>3396</v>
      </c>
      <c r="J189" s="5" t="s">
        <v>3240</v>
      </c>
      <c r="K189" s="5">
        <v>21.0</v>
      </c>
      <c r="L189" s="5">
        <v>-0.653261</v>
      </c>
      <c r="M189" s="5">
        <v>-0.149143</v>
      </c>
      <c r="N189" s="5">
        <v>-0.802404</v>
      </c>
      <c r="O189" s="5">
        <v>0.007487</v>
      </c>
    </row>
    <row r="190">
      <c r="A190" s="18" t="str">
        <f>IFERROR(__xludf.DUMMYFUNCTION("""COMPUTED_VALUE"""),"Jackson Da Silva")</f>
        <v>Jackson Da Silva</v>
      </c>
      <c r="B190" s="19" t="str">
        <f>IFERROR(__xludf.DUMMYFUNCTION("""COMPUTED_VALUE"""),"LIG")</f>
        <v>LIG</v>
      </c>
      <c r="C190" s="20">
        <f>IFERROR(__xludf.DUMMYFUNCTION("""COMPUTED_VALUE"""),149.4)</f>
        <v>149.4</v>
      </c>
      <c r="D190" s="21">
        <f>IFERROR(__xludf.DUMMYFUNCTION("""COMPUTED_VALUE"""),-1.5053850772001074)</f>
        <v>-1.505385077</v>
      </c>
      <c r="E190" s="21">
        <f>IFERROR(__xludf.DUMMYFUNCTION("""COMPUTED_VALUE"""),-1.7444107438071612)</f>
        <v>-1.744410744</v>
      </c>
      <c r="F190" s="21">
        <f>IFERROR(__xludf.DUMMYFUNCTION("""COMPUTED_VALUE"""),-3.2498131210072687)</f>
        <v>-3.249813121</v>
      </c>
      <c r="G190" s="23">
        <f>IFERROR(__xludf.DUMMYFUNCTION("""COMPUTED_VALUE"""),-0.056098488698717676)</f>
        <v>-0.0560984887</v>
      </c>
      <c r="H190" s="4"/>
      <c r="I190" s="5" t="s">
        <v>3397</v>
      </c>
      <c r="J190" s="5" t="s">
        <v>3237</v>
      </c>
      <c r="K190" s="5">
        <v>909.0</v>
      </c>
      <c r="L190" s="5">
        <v>-0.035343</v>
      </c>
      <c r="M190" s="5">
        <v>-0.813236</v>
      </c>
      <c r="N190" s="5">
        <v>-0.848578</v>
      </c>
      <c r="O190" s="5">
        <v>0.353117</v>
      </c>
    </row>
    <row r="191">
      <c r="A191" s="12" t="str">
        <f>IFERROR(__xludf.DUMMYFUNCTION("""COMPUTED_VALUE"""),"Guilherme Pereira")</f>
        <v>Guilherme Pereira</v>
      </c>
      <c r="B191" s="13" t="str">
        <f>IFERROR(__xludf.DUMMYFUNCTION("""COMPUTED_VALUE"""),"VAS")</f>
        <v>VAS</v>
      </c>
      <c r="C191" s="14">
        <f>IFERROR(__xludf.DUMMYFUNCTION("""COMPUTED_VALUE"""),311.9)</f>
        <v>311.9</v>
      </c>
      <c r="D191" s="15">
        <f>IFERROR(__xludf.DUMMYFUNCTION("""COMPUTED_VALUE"""),-1.6999918748798792)</f>
        <v>-1.699991875</v>
      </c>
      <c r="E191" s="15">
        <f>IFERROR(__xludf.DUMMYFUNCTION("""COMPUTED_VALUE"""),-1.6397421807227222)</f>
        <v>-1.639742181</v>
      </c>
      <c r="F191" s="15">
        <f>IFERROR(__xludf.DUMMYFUNCTION("""COMPUTED_VALUE"""),-3.3397398556026014)</f>
        <v>-3.339739856</v>
      </c>
      <c r="G191" s="17">
        <f>IFERROR(__xludf.DUMMYFUNCTION("""COMPUTED_VALUE"""),-0.12675623264418107)</f>
        <v>-0.1267562326</v>
      </c>
      <c r="H191" s="4"/>
      <c r="I191" s="5" t="s">
        <v>3398</v>
      </c>
      <c r="J191" s="5" t="s">
        <v>3240</v>
      </c>
      <c r="K191" s="5">
        <v>83.0</v>
      </c>
      <c r="L191" s="5">
        <v>-1.075652</v>
      </c>
      <c r="M191" s="5">
        <v>0.209736</v>
      </c>
      <c r="N191" s="5">
        <v>-0.865916</v>
      </c>
      <c r="O191" s="5">
        <v>0.028635</v>
      </c>
    </row>
    <row r="192">
      <c r="A192" s="18" t="str">
        <f>IFERROR(__xludf.DUMMYFUNCTION("""COMPUTED_VALUE"""),"Dede Stefanelli")</f>
        <v>Dede Stefanelli</v>
      </c>
      <c r="B192" s="19" t="str">
        <f>IFERROR(__xludf.DUMMYFUNCTION("""COMPUTED_VALUE"""),"VAS")</f>
        <v>VAS</v>
      </c>
      <c r="C192" s="20">
        <f>IFERROR(__xludf.DUMMYFUNCTION("""COMPUTED_VALUE"""),296.4)</f>
        <v>296.4</v>
      </c>
      <c r="D192" s="21">
        <f>IFERROR(__xludf.DUMMYFUNCTION("""COMPUTED_VALUE"""),0.47451190764365686)</f>
        <v>0.4745119076</v>
      </c>
      <c r="E192" s="21">
        <f>IFERROR(__xludf.DUMMYFUNCTION("""COMPUTED_VALUE"""),-3.9270445435816206)</f>
        <v>-3.927044544</v>
      </c>
      <c r="F192" s="21">
        <f>IFERROR(__xludf.DUMMYFUNCTION("""COMPUTED_VALUE"""),-3.4525349359379636)</f>
        <v>-3.452534936</v>
      </c>
      <c r="G192" s="23">
        <f>IFERROR(__xludf.DUMMYFUNCTION("""COMPUTED_VALUE"""),-0.1306021962782363)</f>
        <v>-0.1306021963</v>
      </c>
      <c r="H192" s="4"/>
      <c r="I192" s="5" t="s">
        <v>3399</v>
      </c>
      <c r="J192" s="5" t="s">
        <v>3205</v>
      </c>
      <c r="K192" s="5">
        <v>65.0</v>
      </c>
      <c r="L192" s="5">
        <v>-0.342678</v>
      </c>
      <c r="M192" s="5">
        <v>-0.539997</v>
      </c>
      <c r="N192" s="5">
        <v>-0.882675</v>
      </c>
      <c r="O192" s="5">
        <v>0.02213</v>
      </c>
    </row>
    <row r="193">
      <c r="A193" s="12" t="str">
        <f>IFERROR(__xludf.DUMMYFUNCTION("""COMPUTED_VALUE"""),"Leonardo Branquinho")</f>
        <v>Leonardo Branquinho</v>
      </c>
      <c r="B193" s="13" t="str">
        <f>IFERROR(__xludf.DUMMYFUNCTION("""COMPUTED_VALUE"""),"LIG")</f>
        <v>LIG</v>
      </c>
      <c r="C193" s="14">
        <f>IFERROR(__xludf.DUMMYFUNCTION("""COMPUTED_VALUE"""),135.9)</f>
        <v>135.9</v>
      </c>
      <c r="D193" s="15">
        <f>IFERROR(__xludf.DUMMYFUNCTION("""COMPUTED_VALUE"""),-3.804763706425832)</f>
        <v>-3.804763706</v>
      </c>
      <c r="E193" s="15">
        <f>IFERROR(__xludf.DUMMYFUNCTION("""COMPUTED_VALUE"""),0.3351887993668669)</f>
        <v>0.3351887994</v>
      </c>
      <c r="F193" s="15">
        <f>IFERROR(__xludf.DUMMYFUNCTION("""COMPUTED_VALUE"""),-3.469594407058965)</f>
        <v>-3.469594407</v>
      </c>
      <c r="G193" s="17">
        <f>IFERROR(__xludf.DUMMYFUNCTION("""COMPUTED_VALUE"""),-0.06000193041783239)</f>
        <v>-0.06000193042</v>
      </c>
      <c r="H193" s="4"/>
      <c r="I193" s="5" t="s">
        <v>3400</v>
      </c>
      <c r="J193" s="5" t="s">
        <v>3212</v>
      </c>
      <c r="K193" s="5">
        <v>162.0</v>
      </c>
      <c r="L193" s="5">
        <v>-2.121096</v>
      </c>
      <c r="M193" s="5">
        <v>1.234322</v>
      </c>
      <c r="N193" s="5">
        <v>-0.886774</v>
      </c>
      <c r="O193" s="5">
        <v>0.054607</v>
      </c>
    </row>
    <row r="194">
      <c r="A194" s="18" t="str">
        <f>IFERROR(__xludf.DUMMYFUNCTION("""COMPUTED_VALUE"""),"Rodrigo Maistro Biro")</f>
        <v>Rodrigo Maistro Biro</v>
      </c>
      <c r="B194" s="19" t="str">
        <f>IFERROR(__xludf.DUMMYFUNCTION("""COMPUTED_VALUE"""),"MOUR")</f>
        <v>MOUR</v>
      </c>
      <c r="C194" s="20">
        <f>IFERROR(__xludf.DUMMYFUNCTION("""COMPUTED_VALUE"""),81.6)</f>
        <v>81.6</v>
      </c>
      <c r="D194" s="21">
        <f>IFERROR(__xludf.DUMMYFUNCTION("""COMPUTED_VALUE"""),-2.467008060271041)</f>
        <v>-2.46700806</v>
      </c>
      <c r="E194" s="21">
        <f>IFERROR(__xludf.DUMMYFUNCTION("""COMPUTED_VALUE"""),-1.0534744367362452)</f>
        <v>-1.053474437</v>
      </c>
      <c r="F194" s="21">
        <f>IFERROR(__xludf.DUMMYFUNCTION("""COMPUTED_VALUE"""),-3.520491097007286)</f>
        <v>-3.520491097</v>
      </c>
      <c r="G194" s="23">
        <f>IFERROR(__xludf.DUMMYFUNCTION("""COMPUTED_VALUE"""),-0.03756263311349749)</f>
        <v>-0.03756263311</v>
      </c>
      <c r="H194" s="4"/>
      <c r="I194" s="5" t="s">
        <v>3401</v>
      </c>
      <c r="J194" s="5" t="s">
        <v>3331</v>
      </c>
      <c r="K194" s="5">
        <v>15.0</v>
      </c>
      <c r="L194" s="5">
        <v>-0.575761</v>
      </c>
      <c r="M194" s="5">
        <v>-0.313557</v>
      </c>
      <c r="N194" s="5">
        <v>-0.889318</v>
      </c>
      <c r="O194" s="5">
        <v>0.004955</v>
      </c>
    </row>
    <row r="195">
      <c r="A195" s="12" t="str">
        <f>IFERROR(__xludf.DUMMYFUNCTION("""COMPUTED_VALUE"""),"Thiago Mathias")</f>
        <v>Thiago Mathias</v>
      </c>
      <c r="B195" s="13" t="str">
        <f>IFERROR(__xludf.DUMMYFUNCTION("""COMPUTED_VALUE"""),"MOUR")</f>
        <v>MOUR</v>
      </c>
      <c r="C195" s="14">
        <f>IFERROR(__xludf.DUMMYFUNCTION("""COMPUTED_VALUE"""),571.7)</f>
        <v>571.7</v>
      </c>
      <c r="D195" s="15">
        <f>IFERROR(__xludf.DUMMYFUNCTION("""COMPUTED_VALUE"""),-5.638027073856636)</f>
        <v>-5.638027074</v>
      </c>
      <c r="E195" s="15">
        <f>IFERROR(__xludf.DUMMYFUNCTION("""COMPUTED_VALUE"""),2.0220387246743767)</f>
        <v>2.022038725</v>
      </c>
      <c r="F195" s="15">
        <f>IFERROR(__xludf.DUMMYFUNCTION("""COMPUTED_VALUE"""),-3.6159965491822588)</f>
        <v>-3.615996549</v>
      </c>
      <c r="G195" s="17">
        <f>IFERROR(__xludf.DUMMYFUNCTION("""COMPUTED_VALUE"""),-0.2797546413209813)</f>
        <v>-0.2797546413</v>
      </c>
      <c r="H195" s="4"/>
      <c r="I195" s="5" t="s">
        <v>3402</v>
      </c>
      <c r="J195" s="5" t="s">
        <v>2838</v>
      </c>
      <c r="K195" s="5">
        <v>18.0</v>
      </c>
      <c r="L195" s="5">
        <v>-0.525235</v>
      </c>
      <c r="M195" s="5">
        <v>-0.378052</v>
      </c>
      <c r="N195" s="5">
        <v>-0.903287</v>
      </c>
      <c r="O195" s="5">
        <v>0.00598</v>
      </c>
    </row>
    <row r="196">
      <c r="A196" s="18" t="str">
        <f>IFERROR(__xludf.DUMMYFUNCTION("""COMPUTED_VALUE"""),"Anton Cook")</f>
        <v>Anton Cook</v>
      </c>
      <c r="B196" s="19" t="str">
        <f>IFERROR(__xludf.DUMMYFUNCTION("""COMPUTED_VALUE"""),"LIG")</f>
        <v>LIG</v>
      </c>
      <c r="C196" s="20">
        <f>IFERROR(__xludf.DUMMYFUNCTION("""COMPUTED_VALUE"""),839.9)</f>
        <v>839.9</v>
      </c>
      <c r="D196" s="21">
        <f>IFERROR(__xludf.DUMMYFUNCTION("""COMPUTED_VALUE"""),0.9207772964565637)</f>
        <v>0.9207772965</v>
      </c>
      <c r="E196" s="21">
        <f>IFERROR(__xludf.DUMMYFUNCTION("""COMPUTED_VALUE"""),-4.58831507637079)</f>
        <v>-4.588315076</v>
      </c>
      <c r="F196" s="21">
        <f>IFERROR(__xludf.DUMMYFUNCTION("""COMPUTED_VALUE"""),-3.667555679914226)</f>
        <v>-3.66755568</v>
      </c>
      <c r="G196" s="23">
        <f>IFERROR(__xludf.DUMMYFUNCTION("""COMPUTED_VALUE"""),-0.4208999265987056)</f>
        <v>-0.4208999266</v>
      </c>
      <c r="H196" s="4"/>
      <c r="I196" s="5" t="s">
        <v>3403</v>
      </c>
      <c r="J196" s="5" t="s">
        <v>3220</v>
      </c>
      <c r="K196" s="5">
        <v>25.0</v>
      </c>
      <c r="L196" s="5">
        <v>-0.652833</v>
      </c>
      <c r="M196" s="5">
        <v>-0.290432</v>
      </c>
      <c r="N196" s="5">
        <v>-0.943265</v>
      </c>
      <c r="O196" s="5">
        <v>0.008143</v>
      </c>
    </row>
    <row r="197">
      <c r="A197" s="12" t="str">
        <f>IFERROR(__xludf.DUMMYFUNCTION("""COMPUTED_VALUE"""),"Atila Santos")</f>
        <v>Atila Santos</v>
      </c>
      <c r="B197" s="13" t="str">
        <f>IFERROR(__xludf.DUMMYFUNCTION("""COMPUTED_VALUE"""),"BOT")</f>
        <v>BOT</v>
      </c>
      <c r="C197" s="14">
        <f>IFERROR(__xludf.DUMMYFUNCTION("""COMPUTED_VALUE"""),579.5)</f>
        <v>579.5</v>
      </c>
      <c r="D197" s="15">
        <f>IFERROR(__xludf.DUMMYFUNCTION("""COMPUTED_VALUE"""),-4.293074036383627)</f>
        <v>-4.293074036</v>
      </c>
      <c r="E197" s="15">
        <f>IFERROR(__xludf.DUMMYFUNCTION("""COMPUTED_VALUE"""),0.178830773223775)</f>
        <v>0.1788307732</v>
      </c>
      <c r="F197" s="15">
        <f>IFERROR(__xludf.DUMMYFUNCTION("""COMPUTED_VALUE"""),-4.114247163159852)</f>
        <v>-4.114247163</v>
      </c>
      <c r="G197" s="17">
        <f>IFERROR(__xludf.DUMMYFUNCTION("""COMPUTED_VALUE"""),-0.3752733697597856)</f>
        <v>-0.3752733698</v>
      </c>
      <c r="H197" s="4"/>
      <c r="I197" s="5" t="s">
        <v>3404</v>
      </c>
      <c r="J197" s="5" t="s">
        <v>644</v>
      </c>
      <c r="K197" s="24">
        <v>20.0</v>
      </c>
      <c r="L197" s="5">
        <v>-0.394647</v>
      </c>
      <c r="M197" s="5">
        <v>-0.565924</v>
      </c>
      <c r="N197" s="5">
        <v>-0.960571</v>
      </c>
      <c r="O197" s="5">
        <v>0.00628</v>
      </c>
    </row>
    <row r="198">
      <c r="A198" s="18" t="str">
        <f>IFERROR(__xludf.DUMMYFUNCTION("""COMPUTED_VALUE"""),"Correa dos Santos Douglas")</f>
        <v>Correa dos Santos Douglas</v>
      </c>
      <c r="B198" s="19" t="str">
        <f>IFERROR(__xludf.DUMMYFUNCTION("""COMPUTED_VALUE"""),"BOT")</f>
        <v>BOT</v>
      </c>
      <c r="C198" s="20">
        <f>IFERROR(__xludf.DUMMYFUNCTION("""COMPUTED_VALUE"""),620.1)</f>
        <v>620.1</v>
      </c>
      <c r="D198" s="21">
        <f>IFERROR(__xludf.DUMMYFUNCTION("""COMPUTED_VALUE"""),-0.8967309680192245)</f>
        <v>-0.896730968</v>
      </c>
      <c r="E198" s="21">
        <f>IFERROR(__xludf.DUMMYFUNCTION("""COMPUTED_VALUE"""),-3.2785383288487244)</f>
        <v>-3.278538329</v>
      </c>
      <c r="F198" s="21">
        <f>IFERROR(__xludf.DUMMYFUNCTION("""COMPUTED_VALUE"""),-4.175283596867949)</f>
        <v>-4.175283597</v>
      </c>
      <c r="G198" s="23">
        <f>IFERROR(__xludf.DUMMYFUNCTION("""COMPUTED_VALUE"""),-0.41314799375511474)</f>
        <v>-0.4131479938</v>
      </c>
      <c r="H198" s="4"/>
      <c r="I198" s="5" t="s">
        <v>3405</v>
      </c>
      <c r="J198" s="5" t="s">
        <v>3223</v>
      </c>
      <c r="K198" s="24">
        <v>78.0</v>
      </c>
      <c r="L198" s="5">
        <v>-0.988511</v>
      </c>
      <c r="M198" s="5">
        <v>0.027867</v>
      </c>
      <c r="N198" s="5">
        <v>-0.960644</v>
      </c>
      <c r="O198" s="5">
        <v>0.024607</v>
      </c>
    </row>
    <row r="199">
      <c r="A199" s="12" t="str">
        <f>IFERROR(__xludf.DUMMYFUNCTION("""COMPUTED_VALUE"""),"Gabriel De Oliveira")</f>
        <v>Gabriel De Oliveira</v>
      </c>
      <c r="B199" s="13" t="str">
        <f>IFERROR(__xludf.DUMMYFUNCTION("""COMPUTED_VALUE"""),"BOT")</f>
        <v>BOT</v>
      </c>
      <c r="C199" s="14">
        <f>IFERROR(__xludf.DUMMYFUNCTION("""COMPUTED_VALUE"""),705.1)</f>
        <v>705.1</v>
      </c>
      <c r="D199" s="15">
        <f>IFERROR(__xludf.DUMMYFUNCTION("""COMPUTED_VALUE"""),-1.7702454309642828)</f>
        <v>-1.770245431</v>
      </c>
      <c r="E199" s="15">
        <f>IFERROR(__xludf.DUMMYFUNCTION("""COMPUTED_VALUE"""),-2.468617102096509)</f>
        <v>-2.468617102</v>
      </c>
      <c r="F199" s="15">
        <f>IFERROR(__xludf.DUMMYFUNCTION("""COMPUTED_VALUE"""),-4.238878433060792)</f>
        <v>-4.238878433</v>
      </c>
      <c r="G199" s="17">
        <f>IFERROR(__xludf.DUMMYFUNCTION("""COMPUTED_VALUE"""),-0.4835150647559601)</f>
        <v>-0.4835150648</v>
      </c>
      <c r="H199" s="4"/>
      <c r="I199" s="5" t="s">
        <v>3406</v>
      </c>
      <c r="J199" s="5" t="s">
        <v>3240</v>
      </c>
      <c r="K199" s="5">
        <v>16.0</v>
      </c>
      <c r="L199" s="5">
        <v>-0.562825</v>
      </c>
      <c r="M199" s="5">
        <v>-0.422769</v>
      </c>
      <c r="N199" s="5">
        <v>-0.985595</v>
      </c>
      <c r="O199" s="5">
        <v>0.004826</v>
      </c>
    </row>
    <row r="200">
      <c r="A200" s="18" t="str">
        <f>IFERROR(__xludf.DUMMYFUNCTION("""COMPUTED_VALUE"""),"Fabricio Verissimo")</f>
        <v>Fabricio Verissimo</v>
      </c>
      <c r="B200" s="19" t="str">
        <f>IFERROR(__xludf.DUMMYFUNCTION("""COMPUTED_VALUE"""),"BOT")</f>
        <v>BOT</v>
      </c>
      <c r="C200" s="20">
        <f>IFERROR(__xludf.DUMMYFUNCTION("""COMPUTED_VALUE"""),483.4)</f>
        <v>483.4</v>
      </c>
      <c r="D200" s="21">
        <f>IFERROR(__xludf.DUMMYFUNCTION("""COMPUTED_VALUE"""),-4.754158947571696)</f>
        <v>-4.754158948</v>
      </c>
      <c r="E200" s="21">
        <f>IFERROR(__xludf.DUMMYFUNCTION("""COMPUTED_VALUE"""),0.5042948293622497)</f>
        <v>0.5042948294</v>
      </c>
      <c r="F200" s="21">
        <f>IFERROR(__xludf.DUMMYFUNCTION("""COMPUTED_VALUE"""),-4.249865418209446)</f>
        <v>-4.249865418</v>
      </c>
      <c r="G200" s="23">
        <f>IFERROR(__xludf.DUMMYFUNCTION("""COMPUTED_VALUE"""),-0.3331229510509404)</f>
        <v>-0.3331229511</v>
      </c>
      <c r="H200" s="4"/>
      <c r="I200" s="5" t="s">
        <v>3407</v>
      </c>
      <c r="J200" s="5" t="s">
        <v>3233</v>
      </c>
      <c r="K200" s="5">
        <v>13.0</v>
      </c>
      <c r="L200" s="5">
        <v>-0.628658</v>
      </c>
      <c r="M200" s="5">
        <v>-0.364033</v>
      </c>
      <c r="N200" s="5">
        <v>-0.992691</v>
      </c>
      <c r="O200" s="5">
        <v>0.0039</v>
      </c>
    </row>
    <row r="201">
      <c r="A201" s="12" t="str">
        <f>IFERROR(__xludf.DUMMYFUNCTION("""COMPUTED_VALUE"""),"Audrei Parisotto")</f>
        <v>Audrei Parisotto</v>
      </c>
      <c r="B201" s="13" t="str">
        <f>IFERROR(__xludf.DUMMYFUNCTION("""COMPUTED_VALUE"""),"MIN")</f>
        <v>MIN</v>
      </c>
      <c r="C201" s="14">
        <f>IFERROR(__xludf.DUMMYFUNCTION("""COMPUTED_VALUE"""),788.4)</f>
        <v>788.4</v>
      </c>
      <c r="D201" s="15">
        <f>IFERROR(__xludf.DUMMYFUNCTION("""COMPUTED_VALUE"""),-3.283971383987451)</f>
        <v>-3.283971384</v>
      </c>
      <c r="E201" s="15">
        <f>IFERROR(__xludf.DUMMYFUNCTION("""COMPUTED_VALUE"""),-0.9669934993001749)</f>
        <v>-0.9669934993</v>
      </c>
      <c r="F201" s="15">
        <f>IFERROR(__xludf.DUMMYFUNCTION("""COMPUTED_VALUE"""),-4.250971183287626)</f>
        <v>-4.250971183</v>
      </c>
      <c r="G201" s="17">
        <f>IFERROR(__xludf.DUMMYFUNCTION("""COMPUTED_VALUE"""),-0.5424063416357858)</f>
        <v>-0.5424063416</v>
      </c>
      <c r="H201" s="4"/>
      <c r="I201" s="5" t="s">
        <v>3408</v>
      </c>
      <c r="J201" s="5" t="s">
        <v>3215</v>
      </c>
      <c r="K201" s="5">
        <v>21.0</v>
      </c>
      <c r="L201" s="5">
        <v>-0.599524</v>
      </c>
      <c r="M201" s="5">
        <v>-0.411439</v>
      </c>
      <c r="N201" s="5">
        <v>-1.010962</v>
      </c>
      <c r="O201" s="5">
        <v>0.006157</v>
      </c>
    </row>
    <row r="202">
      <c r="A202" s="18" t="str">
        <f>IFERROR(__xludf.DUMMYFUNCTION("""COMPUTED_VALUE"""),"Maxwell Dias")</f>
        <v>Maxwell Dias</v>
      </c>
      <c r="B202" s="19" t="str">
        <f>IFERROR(__xludf.DUMMYFUNCTION("""COMPUTED_VALUE"""),"JOI")</f>
        <v>JOI</v>
      </c>
      <c r="C202" s="20">
        <f>IFERROR(__xludf.DUMMYFUNCTION("""COMPUTED_VALUE"""),240.0)</f>
        <v>240</v>
      </c>
      <c r="D202" s="21">
        <f>IFERROR(__xludf.DUMMYFUNCTION("""COMPUTED_VALUE"""),-4.25478087397796)</f>
        <v>-4.254780874</v>
      </c>
      <c r="E202" s="21">
        <f>IFERROR(__xludf.DUMMYFUNCTION("""COMPUTED_VALUE"""),-0.09245721901880176)</f>
        <v>-0.09245721902</v>
      </c>
      <c r="F202" s="21">
        <f>IFERROR(__xludf.DUMMYFUNCTION("""COMPUTED_VALUE"""),-4.347253292996761)</f>
        <v>-4.347253293</v>
      </c>
      <c r="G202" s="23">
        <f>IFERROR(__xludf.DUMMYFUNCTION("""COMPUTED_VALUE"""),-0.17141972314591064)</f>
        <v>-0.1714197231</v>
      </c>
      <c r="H202" s="4"/>
      <c r="I202" s="5" t="s">
        <v>3409</v>
      </c>
      <c r="J202" s="5" t="s">
        <v>3281</v>
      </c>
      <c r="K202" s="5">
        <v>147.0</v>
      </c>
      <c r="L202" s="5">
        <v>-2.057113</v>
      </c>
      <c r="M202" s="5">
        <v>1.019109</v>
      </c>
      <c r="N202" s="5">
        <v>-1.038004</v>
      </c>
      <c r="O202" s="5">
        <v>0.04297</v>
      </c>
    </row>
    <row r="203">
      <c r="A203" s="12" t="str">
        <f>IFERROR(__xludf.DUMMYFUNCTION("""COMPUTED_VALUE"""),"Victor Leal")</f>
        <v>Victor Leal</v>
      </c>
      <c r="B203" s="13" t="str">
        <f>IFERROR(__xludf.DUMMYFUNCTION("""COMPUTED_VALUE"""),"CEA")</f>
        <v>CEA</v>
      </c>
      <c r="C203" s="14">
        <f>IFERROR(__xludf.DUMMYFUNCTION("""COMPUTED_VALUE"""),255.2)</f>
        <v>255.2</v>
      </c>
      <c r="D203" s="15">
        <f>IFERROR(__xludf.DUMMYFUNCTION("""COMPUTED_VALUE"""),-4.492599164396998)</f>
        <v>-4.492599164</v>
      </c>
      <c r="E203" s="15">
        <f>IFERROR(__xludf.DUMMYFUNCTION("""COMPUTED_VALUE"""),0.13926315031870895)</f>
        <v>0.1392631503</v>
      </c>
      <c r="F203" s="15">
        <f>IFERROR(__xludf.DUMMYFUNCTION("""COMPUTED_VALUE"""),-4.353345914078289)</f>
        <v>-4.353345914</v>
      </c>
      <c r="G203" s="17">
        <f>IFERROR(__xludf.DUMMYFUNCTION("""COMPUTED_VALUE"""),-0.18363743245669606)</f>
        <v>-0.1836374325</v>
      </c>
      <c r="H203" s="4"/>
      <c r="I203" s="5" t="s">
        <v>3410</v>
      </c>
      <c r="J203" s="5" t="s">
        <v>3263</v>
      </c>
      <c r="K203" s="5">
        <v>344.0</v>
      </c>
      <c r="L203" s="5">
        <v>-1.929005</v>
      </c>
      <c r="M203" s="5">
        <v>0.861375</v>
      </c>
      <c r="N203" s="5">
        <v>-1.06763</v>
      </c>
      <c r="O203" s="5">
        <v>0.096483</v>
      </c>
    </row>
    <row r="204">
      <c r="A204" s="18" t="str">
        <f>IFERROR(__xludf.DUMMYFUNCTION("""COMPUTED_VALUE"""),"Andre Ferros")</f>
        <v>Andre Ferros</v>
      </c>
      <c r="B204" s="19" t="str">
        <f>IFERROR(__xludf.DUMMYFUNCTION("""COMPUTED_VALUE"""),"LIG")</f>
        <v>LIG</v>
      </c>
      <c r="C204" s="20">
        <f>IFERROR(__xludf.DUMMYFUNCTION("""COMPUTED_VALUE"""),392.6)</f>
        <v>392.6</v>
      </c>
      <c r="D204" s="21">
        <f>IFERROR(__xludf.DUMMYFUNCTION("""COMPUTED_VALUE"""),-3.5157706735747216)</f>
        <v>-3.515770674</v>
      </c>
      <c r="E204" s="21">
        <f>IFERROR(__xludf.DUMMYFUNCTION("""COMPUTED_VALUE"""),-0.8671820696945722)</f>
        <v>-0.8671820697</v>
      </c>
      <c r="F204" s="21">
        <f>IFERROR(__xludf.DUMMYFUNCTION("""COMPUTED_VALUE"""),-4.382966143269294)</f>
        <v>-4.382966143</v>
      </c>
      <c r="G204" s="23">
        <f>IFERROR(__xludf.DUMMYFUNCTION("""COMPUTED_VALUE"""),-0.2811492068466422)</f>
        <v>-0.2811492068</v>
      </c>
      <c r="H204" s="4"/>
      <c r="I204" s="5" t="s">
        <v>3411</v>
      </c>
      <c r="J204" s="5" t="s">
        <v>3233</v>
      </c>
      <c r="K204" s="5">
        <v>192.0</v>
      </c>
      <c r="L204" s="5">
        <v>-2.585039</v>
      </c>
      <c r="M204" s="5">
        <v>1.512624</v>
      </c>
      <c r="N204" s="5">
        <v>-1.072415</v>
      </c>
      <c r="O204" s="5">
        <v>0.052552</v>
      </c>
    </row>
    <row r="205">
      <c r="A205" s="12" t="str">
        <f>IFERROR(__xludf.DUMMYFUNCTION("""COMPUTED_VALUE"""),"Lucas Colimerio")</f>
        <v>Lucas Colimerio</v>
      </c>
      <c r="B205" s="13" t="str">
        <f>IFERROR(__xludf.DUMMYFUNCTION("""COMPUTED_VALUE"""),"JOI")</f>
        <v>JOI</v>
      </c>
      <c r="C205" s="14">
        <f>IFERROR(__xludf.DUMMYFUNCTION("""COMPUTED_VALUE"""),370.5)</f>
        <v>370.5</v>
      </c>
      <c r="D205" s="15">
        <f>IFERROR(__xludf.DUMMYFUNCTION("""COMPUTED_VALUE"""),-4.142619103837149)</f>
        <v>-4.142619104</v>
      </c>
      <c r="E205" s="15">
        <f>IFERROR(__xludf.DUMMYFUNCTION("""COMPUTED_VALUE"""),-0.2813396502899728)</f>
        <v>-0.2813396503</v>
      </c>
      <c r="F205" s="15">
        <f>IFERROR(__xludf.DUMMYFUNCTION("""COMPUTED_VALUE"""),-4.423976754127122)</f>
        <v>-4.423976754</v>
      </c>
      <c r="G205" s="17">
        <f>IFERROR(__xludf.DUMMYFUNCTION("""COMPUTED_VALUE"""),-0.2732852280708737)</f>
        <v>-0.2732852281</v>
      </c>
      <c r="H205" s="4"/>
      <c r="I205" s="5" t="s">
        <v>3412</v>
      </c>
      <c r="J205" s="5" t="s">
        <v>3251</v>
      </c>
      <c r="K205" s="5">
        <v>26.0</v>
      </c>
      <c r="L205" s="5">
        <v>-1.060091</v>
      </c>
      <c r="M205" s="5">
        <v>-0.034929</v>
      </c>
      <c r="N205" s="5">
        <v>-1.095019</v>
      </c>
      <c r="O205" s="5">
        <v>0.007176</v>
      </c>
    </row>
    <row r="206">
      <c r="A206" s="18" t="str">
        <f>IFERROR(__xludf.DUMMYFUNCTION("""COMPUTED_VALUE"""),"Arnaldinho Filho")</f>
        <v>Arnaldinho Filho</v>
      </c>
      <c r="B206" s="19" t="str">
        <f>IFERROR(__xludf.DUMMYFUNCTION("""COMPUTED_VALUE"""),"BOT")</f>
        <v>BOT</v>
      </c>
      <c r="C206" s="20">
        <f>IFERROR(__xludf.DUMMYFUNCTION("""COMPUTED_VALUE"""),198.0)</f>
        <v>198</v>
      </c>
      <c r="D206" s="21">
        <f>IFERROR(__xludf.DUMMYFUNCTION("""COMPUTED_VALUE"""),-2.9595256662115474)</f>
        <v>-2.959525666</v>
      </c>
      <c r="E206" s="21">
        <f>IFERROR(__xludf.DUMMYFUNCTION("""COMPUTED_VALUE"""),-1.5738154513178493)</f>
        <v>-1.573815451</v>
      </c>
      <c r="F206" s="21">
        <f>IFERROR(__xludf.DUMMYFUNCTION("""COMPUTED_VALUE"""),-4.533354317529397)</f>
        <v>-4.533354318</v>
      </c>
      <c r="G206" s="23">
        <f>IFERROR(__xludf.DUMMYFUNCTION("""COMPUTED_VALUE"""),-0.15362676115053217)</f>
        <v>-0.1536267612</v>
      </c>
      <c r="H206" s="4"/>
      <c r="I206" s="5" t="s">
        <v>3413</v>
      </c>
      <c r="J206" s="5" t="s">
        <v>3240</v>
      </c>
      <c r="K206" s="24">
        <v>25.0</v>
      </c>
      <c r="L206" s="5">
        <v>-0.565951</v>
      </c>
      <c r="M206" s="5">
        <v>-0.576498</v>
      </c>
      <c r="N206" s="5">
        <v>-1.142449</v>
      </c>
      <c r="O206" s="5">
        <v>0.006642</v>
      </c>
    </row>
    <row r="207">
      <c r="A207" s="12" t="str">
        <f>IFERROR(__xludf.DUMMYFUNCTION("""COMPUTED_VALUE"""),"William Weihermann")</f>
        <v>William Weihermann</v>
      </c>
      <c r="B207" s="13" t="str">
        <f>IFERROR(__xludf.DUMMYFUNCTION("""COMPUTED_VALUE"""),"JOI")</f>
        <v>JOI</v>
      </c>
      <c r="C207" s="14">
        <f>IFERROR(__xludf.DUMMYFUNCTION("""COMPUTED_VALUE"""),180.4)</f>
        <v>180.4</v>
      </c>
      <c r="D207" s="15">
        <f>IFERROR(__xludf.DUMMYFUNCTION("""COMPUTED_VALUE"""),-1.9802274033733747)</f>
        <v>-1.980227403</v>
      </c>
      <c r="E207" s="15">
        <f>IFERROR(__xludf.DUMMYFUNCTION("""COMPUTED_VALUE"""),-2.5547630168597184)</f>
        <v>-2.554763017</v>
      </c>
      <c r="F207" s="15">
        <f>IFERROR(__xludf.DUMMYFUNCTION("""COMPUTED_VALUE"""),-4.534990720233093)</f>
        <v>-4.53499072</v>
      </c>
      <c r="G207" s="17">
        <f>IFERROR(__xludf.DUMMYFUNCTION("""COMPUTED_VALUE"""),-0.13916821894404804)</f>
        <v>-0.1391682189</v>
      </c>
      <c r="H207" s="4"/>
      <c r="I207" s="5" t="s">
        <v>3414</v>
      </c>
      <c r="J207" s="5" t="s">
        <v>3331</v>
      </c>
      <c r="K207" s="24">
        <v>783.0</v>
      </c>
      <c r="L207" s="5">
        <v>0.206832</v>
      </c>
      <c r="M207" s="5">
        <v>-1.352003</v>
      </c>
      <c r="N207" s="5">
        <v>-1.145171</v>
      </c>
      <c r="O207" s="5">
        <v>0.203098</v>
      </c>
    </row>
    <row r="208">
      <c r="A208" s="18" t="str">
        <f>IFERROR(__xludf.DUMMYFUNCTION("""COMPUTED_VALUE"""),"Stefano Pierotti")</f>
        <v>Stefano Pierotti</v>
      </c>
      <c r="B208" s="19" t="str">
        <f>IFERROR(__xludf.DUMMYFUNCTION("""COMPUTED_VALUE"""),"BAU")</f>
        <v>BAU</v>
      </c>
      <c r="C208" s="20">
        <f>IFERROR(__xludf.DUMMYFUNCTION("""COMPUTED_VALUE"""),386.1)</f>
        <v>386.1</v>
      </c>
      <c r="D208" s="21">
        <f>IFERROR(__xludf.DUMMYFUNCTION("""COMPUTED_VALUE"""),-2.927112880449824)</f>
        <v>-2.92711288</v>
      </c>
      <c r="E208" s="21">
        <f>IFERROR(__xludf.DUMMYFUNCTION("""COMPUTED_VALUE"""),-1.6130009355858834)</f>
        <v>-1.613000936</v>
      </c>
      <c r="F208" s="21">
        <f>IFERROR(__xludf.DUMMYFUNCTION("""COMPUTED_VALUE"""),-4.540119516035707)</f>
        <v>-4.540119516</v>
      </c>
      <c r="G208" s="23">
        <f>IFERROR(__xludf.DUMMYFUNCTION("""COMPUTED_VALUE"""),-0.29880889399473504)</f>
        <v>-0.298808894</v>
      </c>
      <c r="H208" s="4"/>
      <c r="I208" s="5" t="s">
        <v>3415</v>
      </c>
      <c r="J208" s="5" t="s">
        <v>3205</v>
      </c>
      <c r="K208" s="5">
        <v>454.0</v>
      </c>
      <c r="L208" s="5">
        <v>-0.006266</v>
      </c>
      <c r="M208" s="5">
        <v>-1.15705</v>
      </c>
      <c r="N208" s="5">
        <v>-1.163316</v>
      </c>
      <c r="O208" s="5">
        <v>0.11529</v>
      </c>
    </row>
    <row r="209">
      <c r="A209" s="12" t="str">
        <f>IFERROR(__xludf.DUMMYFUNCTION("""COMPUTED_VALUE"""),"Joao Borrego")</f>
        <v>Joao Borrego</v>
      </c>
      <c r="B209" s="13" t="str">
        <f>IFERROR(__xludf.DUMMYFUNCTION("""COMPUTED_VALUE"""),"UNIV")</f>
        <v>UNIV</v>
      </c>
      <c r="C209" s="14">
        <f>IFERROR(__xludf.DUMMYFUNCTION("""COMPUTED_VALUE"""),143.5)</f>
        <v>143.5</v>
      </c>
      <c r="D209" s="15">
        <f>IFERROR(__xludf.DUMMYFUNCTION("""COMPUTED_VALUE"""),-4.132919947488376)</f>
        <v>-4.132919947</v>
      </c>
      <c r="E209" s="15">
        <f>IFERROR(__xludf.DUMMYFUNCTION("""COMPUTED_VALUE"""),-0.4658639717579377)</f>
        <v>-0.4658639718</v>
      </c>
      <c r="F209" s="15">
        <f>IFERROR(__xludf.DUMMYFUNCTION("""COMPUTED_VALUE"""),-4.598803519246314)</f>
        <v>-4.598803519</v>
      </c>
      <c r="G209" s="17">
        <f>IFERROR(__xludf.DUMMYFUNCTION("""COMPUTED_VALUE"""),-0.11232812582392318)</f>
        <v>-0.1123281258</v>
      </c>
      <c r="H209" s="4"/>
      <c r="I209" s="5" t="s">
        <v>3416</v>
      </c>
      <c r="J209" s="5" t="s">
        <v>3263</v>
      </c>
      <c r="K209" s="5">
        <v>82.0</v>
      </c>
      <c r="L209" s="5">
        <v>-0.768175</v>
      </c>
      <c r="M209" s="5">
        <v>-0.433616</v>
      </c>
      <c r="N209" s="5">
        <v>-1.201791</v>
      </c>
      <c r="O209" s="5">
        <v>0.0196</v>
      </c>
    </row>
    <row r="210">
      <c r="A210" s="18" t="str">
        <f>IFERROR(__xludf.DUMMYFUNCTION("""COMPUTED_VALUE"""),"Roberto Ferreira")</f>
        <v>Roberto Ferreira</v>
      </c>
      <c r="B210" s="19" t="str">
        <f>IFERROR(__xludf.DUMMYFUNCTION("""COMPUTED_VALUE"""),"BOT")</f>
        <v>BOT</v>
      </c>
      <c r="C210" s="20">
        <f>IFERROR(__xludf.DUMMYFUNCTION("""COMPUTED_VALUE"""),318.2)</f>
        <v>318.2</v>
      </c>
      <c r="D210" s="21">
        <f>IFERROR(__xludf.DUMMYFUNCTION("""COMPUTED_VALUE"""),-5.021516708099104)</f>
        <v>-5.021516708</v>
      </c>
      <c r="E210" s="21">
        <f>IFERROR(__xludf.DUMMYFUNCTION("""COMPUTED_VALUE"""),0.3478867740582406)</f>
        <v>0.3478867741</v>
      </c>
      <c r="F210" s="21">
        <f>IFERROR(__xludf.DUMMYFUNCTION("""COMPUTED_VALUE"""),-4.673643534040863)</f>
        <v>-4.673643534</v>
      </c>
      <c r="G210" s="23">
        <f>IFERROR(__xludf.DUMMYFUNCTION("""COMPUTED_VALUE"""),-0.2605697979547726)</f>
        <v>-0.260569798</v>
      </c>
      <c r="H210" s="4"/>
      <c r="I210" s="5" t="s">
        <v>3417</v>
      </c>
      <c r="J210" s="5" t="s">
        <v>2838</v>
      </c>
      <c r="K210" s="5">
        <v>329.0</v>
      </c>
      <c r="L210" s="5">
        <v>1.609448</v>
      </c>
      <c r="M210" s="5">
        <v>-2.82442</v>
      </c>
      <c r="N210" s="5">
        <v>-1.214972</v>
      </c>
      <c r="O210" s="5">
        <v>0.077351</v>
      </c>
    </row>
    <row r="211">
      <c r="A211" s="12" t="str">
        <f>IFERROR(__xludf.DUMMYFUNCTION("""COMPUTED_VALUE"""),"Luis Mendonca")</f>
        <v>Luis Mendonca</v>
      </c>
      <c r="B211" s="13" t="str">
        <f>IFERROR(__xludf.DUMMYFUNCTION("""COMPUTED_VALUE"""),"LIG")</f>
        <v>LIG</v>
      </c>
      <c r="C211" s="14">
        <f>IFERROR(__xludf.DUMMYFUNCTION("""COMPUTED_VALUE"""),171.3)</f>
        <v>171.3</v>
      </c>
      <c r="D211" s="15">
        <f>IFERROR(__xludf.DUMMYFUNCTION("""COMPUTED_VALUE"""),-3.210937991656618)</f>
        <v>-3.210937992</v>
      </c>
      <c r="E211" s="15">
        <f>IFERROR(__xludf.DUMMYFUNCTION("""COMPUTED_VALUE"""),-1.7441234044717595)</f>
        <v>-1.744123404</v>
      </c>
      <c r="F211" s="15">
        <f>IFERROR(__xludf.DUMMYFUNCTION("""COMPUTED_VALUE"""),-4.9550691961283775)</f>
        <v>-4.955069196</v>
      </c>
      <c r="G211" s="17">
        <f>IFERROR(__xludf.DUMMYFUNCTION("""COMPUTED_VALUE"""),-0.15212204115118594)</f>
        <v>-0.1521220412</v>
      </c>
      <c r="H211" s="4"/>
      <c r="I211" s="5" t="s">
        <v>3418</v>
      </c>
      <c r="J211" s="5" t="s">
        <v>3203</v>
      </c>
      <c r="K211" s="5">
        <v>258.0</v>
      </c>
      <c r="L211" s="5">
        <v>-0.418633</v>
      </c>
      <c r="M211" s="5">
        <v>-0.810679</v>
      </c>
      <c r="N211" s="5">
        <v>-1.229311</v>
      </c>
      <c r="O211" s="5">
        <v>0.060202</v>
      </c>
    </row>
    <row r="212">
      <c r="A212" s="18" t="str">
        <f>IFERROR(__xludf.DUMMYFUNCTION("""COMPUTED_VALUE"""),"Ghustavo Andre")</f>
        <v>Ghustavo Andre</v>
      </c>
      <c r="B212" s="19" t="str">
        <f>IFERROR(__xludf.DUMMYFUNCTION("""COMPUTED_VALUE"""),"BOT")</f>
        <v>BOT</v>
      </c>
      <c r="C212" s="20">
        <f>IFERROR(__xludf.DUMMYFUNCTION("""COMPUTED_VALUE"""),598.6)</f>
        <v>598.6</v>
      </c>
      <c r="D212" s="21">
        <f>IFERROR(__xludf.DUMMYFUNCTION("""COMPUTED_VALUE"""),-3.1414212967773127)</f>
        <v>-3.141421297</v>
      </c>
      <c r="E212" s="21">
        <f>IFERROR(__xludf.DUMMYFUNCTION("""COMPUTED_VALUE"""),-1.8601830169145246)</f>
        <v>-1.860183017</v>
      </c>
      <c r="F212" s="21">
        <f>IFERROR(__xludf.DUMMYFUNCTION("""COMPUTED_VALUE"""),-5.001625813691837)</f>
        <v>-5.001625814</v>
      </c>
      <c r="G212" s="23">
        <f>IFERROR(__xludf.DUMMYFUNCTION("""COMPUTED_VALUE"""),-0.5503251504793145)</f>
        <v>-0.5503251505</v>
      </c>
      <c r="H212" s="4"/>
      <c r="I212" s="5" t="s">
        <v>3419</v>
      </c>
      <c r="J212" s="5" t="s">
        <v>3220</v>
      </c>
      <c r="K212" s="5">
        <v>316.0</v>
      </c>
      <c r="L212" s="5">
        <v>-0.122936</v>
      </c>
      <c r="M212" s="5">
        <v>-1.133769</v>
      </c>
      <c r="N212" s="5">
        <v>-1.256705</v>
      </c>
      <c r="O212" s="5">
        <v>0.071994</v>
      </c>
    </row>
    <row r="213">
      <c r="A213" s="12" t="str">
        <f>IFERROR(__xludf.DUMMYFUNCTION("""COMPUTED_VALUE"""),"Adriano Alves")</f>
        <v>Adriano Alves</v>
      </c>
      <c r="B213" s="13" t="str">
        <f>IFERROR(__xludf.DUMMYFUNCTION("""COMPUTED_VALUE"""),"MIN")</f>
        <v>MIN</v>
      </c>
      <c r="C213" s="14">
        <f>IFERROR(__xludf.DUMMYFUNCTION("""COMPUTED_VALUE"""),165.7)</f>
        <v>165.7</v>
      </c>
      <c r="D213" s="15">
        <f>IFERROR(__xludf.DUMMYFUNCTION("""COMPUTED_VALUE"""),-3.374918795021171)</f>
        <v>-3.374918795</v>
      </c>
      <c r="E213" s="15">
        <f>IFERROR(__xludf.DUMMYFUNCTION("""COMPUTED_VALUE"""),-1.6847757587994168)</f>
        <v>-1.684775759</v>
      </c>
      <c r="F213" s="15">
        <f>IFERROR(__xludf.DUMMYFUNCTION("""COMPUTED_VALUE"""),-5.059716753820588)</f>
        <v>-5.059716754</v>
      </c>
      <c r="G213" s="17">
        <f>IFERROR(__xludf.DUMMYFUNCTION("""COMPUTED_VALUE"""),-0.15493686415675517)</f>
        <v>-0.1549368642</v>
      </c>
      <c r="H213" s="4"/>
      <c r="I213" s="5" t="s">
        <v>3420</v>
      </c>
      <c r="J213" s="5" t="s">
        <v>3215</v>
      </c>
      <c r="K213" s="5">
        <v>63.0</v>
      </c>
      <c r="L213" s="5">
        <v>-0.9899</v>
      </c>
      <c r="M213" s="5">
        <v>-0.271581</v>
      </c>
      <c r="N213" s="5">
        <v>-1.261481</v>
      </c>
      <c r="O213" s="5">
        <v>0.01415</v>
      </c>
    </row>
    <row r="214">
      <c r="A214" s="18" t="str">
        <f>IFERROR(__xludf.DUMMYFUNCTION("""COMPUTED_VALUE"""),"Rodrigo Bahia Bispo")</f>
        <v>Rodrigo Bahia Bispo</v>
      </c>
      <c r="B214" s="19" t="str">
        <f>IFERROR(__xludf.DUMMYFUNCTION("""COMPUTED_VALUE"""),"BOT")</f>
        <v>BOT</v>
      </c>
      <c r="C214" s="20">
        <f>IFERROR(__xludf.DUMMYFUNCTION("""COMPUTED_VALUE"""),341.9)</f>
        <v>341.9</v>
      </c>
      <c r="D214" s="21">
        <f>IFERROR(__xludf.DUMMYFUNCTION("""COMPUTED_VALUE"""),-4.4335905208429605)</f>
        <v>-4.433590521</v>
      </c>
      <c r="E214" s="21">
        <f>IFERROR(__xludf.DUMMYFUNCTION("""COMPUTED_VALUE"""),-0.7021337031669929)</f>
        <v>-0.7021337032</v>
      </c>
      <c r="F214" s="21">
        <f>IFERROR(__xludf.DUMMYFUNCTION("""COMPUTED_VALUE"""),-5.135744124009953)</f>
        <v>-5.135744124</v>
      </c>
      <c r="G214" s="23">
        <f>IFERROR(__xludf.DUMMYFUNCTION("""COMPUTED_VALUE"""),-0.3283646994568543)</f>
        <v>-0.3283646995</v>
      </c>
      <c r="H214" s="4"/>
      <c r="I214" s="5" t="s">
        <v>3421</v>
      </c>
      <c r="J214" s="5" t="s">
        <v>3223</v>
      </c>
      <c r="K214" s="5">
        <v>514.0</v>
      </c>
      <c r="L214" s="5">
        <v>-2.397411</v>
      </c>
      <c r="M214" s="5">
        <v>1.109743</v>
      </c>
      <c r="N214" s="5">
        <v>-1.287668</v>
      </c>
      <c r="O214" s="5">
        <v>0.111319</v>
      </c>
    </row>
    <row r="215">
      <c r="A215" s="12" t="str">
        <f>IFERROR(__xludf.DUMMYFUNCTION("""COMPUTED_VALUE"""),"Jamail Jones")</f>
        <v>Jamail Jones</v>
      </c>
      <c r="B215" s="13" t="str">
        <f>IFERROR(__xludf.DUMMYFUNCTION("""COMPUTED_VALUE"""),"MOUR")</f>
        <v>MOUR</v>
      </c>
      <c r="C215" s="14">
        <f>IFERROR(__xludf.DUMMYFUNCTION("""COMPUTED_VALUE"""),453.9)</f>
        <v>453.9</v>
      </c>
      <c r="D215" s="15">
        <f>IFERROR(__xludf.DUMMYFUNCTION("""COMPUTED_VALUE"""),-1.4139692185783361)</f>
        <v>-1.413969219</v>
      </c>
      <c r="E215" s="15">
        <f>IFERROR(__xludf.DUMMYFUNCTION("""COMPUTED_VALUE"""),-3.805205164027024)</f>
        <v>-3.805205164</v>
      </c>
      <c r="F215" s="15">
        <f>IFERROR(__xludf.DUMMYFUNCTION("""COMPUTED_VALUE"""),-5.21918498260536)</f>
        <v>-5.219184983</v>
      </c>
      <c r="G215" s="17">
        <f>IFERROR(__xludf.DUMMYFUNCTION("""COMPUTED_VALUE"""),-0.442463163875307)</f>
        <v>-0.4424631639</v>
      </c>
      <c r="H215" s="4"/>
      <c r="I215" s="5" t="s">
        <v>3422</v>
      </c>
      <c r="J215" s="5" t="s">
        <v>3229</v>
      </c>
      <c r="K215" s="5">
        <v>25.0</v>
      </c>
      <c r="L215" s="5">
        <v>-0.86279</v>
      </c>
      <c r="M215" s="5">
        <v>-0.43882</v>
      </c>
      <c r="N215" s="5">
        <v>-1.301609</v>
      </c>
      <c r="O215" s="5">
        <v>0.005517</v>
      </c>
    </row>
    <row r="216">
      <c r="A216" s="18" t="str">
        <f>IFERROR(__xludf.DUMMYFUNCTION("""COMPUTED_VALUE"""),"Cesar Araujo")</f>
        <v>Cesar Araujo</v>
      </c>
      <c r="B216" s="19" t="str">
        <f>IFERROR(__xludf.DUMMYFUNCTION("""COMPUTED_VALUE"""),"MOUR")</f>
        <v>MOUR</v>
      </c>
      <c r="C216" s="20">
        <f>IFERROR(__xludf.DUMMYFUNCTION("""COMPUTED_VALUE"""),817.8)</f>
        <v>817.8</v>
      </c>
      <c r="D216" s="21">
        <f>IFERROR(__xludf.DUMMYFUNCTION("""COMPUTED_VALUE"""),-1.618305406715646)</f>
        <v>-1.618305407</v>
      </c>
      <c r="E216" s="21">
        <f>IFERROR(__xludf.DUMMYFUNCTION("""COMPUTED_VALUE"""),-3.691892555422125)</f>
        <v>-3.691892555</v>
      </c>
      <c r="F216" s="21">
        <f>IFERROR(__xludf.DUMMYFUNCTION("""COMPUTED_VALUE"""),-5.310219162137771)</f>
        <v>-5.310219162</v>
      </c>
      <c r="G216" s="23">
        <f>IFERROR(__xludf.DUMMYFUNCTION("""COMPUTED_VALUE"""),-0.8197360446163918)</f>
        <v>-0.8197360446</v>
      </c>
      <c r="H216" s="4"/>
      <c r="I216" s="5" t="s">
        <v>1182</v>
      </c>
      <c r="J216" s="5" t="s">
        <v>3217</v>
      </c>
      <c r="K216" s="5">
        <v>714.0</v>
      </c>
      <c r="L216" s="5">
        <v>-0.609627</v>
      </c>
      <c r="M216" s="5">
        <v>-0.764987</v>
      </c>
      <c r="N216" s="5">
        <v>-1.374615</v>
      </c>
      <c r="O216" s="5">
        <v>0.134407</v>
      </c>
    </row>
    <row r="217">
      <c r="A217" s="12" t="str">
        <f>IFERROR(__xludf.DUMMYFUNCTION("""COMPUTED_VALUE"""),"Andre Pereira")</f>
        <v>Andre Pereira</v>
      </c>
      <c r="B217" s="13" t="str">
        <f>IFERROR(__xludf.DUMMYFUNCTION("""COMPUTED_VALUE"""),"JOI")</f>
        <v>JOI</v>
      </c>
      <c r="C217" s="14">
        <f>IFERROR(__xludf.DUMMYFUNCTION("""COMPUTED_VALUE"""),843.9)</f>
        <v>843.9</v>
      </c>
      <c r="D217" s="15">
        <f>IFERROR(__xludf.DUMMYFUNCTION("""COMPUTED_VALUE"""),-3.62833466553666)</f>
        <v>-3.628334666</v>
      </c>
      <c r="E217" s="15">
        <f>IFERROR(__xludf.DUMMYFUNCTION("""COMPUTED_VALUE"""),-1.7129310737588408)</f>
        <v>-1.712931074</v>
      </c>
      <c r="F217" s="15">
        <f>IFERROR(__xludf.DUMMYFUNCTION("""COMPUTED_VALUE"""),-5.341271639295501)</f>
        <v>-5.341271639</v>
      </c>
      <c r="G217" s="17">
        <f>IFERROR(__xludf.DUMMYFUNCTION("""COMPUTED_VALUE"""),-0.8580802053389308)</f>
        <v>-0.8580802053</v>
      </c>
      <c r="H217" s="4"/>
      <c r="I217" s="5" t="s">
        <v>3423</v>
      </c>
      <c r="J217" s="5" t="s">
        <v>3207</v>
      </c>
      <c r="K217" s="5">
        <v>437.0</v>
      </c>
      <c r="L217" s="5">
        <v>-2.8372</v>
      </c>
      <c r="M217" s="5">
        <v>1.431985</v>
      </c>
      <c r="N217" s="5">
        <v>-1.405215</v>
      </c>
      <c r="O217" s="5">
        <v>0.077575</v>
      </c>
    </row>
    <row r="218">
      <c r="A218" s="18" t="str">
        <f>IFERROR(__xludf.DUMMYFUNCTION("""COMPUTED_VALUE"""),"Nezinho Dos Santos")</f>
        <v>Nezinho Dos Santos</v>
      </c>
      <c r="B218" s="19" t="str">
        <f>IFERROR(__xludf.DUMMYFUNCTION("""COMPUTED_VALUE"""),"VAS")</f>
        <v>VAS</v>
      </c>
      <c r="C218" s="20">
        <f>IFERROR(__xludf.DUMMYFUNCTION("""COMPUTED_VALUE"""),637.9)</f>
        <v>637.9</v>
      </c>
      <c r="D218" s="21">
        <f>IFERROR(__xludf.DUMMYFUNCTION("""COMPUTED_VALUE"""),-1.7563034636352257)</f>
        <v>-1.756303464</v>
      </c>
      <c r="E218" s="21">
        <f>IFERROR(__xludf.DUMMYFUNCTION("""COMPUTED_VALUE"""),-3.7046027076977626)</f>
        <v>-3.704602708</v>
      </c>
      <c r="F218" s="21">
        <f>IFERROR(__xludf.DUMMYFUNCTION("""COMPUTED_VALUE"""),-5.460920671332988)</f>
        <v>-5.460920671</v>
      </c>
      <c r="G218" s="23">
        <f>IFERROR(__xludf.DUMMYFUNCTION("""COMPUTED_VALUE"""),-0.6697121632544053)</f>
        <v>-0.6697121633</v>
      </c>
      <c r="H218" s="4"/>
      <c r="I218" s="5" t="s">
        <v>3424</v>
      </c>
      <c r="J218" s="5" t="s">
        <v>3233</v>
      </c>
      <c r="K218" s="5">
        <v>45.0</v>
      </c>
      <c r="L218" s="5">
        <v>-1.134274</v>
      </c>
      <c r="M218" s="5">
        <v>-0.288334</v>
      </c>
      <c r="N218" s="5">
        <v>-1.422608</v>
      </c>
      <c r="O218" s="5">
        <v>0.007696</v>
      </c>
    </row>
    <row r="219">
      <c r="A219" s="12" t="str">
        <f>IFERROR(__xludf.DUMMYFUNCTION("""COMPUTED_VALUE"""),"Leonardo Jacon")</f>
        <v>Leonardo Jacon</v>
      </c>
      <c r="B219" s="13" t="str">
        <f>IFERROR(__xludf.DUMMYFUNCTION("""COMPUTED_VALUE"""),"MIN")</f>
        <v>MIN</v>
      </c>
      <c r="C219" s="14">
        <f>IFERROR(__xludf.DUMMYFUNCTION("""COMPUTED_VALUE"""),327.3)</f>
        <v>327.3</v>
      </c>
      <c r="D219" s="15">
        <f>IFERROR(__xludf.DUMMYFUNCTION("""COMPUTED_VALUE"""),-5.284097307754105)</f>
        <v>-5.284097308</v>
      </c>
      <c r="E219" s="15">
        <f>IFERROR(__xludf.DUMMYFUNCTION("""COMPUTED_VALUE"""),-0.1952952373344429)</f>
        <v>-0.1952952373</v>
      </c>
      <c r="F219" s="15">
        <f>IFERROR(__xludf.DUMMYFUNCTION("""COMPUTED_VALUE"""),-5.479403445088548)</f>
        <v>-5.479403445</v>
      </c>
      <c r="G219" s="17">
        <f>IFERROR(__xludf.DUMMYFUNCTION("""COMPUTED_VALUE"""),-0.34805705879255516)</f>
        <v>-0.3480570588</v>
      </c>
      <c r="H219" s="4"/>
      <c r="I219" s="5" t="s">
        <v>3425</v>
      </c>
      <c r="J219" s="5" t="s">
        <v>3205</v>
      </c>
      <c r="K219" s="5">
        <v>102.0</v>
      </c>
      <c r="L219" s="5">
        <v>0.466139</v>
      </c>
      <c r="M219" s="5">
        <v>-1.903523</v>
      </c>
      <c r="N219" s="5">
        <v>-1.437385</v>
      </c>
      <c r="O219" s="5">
        <v>0.017406</v>
      </c>
    </row>
    <row r="220">
      <c r="A220" s="18" t="str">
        <f>IFERROR(__xludf.DUMMYFUNCTION("""COMPUTED_VALUE"""),"Tiago Lima")</f>
        <v>Tiago Lima</v>
      </c>
      <c r="B220" s="19" t="str">
        <f>IFERROR(__xludf.DUMMYFUNCTION("""COMPUTED_VALUE"""),"JOI")</f>
        <v>JOI</v>
      </c>
      <c r="C220" s="20">
        <f>IFERROR(__xludf.DUMMYFUNCTION("""COMPUTED_VALUE"""),434.3)</f>
        <v>434.3</v>
      </c>
      <c r="D220" s="21">
        <f>IFERROR(__xludf.DUMMYFUNCTION("""COMPUTED_VALUE"""),-2.7800143061535003)</f>
        <v>-2.780014306</v>
      </c>
      <c r="E220" s="21">
        <f>IFERROR(__xludf.DUMMYFUNCTION("""COMPUTED_VALUE"""),-2.7265083082846053)</f>
        <v>-2.726508308</v>
      </c>
      <c r="F220" s="21">
        <f>IFERROR(__xludf.DUMMYFUNCTION("""COMPUTED_VALUE"""),-5.506531714438106)</f>
        <v>-5.506531714</v>
      </c>
      <c r="G220" s="23">
        <f>IFERROR(__xludf.DUMMYFUNCTION("""COMPUTED_VALUE"""),-0.463433229942066)</f>
        <v>-0.4634332299</v>
      </c>
      <c r="H220" s="4"/>
      <c r="I220" s="5" t="s">
        <v>3426</v>
      </c>
      <c r="J220" s="5" t="s">
        <v>3205</v>
      </c>
      <c r="K220" s="5">
        <v>555.0</v>
      </c>
      <c r="L220" s="5">
        <v>0.185051</v>
      </c>
      <c r="M220" s="5">
        <v>-1.643163</v>
      </c>
      <c r="N220" s="5">
        <v>-1.458112</v>
      </c>
      <c r="O220" s="5">
        <v>0.091154</v>
      </c>
    </row>
    <row r="221">
      <c r="A221" s="12" t="str">
        <f>IFERROR(__xludf.DUMMYFUNCTION("""COMPUTED_VALUE"""),"Que Johnson")</f>
        <v>Que Johnson</v>
      </c>
      <c r="B221" s="13" t="str">
        <f>IFERROR(__xludf.DUMMYFUNCTION("""COMPUTED_VALUE"""),"JOI")</f>
        <v>JOI</v>
      </c>
      <c r="C221" s="14">
        <f>IFERROR(__xludf.DUMMYFUNCTION("""COMPUTED_VALUE"""),451.7)</f>
        <v>451.7</v>
      </c>
      <c r="D221" s="15">
        <f>IFERROR(__xludf.DUMMYFUNCTION("""COMPUTED_VALUE"""),-2.754745722630157)</f>
        <v>-2.754745723</v>
      </c>
      <c r="E221" s="15">
        <f>IFERROR(__xludf.DUMMYFUNCTION("""COMPUTED_VALUE"""),-2.8980730178657264)</f>
        <v>-2.898073018</v>
      </c>
      <c r="F221" s="15">
        <f>IFERROR(__xludf.DUMMYFUNCTION("""COMPUTED_VALUE"""),-5.652829440495883)</f>
        <v>-5.65282944</v>
      </c>
      <c r="G221" s="17">
        <f>IFERROR(__xludf.DUMMYFUNCTION("""COMPUTED_VALUE"""),-0.5021093730496101)</f>
        <v>-0.502109373</v>
      </c>
      <c r="H221" s="4"/>
      <c r="I221" s="5" t="s">
        <v>3427</v>
      </c>
      <c r="J221" s="5" t="s">
        <v>2201</v>
      </c>
      <c r="K221" s="5">
        <v>185.0</v>
      </c>
      <c r="L221" s="5">
        <v>-2.143103</v>
      </c>
      <c r="M221" s="5">
        <v>0.673756</v>
      </c>
      <c r="N221" s="5">
        <v>-1.469347</v>
      </c>
      <c r="O221" s="5">
        <v>0.030047</v>
      </c>
    </row>
    <row r="222">
      <c r="A222" s="18" t="str">
        <f>IFERROR(__xludf.DUMMYFUNCTION("""COMPUTED_VALUE"""),"Anderson Mosso")</f>
        <v>Anderson Mosso</v>
      </c>
      <c r="B222" s="19" t="str">
        <f>IFERROR(__xludf.DUMMYFUNCTION("""COMPUTED_VALUE"""),"MIN")</f>
        <v>MIN</v>
      </c>
      <c r="C222" s="20">
        <f>IFERROR(__xludf.DUMMYFUNCTION("""COMPUTED_VALUE"""),405.4)</f>
        <v>405.4</v>
      </c>
      <c r="D222" s="21">
        <f>IFERROR(__xludf.DUMMYFUNCTION("""COMPUTED_VALUE"""),-5.56095674726955)</f>
        <v>-5.560956747</v>
      </c>
      <c r="E222" s="21">
        <f>IFERROR(__xludf.DUMMYFUNCTION("""COMPUTED_VALUE"""),-0.8622372958620446)</f>
        <v>-0.8622372959</v>
      </c>
      <c r="F222" s="21">
        <f>IFERROR(__xludf.DUMMYFUNCTION("""COMPUTED_VALUE"""),-6.423201343131595)</f>
        <v>-6.423201343</v>
      </c>
      <c r="G222" s="23">
        <f>IFERROR(__xludf.DUMMYFUNCTION("""COMPUTED_VALUE"""),-0.5480597653785526)</f>
        <v>-0.5480597654</v>
      </c>
      <c r="H222" s="4"/>
      <c r="I222" s="5" t="s">
        <v>3428</v>
      </c>
      <c r="J222" s="5" t="s">
        <v>644</v>
      </c>
      <c r="K222" s="5">
        <v>670.0</v>
      </c>
      <c r="L222" s="5">
        <v>-0.946641</v>
      </c>
      <c r="M222" s="5">
        <v>-0.529658</v>
      </c>
      <c r="N222" s="5">
        <v>-1.476299</v>
      </c>
      <c r="O222" s="5">
        <v>0.106569</v>
      </c>
    </row>
    <row r="223">
      <c r="A223" s="12" t="str">
        <f>IFERROR(__xludf.DUMMYFUNCTION("""COMPUTED_VALUE"""),"Marcio Dornelles")</f>
        <v>Marcio Dornelles</v>
      </c>
      <c r="B223" s="13" t="str">
        <f>IFERROR(__xludf.DUMMYFUNCTION("""COMPUTED_VALUE"""),"MOUR")</f>
        <v>MOUR</v>
      </c>
      <c r="C223" s="14">
        <f>IFERROR(__xludf.DUMMYFUNCTION("""COMPUTED_VALUE"""),318.0)</f>
        <v>318</v>
      </c>
      <c r="D223" s="15">
        <f>IFERROR(__xludf.DUMMYFUNCTION("""COMPUTED_VALUE"""),-3.5635324600758196)</f>
        <v>-3.56353246</v>
      </c>
      <c r="E223" s="15">
        <f>IFERROR(__xludf.DUMMYFUNCTION("""COMPUTED_VALUE"""),-3.7144058683771983)</f>
        <v>-3.714405868</v>
      </c>
      <c r="F223" s="15">
        <f>IFERROR(__xludf.DUMMYFUNCTION("""COMPUTED_VALUE"""),-7.277953128453018)</f>
        <v>-7.277953128</v>
      </c>
      <c r="G223" s="17">
        <f>IFERROR(__xludf.DUMMYFUNCTION("""COMPUTED_VALUE"""),-0.5082313036621668)</f>
        <v>-0.5082313037</v>
      </c>
      <c r="H223" s="4"/>
      <c r="I223" s="5" t="s">
        <v>3429</v>
      </c>
      <c r="J223" s="5" t="s">
        <v>3331</v>
      </c>
      <c r="K223" s="5">
        <v>437.0</v>
      </c>
      <c r="L223" s="5">
        <v>-0.929777</v>
      </c>
      <c r="M223" s="5">
        <v>-0.558018</v>
      </c>
      <c r="N223" s="5">
        <v>-1.487795</v>
      </c>
      <c r="O223" s="5">
        <v>0.067921</v>
      </c>
    </row>
    <row r="224">
      <c r="A224" s="18" t="str">
        <f>IFERROR(__xludf.DUMMYFUNCTION("""COMPUTED_VALUE"""),"Jose Victor Jeronimo")</f>
        <v>Jose Victor Jeronimo</v>
      </c>
      <c r="B224" s="19" t="str">
        <f>IFERROR(__xludf.DUMMYFUNCTION("""COMPUTED_VALUE"""),"JOI")</f>
        <v>JOI</v>
      </c>
      <c r="C224" s="20">
        <f>IFERROR(__xludf.DUMMYFUNCTION("""COMPUTED_VALUE"""),309.9)</f>
        <v>309.9</v>
      </c>
      <c r="D224" s="21">
        <f>IFERROR(__xludf.DUMMYFUNCTION("""COMPUTED_VALUE"""),-5.731082188249047)</f>
        <v>-5.731082188</v>
      </c>
      <c r="E224" s="21">
        <f>IFERROR(__xludf.DUMMYFUNCTION("""COMPUTED_VALUE"""),-1.9387652911264173)</f>
        <v>-1.938765291</v>
      </c>
      <c r="F224" s="21">
        <f>IFERROR(__xludf.DUMMYFUNCTION("""COMPUTED_VALUE"""),-7.669858279375465)</f>
        <v>-7.669858279</v>
      </c>
      <c r="G224" s="23">
        <f>IFERROR(__xludf.DUMMYFUNCTION("""COMPUTED_VALUE"""),-0.5347035979279052)</f>
        <v>-0.5347035979</v>
      </c>
      <c r="H224" s="4"/>
      <c r="I224" s="5" t="s">
        <v>942</v>
      </c>
      <c r="J224" s="5" t="s">
        <v>3237</v>
      </c>
      <c r="K224" s="5">
        <v>692.0</v>
      </c>
      <c r="L224" s="5">
        <v>0.18515</v>
      </c>
      <c r="M224" s="5">
        <v>-1.711086</v>
      </c>
      <c r="N224" s="5">
        <v>-1.525936</v>
      </c>
      <c r="O224" s="5">
        <v>0.110743</v>
      </c>
    </row>
    <row r="225">
      <c r="A225" s="12" t="str">
        <f>IFERROR(__xludf.DUMMYFUNCTION("""COMPUTED_VALUE"""),"Lucas Vezaro")</f>
        <v>Lucas Vezaro</v>
      </c>
      <c r="B225" s="13" t="str">
        <f>IFERROR(__xludf.DUMMYFUNCTION("""COMPUTED_VALUE"""),"JOI")</f>
        <v>JOI</v>
      </c>
      <c r="C225" s="14">
        <f>IFERROR(__xludf.DUMMYFUNCTION("""COMPUTED_VALUE"""),350.0)</f>
        <v>350</v>
      </c>
      <c r="D225" s="15">
        <f>IFERROR(__xludf.DUMMYFUNCTION("""COMPUTED_VALUE"""),-4.245818351719445)</f>
        <v>-4.245818352</v>
      </c>
      <c r="E225" s="15">
        <f>IFERROR(__xludf.DUMMYFUNCTION("""COMPUTED_VALUE"""),-4.154221723454175)</f>
        <v>-4.154221723</v>
      </c>
      <c r="F225" s="15">
        <f>IFERROR(__xludf.DUMMYFUNCTION("""COMPUTED_VALUE"""),-8.400041175173621)</f>
        <v>-8.400041175</v>
      </c>
      <c r="G225" s="17">
        <f>IFERROR(__xludf.DUMMYFUNCTION("""COMPUTED_VALUE"""),-0.6816763234139637)</f>
        <v>-0.6816763234</v>
      </c>
      <c r="H225" s="4"/>
      <c r="I225" s="5" t="s">
        <v>3430</v>
      </c>
      <c r="J225" s="5" t="s">
        <v>3283</v>
      </c>
      <c r="K225" s="5">
        <v>181.0</v>
      </c>
      <c r="L225" s="5">
        <v>-0.180683</v>
      </c>
      <c r="M225" s="5">
        <v>-1.368194</v>
      </c>
      <c r="N225" s="5">
        <v>-1.548877</v>
      </c>
      <c r="O225" s="5">
        <v>0.024862</v>
      </c>
    </row>
    <row r="226">
      <c r="A226" s="18" t="str">
        <f>IFERROR(__xludf.DUMMYFUNCTION("""COMPUTED_VALUE"""),"Lucas Avelino")</f>
        <v>Lucas Avelino</v>
      </c>
      <c r="B226" s="19" t="str">
        <f>IFERROR(__xludf.DUMMYFUNCTION("""COMPUTED_VALUE"""),"MOUR")</f>
        <v>MOUR</v>
      </c>
      <c r="C226" s="20">
        <f>IFERROR(__xludf.DUMMYFUNCTION("""COMPUTED_VALUE"""),305.1)</f>
        <v>305.1</v>
      </c>
      <c r="D226" s="21">
        <f>IFERROR(__xludf.DUMMYFUNCTION("""COMPUTED_VALUE"""),-7.107355881478961)</f>
        <v>-7.107355881</v>
      </c>
      <c r="E226" s="21">
        <f>IFERROR(__xludf.DUMMYFUNCTION("""COMPUTED_VALUE"""),-2.1191526587106986)</f>
        <v>-2.119152659</v>
      </c>
      <c r="F226" s="21">
        <f>IFERROR(__xludf.DUMMYFUNCTION("""COMPUTED_VALUE"""),-9.22652954018966)</f>
        <v>-9.22652954</v>
      </c>
      <c r="G226" s="23">
        <f>IFERROR(__xludf.DUMMYFUNCTION("""COMPUTED_VALUE"""),-0.6676359878445929)</f>
        <v>-0.6676359878</v>
      </c>
      <c r="H226" s="4"/>
      <c r="I226" s="5" t="s">
        <v>3431</v>
      </c>
      <c r="J226" s="5" t="s">
        <v>3226</v>
      </c>
      <c r="K226" s="5">
        <v>416.0</v>
      </c>
      <c r="L226" s="5">
        <v>-0.941768</v>
      </c>
      <c r="M226" s="5">
        <v>-0.635026</v>
      </c>
      <c r="N226" s="5">
        <v>-1.576794</v>
      </c>
      <c r="O226" s="5">
        <v>0.053669</v>
      </c>
    </row>
    <row r="227">
      <c r="A227" s="12" t="str">
        <f>IFERROR(__xludf.DUMMYFUNCTION("""COMPUTED_VALUE"""),"")</f>
        <v/>
      </c>
      <c r="B227" s="13" t="str">
        <f>IFERROR(__xludf.DUMMYFUNCTION("""COMPUTED_VALUE"""),"")</f>
        <v/>
      </c>
      <c r="C227" s="14" t="str">
        <f>IFERROR(__xludf.DUMMYFUNCTION("""COMPUTED_VALUE"""),"")</f>
        <v/>
      </c>
      <c r="D227" s="15" t="str">
        <f>IFERROR(__xludf.DUMMYFUNCTION("""COMPUTED_VALUE"""),"")</f>
        <v/>
      </c>
      <c r="E227" s="15" t="str">
        <f>IFERROR(__xludf.DUMMYFUNCTION("""COMPUTED_VALUE"""),"")</f>
        <v/>
      </c>
      <c r="F227" s="15" t="str">
        <f>IFERROR(__xludf.DUMMYFUNCTION("""COMPUTED_VALUE"""),"")</f>
        <v/>
      </c>
      <c r="G227" s="17" t="str">
        <f>IFERROR(__xludf.DUMMYFUNCTION("""COMPUTED_VALUE"""),"")</f>
        <v/>
      </c>
      <c r="H227" s="4"/>
      <c r="I227" s="5" t="s">
        <v>3432</v>
      </c>
      <c r="J227" s="5" t="s">
        <v>2201</v>
      </c>
      <c r="K227" s="24">
        <v>221.0</v>
      </c>
      <c r="L227" s="5">
        <v>-3.002004</v>
      </c>
      <c r="M227" s="5">
        <v>1.420141</v>
      </c>
      <c r="N227" s="5">
        <v>-1.581863</v>
      </c>
      <c r="O227" s="5">
        <v>0.028184</v>
      </c>
    </row>
    <row r="228">
      <c r="A228" s="18" t="str">
        <f>IFERROR(__xludf.DUMMYFUNCTION("""COMPUTED_VALUE"""),"")</f>
        <v/>
      </c>
      <c r="B228" s="19" t="str">
        <f>IFERROR(__xludf.DUMMYFUNCTION("""COMPUTED_VALUE"""),"")</f>
        <v/>
      </c>
      <c r="C228" s="20" t="str">
        <f>IFERROR(__xludf.DUMMYFUNCTION("""COMPUTED_VALUE"""),"")</f>
        <v/>
      </c>
      <c r="D228" s="21" t="str">
        <f>IFERROR(__xludf.DUMMYFUNCTION("""COMPUTED_VALUE"""),"")</f>
        <v/>
      </c>
      <c r="E228" s="21" t="str">
        <f>IFERROR(__xludf.DUMMYFUNCTION("""COMPUTED_VALUE"""),"")</f>
        <v/>
      </c>
      <c r="F228" s="21" t="str">
        <f>IFERROR(__xludf.DUMMYFUNCTION("""COMPUTED_VALUE"""),"")</f>
        <v/>
      </c>
      <c r="G228" s="23" t="str">
        <f>IFERROR(__xludf.DUMMYFUNCTION("""COMPUTED_VALUE"""),"")</f>
        <v/>
      </c>
      <c r="H228" s="4"/>
      <c r="I228" s="5" t="s">
        <v>949</v>
      </c>
      <c r="J228" s="5" t="s">
        <v>3217</v>
      </c>
      <c r="K228" s="5">
        <v>173.0</v>
      </c>
      <c r="L228" s="5">
        <v>-2.031342</v>
      </c>
      <c r="M228" s="5">
        <v>0.427901</v>
      </c>
      <c r="N228" s="5">
        <v>-1.603441</v>
      </c>
      <c r="O228" s="5">
        <v>0.020636</v>
      </c>
    </row>
    <row r="229">
      <c r="A229" s="12" t="str">
        <f>IFERROR(__xludf.DUMMYFUNCTION("""COMPUTED_VALUE"""),"")</f>
        <v/>
      </c>
      <c r="B229" s="13" t="str">
        <f>IFERROR(__xludf.DUMMYFUNCTION("""COMPUTED_VALUE"""),"")</f>
        <v/>
      </c>
      <c r="C229" s="14" t="str">
        <f>IFERROR(__xludf.DUMMYFUNCTION("""COMPUTED_VALUE"""),"")</f>
        <v/>
      </c>
      <c r="D229" s="15" t="str">
        <f>IFERROR(__xludf.DUMMYFUNCTION("""COMPUTED_VALUE"""),"")</f>
        <v/>
      </c>
      <c r="E229" s="15" t="str">
        <f>IFERROR(__xludf.DUMMYFUNCTION("""COMPUTED_VALUE"""),"")</f>
        <v/>
      </c>
      <c r="F229" s="15" t="str">
        <f>IFERROR(__xludf.DUMMYFUNCTION("""COMPUTED_VALUE"""),"")</f>
        <v/>
      </c>
      <c r="G229" s="17" t="str">
        <f>IFERROR(__xludf.DUMMYFUNCTION("""COMPUTED_VALUE"""),"")</f>
        <v/>
      </c>
      <c r="H229" s="4"/>
      <c r="I229" s="5" t="s">
        <v>3433</v>
      </c>
      <c r="J229" s="5" t="s">
        <v>3283</v>
      </c>
      <c r="K229" s="24">
        <v>381.0</v>
      </c>
      <c r="L229" s="5">
        <v>0.651514</v>
      </c>
      <c r="M229" s="5">
        <v>-2.266925</v>
      </c>
      <c r="N229" s="5">
        <v>-1.615411</v>
      </c>
      <c r="O229" s="5">
        <v>0.044529</v>
      </c>
    </row>
    <row r="230">
      <c r="A230" s="18" t="str">
        <f>IFERROR(__xludf.DUMMYFUNCTION("""COMPUTED_VALUE"""),"")</f>
        <v/>
      </c>
      <c r="B230" s="19" t="str">
        <f>IFERROR(__xludf.DUMMYFUNCTION("""COMPUTED_VALUE"""),"")</f>
        <v/>
      </c>
      <c r="C230" s="20" t="str">
        <f>IFERROR(__xludf.DUMMYFUNCTION("""COMPUTED_VALUE"""),"")</f>
        <v/>
      </c>
      <c r="D230" s="21" t="str">
        <f>IFERROR(__xludf.DUMMYFUNCTION("""COMPUTED_VALUE"""),"")</f>
        <v/>
      </c>
      <c r="E230" s="21" t="str">
        <f>IFERROR(__xludf.DUMMYFUNCTION("""COMPUTED_VALUE"""),"")</f>
        <v/>
      </c>
      <c r="F230" s="21" t="str">
        <f>IFERROR(__xludf.DUMMYFUNCTION("""COMPUTED_VALUE"""),"")</f>
        <v/>
      </c>
      <c r="G230" s="23" t="str">
        <f>IFERROR(__xludf.DUMMYFUNCTION("""COMPUTED_VALUE"""),"")</f>
        <v/>
      </c>
      <c r="H230" s="4"/>
      <c r="I230" s="5" t="s">
        <v>3434</v>
      </c>
      <c r="J230" s="5" t="s">
        <v>3215</v>
      </c>
      <c r="K230" s="24">
        <v>46.0</v>
      </c>
      <c r="L230" s="5">
        <v>-1.436566</v>
      </c>
      <c r="M230" s="5">
        <v>-0.185182</v>
      </c>
      <c r="N230" s="5">
        <v>-1.621747</v>
      </c>
      <c r="O230" s="5">
        <v>0.005283</v>
      </c>
    </row>
    <row r="231">
      <c r="A231" s="12" t="str">
        <f>IFERROR(__xludf.DUMMYFUNCTION("""COMPUTED_VALUE"""),"")</f>
        <v/>
      </c>
      <c r="B231" s="13" t="str">
        <f>IFERROR(__xludf.DUMMYFUNCTION("""COMPUTED_VALUE"""),"")</f>
        <v/>
      </c>
      <c r="C231" s="14" t="str">
        <f>IFERROR(__xludf.DUMMYFUNCTION("""COMPUTED_VALUE"""),"")</f>
        <v/>
      </c>
      <c r="D231" s="15" t="str">
        <f>IFERROR(__xludf.DUMMYFUNCTION("""COMPUTED_VALUE"""),"")</f>
        <v/>
      </c>
      <c r="E231" s="15" t="str">
        <f>IFERROR(__xludf.DUMMYFUNCTION("""COMPUTED_VALUE"""),"")</f>
        <v/>
      </c>
      <c r="F231" s="15" t="str">
        <f>IFERROR(__xludf.DUMMYFUNCTION("""COMPUTED_VALUE"""),"")</f>
        <v/>
      </c>
      <c r="G231" s="17" t="str">
        <f>IFERROR(__xludf.DUMMYFUNCTION("""COMPUTED_VALUE"""),"")</f>
        <v/>
      </c>
      <c r="H231" s="4"/>
      <c r="I231" s="5" t="s">
        <v>3435</v>
      </c>
      <c r="J231" s="5" t="s">
        <v>3229</v>
      </c>
      <c r="K231" s="5">
        <v>63.0</v>
      </c>
      <c r="L231" s="5">
        <v>-0.136159</v>
      </c>
      <c r="M231" s="5">
        <v>-1.506286</v>
      </c>
      <c r="N231" s="5">
        <v>-1.642445</v>
      </c>
      <c r="O231" s="5">
        <v>0.007152</v>
      </c>
    </row>
    <row r="232">
      <c r="A232" s="18" t="str">
        <f>IFERROR(__xludf.DUMMYFUNCTION("""COMPUTED_VALUE"""),"")</f>
        <v/>
      </c>
      <c r="B232" s="19" t="str">
        <f>IFERROR(__xludf.DUMMYFUNCTION("""COMPUTED_VALUE"""),"")</f>
        <v/>
      </c>
      <c r="C232" s="20" t="str">
        <f>IFERROR(__xludf.DUMMYFUNCTION("""COMPUTED_VALUE"""),"")</f>
        <v/>
      </c>
      <c r="D232" s="21" t="str">
        <f>IFERROR(__xludf.DUMMYFUNCTION("""COMPUTED_VALUE"""),"")</f>
        <v/>
      </c>
      <c r="E232" s="21" t="str">
        <f>IFERROR(__xludf.DUMMYFUNCTION("""COMPUTED_VALUE"""),"")</f>
        <v/>
      </c>
      <c r="F232" s="21" t="str">
        <f>IFERROR(__xludf.DUMMYFUNCTION("""COMPUTED_VALUE"""),"")</f>
        <v/>
      </c>
      <c r="G232" s="23" t="str">
        <f>IFERROR(__xludf.DUMMYFUNCTION("""COMPUTED_VALUE"""),"")</f>
        <v/>
      </c>
      <c r="H232" s="4"/>
      <c r="I232" s="5" t="s">
        <v>3436</v>
      </c>
      <c r="J232" s="5" t="s">
        <v>3237</v>
      </c>
      <c r="K232" s="5">
        <v>260.0</v>
      </c>
      <c r="L232" s="5">
        <v>0.831814</v>
      </c>
      <c r="M232" s="5">
        <v>-2.486188</v>
      </c>
      <c r="N232" s="5">
        <v>-1.654373</v>
      </c>
      <c r="O232" s="5">
        <v>0.03033</v>
      </c>
    </row>
    <row r="233">
      <c r="A233" s="12" t="str">
        <f>IFERROR(__xludf.DUMMYFUNCTION("""COMPUTED_VALUE"""),"")</f>
        <v/>
      </c>
      <c r="B233" s="13" t="str">
        <f>IFERROR(__xludf.DUMMYFUNCTION("""COMPUTED_VALUE"""),"")</f>
        <v/>
      </c>
      <c r="C233" s="14" t="str">
        <f>IFERROR(__xludf.DUMMYFUNCTION("""COMPUTED_VALUE"""),"")</f>
        <v/>
      </c>
      <c r="D233" s="15" t="str">
        <f>IFERROR(__xludf.DUMMYFUNCTION("""COMPUTED_VALUE"""),"")</f>
        <v/>
      </c>
      <c r="E233" s="15" t="str">
        <f>IFERROR(__xludf.DUMMYFUNCTION("""COMPUTED_VALUE"""),"")</f>
        <v/>
      </c>
      <c r="F233" s="15" t="str">
        <f>IFERROR(__xludf.DUMMYFUNCTION("""COMPUTED_VALUE"""),"")</f>
        <v/>
      </c>
      <c r="G233" s="17" t="str">
        <f>IFERROR(__xludf.DUMMYFUNCTION("""COMPUTED_VALUE"""),"")</f>
        <v/>
      </c>
      <c r="H233" s="4"/>
      <c r="I233" s="5" t="s">
        <v>3437</v>
      </c>
      <c r="J233" s="5" t="s">
        <v>3207</v>
      </c>
      <c r="K233" s="24">
        <v>86.0</v>
      </c>
      <c r="L233" s="5">
        <v>-0.88667</v>
      </c>
      <c r="M233" s="5">
        <v>-0.805056</v>
      </c>
      <c r="N233" s="5">
        <v>-1.691726</v>
      </c>
      <c r="O233" s="5">
        <v>0.007924</v>
      </c>
    </row>
    <row r="234">
      <c r="A234" s="18" t="str">
        <f>IFERROR(__xludf.DUMMYFUNCTION("""COMPUTED_VALUE"""),"")</f>
        <v/>
      </c>
      <c r="B234" s="19" t="str">
        <f>IFERROR(__xludf.DUMMYFUNCTION("""COMPUTED_VALUE"""),"")</f>
        <v/>
      </c>
      <c r="C234" s="20" t="str">
        <f>IFERROR(__xludf.DUMMYFUNCTION("""COMPUTED_VALUE"""),"")</f>
        <v/>
      </c>
      <c r="D234" s="21" t="str">
        <f>IFERROR(__xludf.DUMMYFUNCTION("""COMPUTED_VALUE"""),"")</f>
        <v/>
      </c>
      <c r="E234" s="21" t="str">
        <f>IFERROR(__xludf.DUMMYFUNCTION("""COMPUTED_VALUE"""),"")</f>
        <v/>
      </c>
      <c r="F234" s="21" t="str">
        <f>IFERROR(__xludf.DUMMYFUNCTION("""COMPUTED_VALUE"""),"")</f>
        <v/>
      </c>
      <c r="G234" s="23" t="str">
        <f>IFERROR(__xludf.DUMMYFUNCTION("""COMPUTED_VALUE"""),"")</f>
        <v/>
      </c>
      <c r="H234" s="4"/>
      <c r="I234" s="5" t="s">
        <v>3438</v>
      </c>
      <c r="J234" s="5" t="s">
        <v>3278</v>
      </c>
      <c r="K234" s="5">
        <v>322.0</v>
      </c>
      <c r="L234" s="5">
        <v>-1.33954</v>
      </c>
      <c r="M234" s="5">
        <v>-0.361065</v>
      </c>
      <c r="N234" s="5">
        <v>-1.700604</v>
      </c>
      <c r="O234" s="5">
        <v>0.029141</v>
      </c>
    </row>
    <row r="235">
      <c r="A235" s="12" t="str">
        <f>IFERROR(__xludf.DUMMYFUNCTION("""COMPUTED_VALUE"""),"")</f>
        <v/>
      </c>
      <c r="B235" s="13" t="str">
        <f>IFERROR(__xludf.DUMMYFUNCTION("""COMPUTED_VALUE"""),"")</f>
        <v/>
      </c>
      <c r="C235" s="14" t="str">
        <f>IFERROR(__xludf.DUMMYFUNCTION("""COMPUTED_VALUE"""),"")</f>
        <v/>
      </c>
      <c r="D235" s="15" t="str">
        <f>IFERROR(__xludf.DUMMYFUNCTION("""COMPUTED_VALUE"""),"")</f>
        <v/>
      </c>
      <c r="E235" s="15" t="str">
        <f>IFERROR(__xludf.DUMMYFUNCTION("""COMPUTED_VALUE"""),"")</f>
        <v/>
      </c>
      <c r="F235" s="15" t="str">
        <f>IFERROR(__xludf.DUMMYFUNCTION("""COMPUTED_VALUE"""),"")</f>
        <v/>
      </c>
      <c r="G235" s="17" t="str">
        <f>IFERROR(__xludf.DUMMYFUNCTION("""COMPUTED_VALUE"""),"")</f>
        <v/>
      </c>
      <c r="H235" s="4"/>
      <c r="I235" s="5" t="s">
        <v>3439</v>
      </c>
      <c r="J235" s="5" t="s">
        <v>2201</v>
      </c>
      <c r="K235" s="5">
        <v>437.0</v>
      </c>
      <c r="L235" s="5">
        <v>-4.366636</v>
      </c>
      <c r="M235" s="5">
        <v>2.600493</v>
      </c>
      <c r="N235" s="5">
        <v>-1.766143</v>
      </c>
      <c r="O235" s="5">
        <v>0.031204</v>
      </c>
    </row>
    <row r="236">
      <c r="A236" s="18" t="str">
        <f>IFERROR(__xludf.DUMMYFUNCTION("""COMPUTED_VALUE"""),"")</f>
        <v/>
      </c>
      <c r="B236" s="19" t="str">
        <f>IFERROR(__xludf.DUMMYFUNCTION("""COMPUTED_VALUE"""),"")</f>
        <v/>
      </c>
      <c r="C236" s="20" t="str">
        <f>IFERROR(__xludf.DUMMYFUNCTION("""COMPUTED_VALUE"""),"")</f>
        <v/>
      </c>
      <c r="D236" s="21" t="str">
        <f>IFERROR(__xludf.DUMMYFUNCTION("""COMPUTED_VALUE"""),"")</f>
        <v/>
      </c>
      <c r="E236" s="21" t="str">
        <f>IFERROR(__xludf.DUMMYFUNCTION("""COMPUTED_VALUE"""),"")</f>
        <v/>
      </c>
      <c r="F236" s="21" t="str">
        <f>IFERROR(__xludf.DUMMYFUNCTION("""COMPUTED_VALUE"""),"")</f>
        <v/>
      </c>
      <c r="G236" s="23" t="str">
        <f>IFERROR(__xludf.DUMMYFUNCTION("""COMPUTED_VALUE"""),"")</f>
        <v/>
      </c>
      <c r="H236" s="4"/>
      <c r="I236" s="5" t="s">
        <v>3440</v>
      </c>
      <c r="J236" s="5" t="s">
        <v>3223</v>
      </c>
      <c r="K236" s="5">
        <v>592.0</v>
      </c>
      <c r="L236" s="5">
        <v>-1.651993</v>
      </c>
      <c r="M236" s="5">
        <v>-0.152759</v>
      </c>
      <c r="N236" s="5">
        <v>-1.804752</v>
      </c>
      <c r="O236" s="5">
        <v>0.035141</v>
      </c>
    </row>
    <row r="237">
      <c r="A237" s="12" t="str">
        <f>IFERROR(__xludf.DUMMYFUNCTION("""COMPUTED_VALUE"""),"")</f>
        <v/>
      </c>
      <c r="B237" s="13" t="str">
        <f>IFERROR(__xludf.DUMMYFUNCTION("""COMPUTED_VALUE"""),"")</f>
        <v/>
      </c>
      <c r="C237" s="14" t="str">
        <f>IFERROR(__xludf.DUMMYFUNCTION("""COMPUTED_VALUE"""),"")</f>
        <v/>
      </c>
      <c r="D237" s="15" t="str">
        <f>IFERROR(__xludf.DUMMYFUNCTION("""COMPUTED_VALUE"""),"")</f>
        <v/>
      </c>
      <c r="E237" s="15" t="str">
        <f>IFERROR(__xludf.DUMMYFUNCTION("""COMPUTED_VALUE"""),"")</f>
        <v/>
      </c>
      <c r="F237" s="15" t="str">
        <f>IFERROR(__xludf.DUMMYFUNCTION("""COMPUTED_VALUE"""),"")</f>
        <v/>
      </c>
      <c r="G237" s="17" t="str">
        <f>IFERROR(__xludf.DUMMYFUNCTION("""COMPUTED_VALUE"""),"")</f>
        <v/>
      </c>
      <c r="H237" s="4"/>
      <c r="I237" s="5" t="s">
        <v>3441</v>
      </c>
      <c r="J237" s="5" t="s">
        <v>3251</v>
      </c>
      <c r="K237" s="5">
        <v>330.0</v>
      </c>
      <c r="L237" s="5">
        <v>-0.562051</v>
      </c>
      <c r="M237" s="5">
        <v>-1.260419</v>
      </c>
      <c r="N237" s="5">
        <v>-1.82247</v>
      </c>
      <c r="O237" s="5">
        <v>0.017776</v>
      </c>
    </row>
    <row r="238">
      <c r="A238" s="18" t="str">
        <f>IFERROR(__xludf.DUMMYFUNCTION("""COMPUTED_VALUE"""),"")</f>
        <v/>
      </c>
      <c r="B238" s="19" t="str">
        <f>IFERROR(__xludf.DUMMYFUNCTION("""COMPUTED_VALUE"""),"")</f>
        <v/>
      </c>
      <c r="C238" s="20" t="str">
        <f>IFERROR(__xludf.DUMMYFUNCTION("""COMPUTED_VALUE"""),"")</f>
        <v/>
      </c>
      <c r="D238" s="21" t="str">
        <f>IFERROR(__xludf.DUMMYFUNCTION("""COMPUTED_VALUE"""),"")</f>
        <v/>
      </c>
      <c r="E238" s="21" t="str">
        <f>IFERROR(__xludf.DUMMYFUNCTION("""COMPUTED_VALUE"""),"")</f>
        <v/>
      </c>
      <c r="F238" s="21" t="str">
        <f>IFERROR(__xludf.DUMMYFUNCTION("""COMPUTED_VALUE"""),"")</f>
        <v/>
      </c>
      <c r="G238" s="23" t="str">
        <f>IFERROR(__xludf.DUMMYFUNCTION("""COMPUTED_VALUE"""),"")</f>
        <v/>
      </c>
      <c r="H238" s="4"/>
      <c r="I238" s="5" t="s">
        <v>3442</v>
      </c>
      <c r="J238" s="5" t="s">
        <v>644</v>
      </c>
      <c r="K238" s="5">
        <v>59.0</v>
      </c>
      <c r="L238" s="5">
        <v>-1.276908</v>
      </c>
      <c r="M238" s="5">
        <v>-0.549891</v>
      </c>
      <c r="N238" s="5">
        <v>-1.826799</v>
      </c>
      <c r="O238" s="5">
        <v>0.003123</v>
      </c>
    </row>
    <row r="239">
      <c r="A239" s="12" t="str">
        <f>IFERROR(__xludf.DUMMYFUNCTION("""COMPUTED_VALUE"""),"")</f>
        <v/>
      </c>
      <c r="B239" s="13" t="str">
        <f>IFERROR(__xludf.DUMMYFUNCTION("""COMPUTED_VALUE"""),"")</f>
        <v/>
      </c>
      <c r="C239" s="14" t="str">
        <f>IFERROR(__xludf.DUMMYFUNCTION("""COMPUTED_VALUE"""),"")</f>
        <v/>
      </c>
      <c r="D239" s="15" t="str">
        <f>IFERROR(__xludf.DUMMYFUNCTION("""COMPUTED_VALUE"""),"")</f>
        <v/>
      </c>
      <c r="E239" s="15" t="str">
        <f>IFERROR(__xludf.DUMMYFUNCTION("""COMPUTED_VALUE"""),"")</f>
        <v/>
      </c>
      <c r="F239" s="15" t="str">
        <f>IFERROR(__xludf.DUMMYFUNCTION("""COMPUTED_VALUE"""),"")</f>
        <v/>
      </c>
      <c r="G239" s="17" t="str">
        <f>IFERROR(__xludf.DUMMYFUNCTION("""COMPUTED_VALUE"""),"")</f>
        <v/>
      </c>
      <c r="H239" s="4"/>
      <c r="I239" s="5" t="s">
        <v>3443</v>
      </c>
      <c r="J239" s="5" t="s">
        <v>3229</v>
      </c>
      <c r="K239" s="24">
        <v>249.0</v>
      </c>
      <c r="L239" s="5">
        <v>-1.095146</v>
      </c>
      <c r="M239" s="5">
        <v>-0.732315</v>
      </c>
      <c r="N239" s="5">
        <v>-1.827461</v>
      </c>
      <c r="O239" s="5">
        <v>0.013564</v>
      </c>
    </row>
    <row r="240">
      <c r="A240" s="18" t="str">
        <f>IFERROR(__xludf.DUMMYFUNCTION("""COMPUTED_VALUE"""),"")</f>
        <v/>
      </c>
      <c r="B240" s="19" t="str">
        <f>IFERROR(__xludf.DUMMYFUNCTION("""COMPUTED_VALUE"""),"")</f>
        <v/>
      </c>
      <c r="C240" s="20" t="str">
        <f>IFERROR(__xludf.DUMMYFUNCTION("""COMPUTED_VALUE"""),"")</f>
        <v/>
      </c>
      <c r="D240" s="21" t="str">
        <f>IFERROR(__xludf.DUMMYFUNCTION("""COMPUTED_VALUE"""),"")</f>
        <v/>
      </c>
      <c r="E240" s="21" t="str">
        <f>IFERROR(__xludf.DUMMYFUNCTION("""COMPUTED_VALUE"""),"")</f>
        <v/>
      </c>
      <c r="F240" s="21" t="str">
        <f>IFERROR(__xludf.DUMMYFUNCTION("""COMPUTED_VALUE"""),"")</f>
        <v/>
      </c>
      <c r="G240" s="23" t="str">
        <f>IFERROR(__xludf.DUMMYFUNCTION("""COMPUTED_VALUE"""),"")</f>
        <v/>
      </c>
      <c r="H240" s="4"/>
      <c r="I240" s="5" t="s">
        <v>3444</v>
      </c>
      <c r="J240" s="5" t="s">
        <v>3237</v>
      </c>
      <c r="K240" s="5">
        <v>55.0</v>
      </c>
      <c r="L240" s="5">
        <v>-0.950707</v>
      </c>
      <c r="M240" s="5">
        <v>-0.877893</v>
      </c>
      <c r="N240" s="5">
        <v>-1.828601</v>
      </c>
      <c r="O240" s="5">
        <v>0.003204</v>
      </c>
    </row>
    <row r="241">
      <c r="A241" s="12" t="str">
        <f>IFERROR(__xludf.DUMMYFUNCTION("""COMPUTED_VALUE"""),"")</f>
        <v/>
      </c>
      <c r="B241" s="13" t="str">
        <f>IFERROR(__xludf.DUMMYFUNCTION("""COMPUTED_VALUE"""),"")</f>
        <v/>
      </c>
      <c r="C241" s="14" t="str">
        <f>IFERROR(__xludf.DUMMYFUNCTION("""COMPUTED_VALUE"""),"")</f>
        <v/>
      </c>
      <c r="D241" s="15" t="str">
        <f>IFERROR(__xludf.DUMMYFUNCTION("""COMPUTED_VALUE"""),"")</f>
        <v/>
      </c>
      <c r="E241" s="15" t="str">
        <f>IFERROR(__xludf.DUMMYFUNCTION("""COMPUTED_VALUE"""),"")</f>
        <v/>
      </c>
      <c r="F241" s="15" t="str">
        <f>IFERROR(__xludf.DUMMYFUNCTION("""COMPUTED_VALUE"""),"")</f>
        <v/>
      </c>
      <c r="G241" s="17" t="str">
        <f>IFERROR(__xludf.DUMMYFUNCTION("""COMPUTED_VALUE"""),"")</f>
        <v/>
      </c>
      <c r="H241" s="4"/>
      <c r="I241" s="5" t="s">
        <v>3445</v>
      </c>
      <c r="J241" s="5" t="s">
        <v>3251</v>
      </c>
      <c r="K241" s="24">
        <v>640.0</v>
      </c>
      <c r="L241" s="5">
        <v>-0.974066</v>
      </c>
      <c r="M241" s="5">
        <v>-0.880508</v>
      </c>
      <c r="N241" s="5">
        <v>-1.854575</v>
      </c>
      <c r="O241" s="5">
        <v>0.028258</v>
      </c>
    </row>
    <row r="242">
      <c r="A242" s="18" t="str">
        <f>IFERROR(__xludf.DUMMYFUNCTION("""COMPUTED_VALUE"""),"")</f>
        <v/>
      </c>
      <c r="B242" s="19" t="str">
        <f>IFERROR(__xludf.DUMMYFUNCTION("""COMPUTED_VALUE"""),"")</f>
        <v/>
      </c>
      <c r="C242" s="20" t="str">
        <f>IFERROR(__xludf.DUMMYFUNCTION("""COMPUTED_VALUE"""),"")</f>
        <v/>
      </c>
      <c r="D242" s="21" t="str">
        <f>IFERROR(__xludf.DUMMYFUNCTION("""COMPUTED_VALUE"""),"")</f>
        <v/>
      </c>
      <c r="E242" s="21" t="str">
        <f>IFERROR(__xludf.DUMMYFUNCTION("""COMPUTED_VALUE"""),"")</f>
        <v/>
      </c>
      <c r="F242" s="21" t="str">
        <f>IFERROR(__xludf.DUMMYFUNCTION("""COMPUTED_VALUE"""),"")</f>
        <v/>
      </c>
      <c r="G242" s="23" t="str">
        <f>IFERROR(__xludf.DUMMYFUNCTION("""COMPUTED_VALUE"""),"")</f>
        <v/>
      </c>
      <c r="H242" s="4"/>
      <c r="I242" s="5" t="s">
        <v>3446</v>
      </c>
      <c r="J242" s="5" t="s">
        <v>644</v>
      </c>
      <c r="K242" s="5">
        <v>330.0</v>
      </c>
      <c r="L242" s="5">
        <v>-0.058871</v>
      </c>
      <c r="M242" s="5">
        <v>-1.79851</v>
      </c>
      <c r="N242" s="5">
        <v>-1.857381</v>
      </c>
      <c r="O242" s="5">
        <v>0.014288</v>
      </c>
    </row>
    <row r="243">
      <c r="A243" s="12" t="str">
        <f>IFERROR(__xludf.DUMMYFUNCTION("""COMPUTED_VALUE"""),"")</f>
        <v/>
      </c>
      <c r="B243" s="13" t="str">
        <f>IFERROR(__xludf.DUMMYFUNCTION("""COMPUTED_VALUE"""),"")</f>
        <v/>
      </c>
      <c r="C243" s="14" t="str">
        <f>IFERROR(__xludf.DUMMYFUNCTION("""COMPUTED_VALUE"""),"")</f>
        <v/>
      </c>
      <c r="D243" s="15" t="str">
        <f>IFERROR(__xludf.DUMMYFUNCTION("""COMPUTED_VALUE"""),"")</f>
        <v/>
      </c>
      <c r="E243" s="15" t="str">
        <f>IFERROR(__xludf.DUMMYFUNCTION("""COMPUTED_VALUE"""),"")</f>
        <v/>
      </c>
      <c r="F243" s="15" t="str">
        <f>IFERROR(__xludf.DUMMYFUNCTION("""COMPUTED_VALUE"""),"")</f>
        <v/>
      </c>
      <c r="G243" s="17" t="str">
        <f>IFERROR(__xludf.DUMMYFUNCTION("""COMPUTED_VALUE"""),"")</f>
        <v/>
      </c>
      <c r="H243" s="4"/>
      <c r="I243" s="5" t="s">
        <v>3447</v>
      </c>
      <c r="J243" s="5" t="s">
        <v>2201</v>
      </c>
      <c r="K243" s="5">
        <v>423.0</v>
      </c>
      <c r="L243" s="5">
        <v>-1.121156</v>
      </c>
      <c r="M243" s="5">
        <v>-0.743679</v>
      </c>
      <c r="N243" s="5">
        <v>-1.864835</v>
      </c>
      <c r="O243" s="5">
        <v>0.017453</v>
      </c>
    </row>
    <row r="244">
      <c r="A244" s="18" t="str">
        <f>IFERROR(__xludf.DUMMYFUNCTION("""COMPUTED_VALUE"""),"")</f>
        <v/>
      </c>
      <c r="B244" s="19" t="str">
        <f>IFERROR(__xludf.DUMMYFUNCTION("""COMPUTED_VALUE"""),"")</f>
        <v/>
      </c>
      <c r="C244" s="20" t="str">
        <f>IFERROR(__xludf.DUMMYFUNCTION("""COMPUTED_VALUE"""),"")</f>
        <v/>
      </c>
      <c r="D244" s="21" t="str">
        <f>IFERROR(__xludf.DUMMYFUNCTION("""COMPUTED_VALUE"""),"")</f>
        <v/>
      </c>
      <c r="E244" s="21" t="str">
        <f>IFERROR(__xludf.DUMMYFUNCTION("""COMPUTED_VALUE"""),"")</f>
        <v/>
      </c>
      <c r="F244" s="21" t="str">
        <f>IFERROR(__xludf.DUMMYFUNCTION("""COMPUTED_VALUE"""),"")</f>
        <v/>
      </c>
      <c r="G244" s="23" t="str">
        <f>IFERROR(__xludf.DUMMYFUNCTION("""COMPUTED_VALUE"""),"")</f>
        <v/>
      </c>
      <c r="H244" s="4"/>
      <c r="I244" s="5" t="s">
        <v>3448</v>
      </c>
      <c r="J244" s="5" t="s">
        <v>3203</v>
      </c>
      <c r="K244" s="5">
        <v>497.0</v>
      </c>
      <c r="L244" s="5">
        <v>-2.529456</v>
      </c>
      <c r="M244" s="5">
        <v>0.654112</v>
      </c>
      <c r="N244" s="5">
        <v>-1.875344</v>
      </c>
      <c r="O244" s="5">
        <v>0.018802</v>
      </c>
    </row>
    <row r="245">
      <c r="A245" s="12" t="str">
        <f>IFERROR(__xludf.DUMMYFUNCTION("""COMPUTED_VALUE"""),"")</f>
        <v/>
      </c>
      <c r="B245" s="13" t="str">
        <f>IFERROR(__xludf.DUMMYFUNCTION("""COMPUTED_VALUE"""),"")</f>
        <v/>
      </c>
      <c r="C245" s="14" t="str">
        <f>IFERROR(__xludf.DUMMYFUNCTION("""COMPUTED_VALUE"""),"")</f>
        <v/>
      </c>
      <c r="D245" s="15" t="str">
        <f>IFERROR(__xludf.DUMMYFUNCTION("""COMPUTED_VALUE"""),"")</f>
        <v/>
      </c>
      <c r="E245" s="15" t="str">
        <f>IFERROR(__xludf.DUMMYFUNCTION("""COMPUTED_VALUE"""),"")</f>
        <v/>
      </c>
      <c r="F245" s="15" t="str">
        <f>IFERROR(__xludf.DUMMYFUNCTION("""COMPUTED_VALUE"""),"")</f>
        <v/>
      </c>
      <c r="G245" s="17" t="str">
        <f>IFERROR(__xludf.DUMMYFUNCTION("""COMPUTED_VALUE"""),"")</f>
        <v/>
      </c>
      <c r="H245" s="4"/>
      <c r="I245" s="5" t="s">
        <v>3449</v>
      </c>
      <c r="J245" s="5" t="s">
        <v>3233</v>
      </c>
      <c r="K245" s="5">
        <v>897.0</v>
      </c>
      <c r="L245" s="5">
        <v>0.349784</v>
      </c>
      <c r="M245" s="5">
        <v>-2.246134</v>
      </c>
      <c r="N245" s="5">
        <v>-1.896351</v>
      </c>
      <c r="O245" s="5">
        <v>0.027471</v>
      </c>
    </row>
    <row r="246">
      <c r="A246" s="18" t="str">
        <f>IFERROR(__xludf.DUMMYFUNCTION("""COMPUTED_VALUE"""),"")</f>
        <v/>
      </c>
      <c r="B246" s="19" t="str">
        <f>IFERROR(__xludf.DUMMYFUNCTION("""COMPUTED_VALUE"""),"")</f>
        <v/>
      </c>
      <c r="C246" s="20" t="str">
        <f>IFERROR(__xludf.DUMMYFUNCTION("""COMPUTED_VALUE"""),"")</f>
        <v/>
      </c>
      <c r="D246" s="21" t="str">
        <f>IFERROR(__xludf.DUMMYFUNCTION("""COMPUTED_VALUE"""),"")</f>
        <v/>
      </c>
      <c r="E246" s="21" t="str">
        <f>IFERROR(__xludf.DUMMYFUNCTION("""COMPUTED_VALUE"""),"")</f>
        <v/>
      </c>
      <c r="F246" s="21" t="str">
        <f>IFERROR(__xludf.DUMMYFUNCTION("""COMPUTED_VALUE"""),"")</f>
        <v/>
      </c>
      <c r="G246" s="23" t="str">
        <f>IFERROR(__xludf.DUMMYFUNCTION("""COMPUTED_VALUE"""),"")</f>
        <v/>
      </c>
      <c r="H246" s="4"/>
      <c r="I246" s="5" t="s">
        <v>3450</v>
      </c>
      <c r="J246" s="5" t="s">
        <v>3220</v>
      </c>
      <c r="K246" s="5">
        <v>180.0</v>
      </c>
      <c r="L246" s="5">
        <v>-1.034085</v>
      </c>
      <c r="M246" s="5">
        <v>-0.930863</v>
      </c>
      <c r="N246" s="5">
        <v>-1.964947</v>
      </c>
      <c r="O246" s="5">
        <v>0.001937</v>
      </c>
    </row>
    <row r="247">
      <c r="A247" s="12" t="str">
        <f>IFERROR(__xludf.DUMMYFUNCTION("""COMPUTED_VALUE"""),"")</f>
        <v/>
      </c>
      <c r="B247" s="13" t="str">
        <f>IFERROR(__xludf.DUMMYFUNCTION("""COMPUTED_VALUE"""),"")</f>
        <v/>
      </c>
      <c r="C247" s="14" t="str">
        <f>IFERROR(__xludf.DUMMYFUNCTION("""COMPUTED_VALUE"""),"")</f>
        <v/>
      </c>
      <c r="D247" s="15" t="str">
        <f>IFERROR(__xludf.DUMMYFUNCTION("""COMPUTED_VALUE"""),"")</f>
        <v/>
      </c>
      <c r="E247" s="15" t="str">
        <f>IFERROR(__xludf.DUMMYFUNCTION("""COMPUTED_VALUE"""),"")</f>
        <v/>
      </c>
      <c r="F247" s="15" t="str">
        <f>IFERROR(__xludf.DUMMYFUNCTION("""COMPUTED_VALUE"""),"")</f>
        <v/>
      </c>
      <c r="G247" s="17" t="str">
        <f>IFERROR(__xludf.DUMMYFUNCTION("""COMPUTED_VALUE"""),"")</f>
        <v/>
      </c>
      <c r="H247" s="4"/>
      <c r="I247" s="5" t="s">
        <v>3451</v>
      </c>
      <c r="J247" s="5" t="s">
        <v>3220</v>
      </c>
      <c r="K247" s="5">
        <v>323.0</v>
      </c>
      <c r="L247" s="5">
        <v>-2.154155</v>
      </c>
      <c r="M247" s="5">
        <v>0.157415</v>
      </c>
      <c r="N247" s="5">
        <v>-1.996739</v>
      </c>
      <c r="O247" s="5">
        <v>3.24E-4</v>
      </c>
    </row>
    <row r="248">
      <c r="A248" s="18" t="str">
        <f>IFERROR(__xludf.DUMMYFUNCTION("""COMPUTED_VALUE"""),"")</f>
        <v/>
      </c>
      <c r="B248" s="19" t="str">
        <f>IFERROR(__xludf.DUMMYFUNCTION("""COMPUTED_VALUE"""),"")</f>
        <v/>
      </c>
      <c r="C248" s="20" t="str">
        <f>IFERROR(__xludf.DUMMYFUNCTION("""COMPUTED_VALUE"""),"")</f>
        <v/>
      </c>
      <c r="D248" s="21" t="str">
        <f>IFERROR(__xludf.DUMMYFUNCTION("""COMPUTED_VALUE"""),"")</f>
        <v/>
      </c>
      <c r="E248" s="21" t="str">
        <f>IFERROR(__xludf.DUMMYFUNCTION("""COMPUTED_VALUE"""),"")</f>
        <v/>
      </c>
      <c r="F248" s="21" t="str">
        <f>IFERROR(__xludf.DUMMYFUNCTION("""COMPUTED_VALUE"""),"")</f>
        <v/>
      </c>
      <c r="G248" s="23" t="str">
        <f>IFERROR(__xludf.DUMMYFUNCTION("""COMPUTED_VALUE"""),"")</f>
        <v/>
      </c>
      <c r="H248" s="4"/>
      <c r="I248" s="5" t="s">
        <v>3452</v>
      </c>
      <c r="J248" s="5" t="s">
        <v>2201</v>
      </c>
      <c r="K248" s="5">
        <v>49.0</v>
      </c>
      <c r="L248" s="5">
        <v>-1.453442</v>
      </c>
      <c r="M248" s="5">
        <v>-0.549813</v>
      </c>
      <c r="N248" s="5">
        <v>-2.003254</v>
      </c>
      <c r="O248" s="5">
        <v>-4.9E-5</v>
      </c>
    </row>
    <row r="249">
      <c r="A249" s="12" t="str">
        <f>IFERROR(__xludf.DUMMYFUNCTION("""COMPUTED_VALUE"""),"")</f>
        <v/>
      </c>
      <c r="B249" s="13" t="str">
        <f>IFERROR(__xludf.DUMMYFUNCTION("""COMPUTED_VALUE"""),"")</f>
        <v/>
      </c>
      <c r="C249" s="14" t="str">
        <f>IFERROR(__xludf.DUMMYFUNCTION("""COMPUTED_VALUE"""),"")</f>
        <v/>
      </c>
      <c r="D249" s="15" t="str">
        <f>IFERROR(__xludf.DUMMYFUNCTION("""COMPUTED_VALUE"""),"")</f>
        <v/>
      </c>
      <c r="E249" s="15" t="str">
        <f>IFERROR(__xludf.DUMMYFUNCTION("""COMPUTED_VALUE"""),"")</f>
        <v/>
      </c>
      <c r="F249" s="15" t="str">
        <f>IFERROR(__xludf.DUMMYFUNCTION("""COMPUTED_VALUE"""),"")</f>
        <v/>
      </c>
      <c r="G249" s="17" t="str">
        <f>IFERROR(__xludf.DUMMYFUNCTION("""COMPUTED_VALUE"""),"")</f>
        <v/>
      </c>
      <c r="H249" s="4"/>
      <c r="I249" s="5" t="s">
        <v>3453</v>
      </c>
      <c r="J249" s="5" t="s">
        <v>3226</v>
      </c>
      <c r="K249" s="5">
        <v>297.0</v>
      </c>
      <c r="L249" s="5">
        <v>-3.100941</v>
      </c>
      <c r="M249" s="5">
        <v>1.097519</v>
      </c>
      <c r="N249" s="5">
        <v>-2.003422</v>
      </c>
      <c r="O249" s="5">
        <v>-3.1E-4</v>
      </c>
    </row>
    <row r="250">
      <c r="A250" s="18" t="str">
        <f>IFERROR(__xludf.DUMMYFUNCTION("""COMPUTED_VALUE"""),"")</f>
        <v/>
      </c>
      <c r="B250" s="19" t="str">
        <f>IFERROR(__xludf.DUMMYFUNCTION("""COMPUTED_VALUE"""),"")</f>
        <v/>
      </c>
      <c r="C250" s="20" t="str">
        <f>IFERROR(__xludf.DUMMYFUNCTION("""COMPUTED_VALUE"""),"")</f>
        <v/>
      </c>
      <c r="D250" s="21" t="str">
        <f>IFERROR(__xludf.DUMMYFUNCTION("""COMPUTED_VALUE"""),"")</f>
        <v/>
      </c>
      <c r="E250" s="21" t="str">
        <f>IFERROR(__xludf.DUMMYFUNCTION("""COMPUTED_VALUE"""),"")</f>
        <v/>
      </c>
      <c r="F250" s="21" t="str">
        <f>IFERROR(__xludf.DUMMYFUNCTION("""COMPUTED_VALUE"""),"")</f>
        <v/>
      </c>
      <c r="G250" s="23" t="str">
        <f>IFERROR(__xludf.DUMMYFUNCTION("""COMPUTED_VALUE"""),"")</f>
        <v/>
      </c>
      <c r="H250" s="4"/>
      <c r="I250" s="5" t="s">
        <v>3454</v>
      </c>
      <c r="J250" s="5" t="s">
        <v>3203</v>
      </c>
      <c r="K250" s="5">
        <v>362.0</v>
      </c>
      <c r="L250" s="5">
        <v>-0.113415</v>
      </c>
      <c r="M250" s="5">
        <v>-1.974144</v>
      </c>
      <c r="N250" s="5">
        <v>-2.087559</v>
      </c>
      <c r="O250" s="5">
        <v>-0.009598</v>
      </c>
    </row>
    <row r="251">
      <c r="A251" s="12" t="str">
        <f>IFERROR(__xludf.DUMMYFUNCTION("""COMPUTED_VALUE"""),"")</f>
        <v/>
      </c>
      <c r="B251" s="13" t="str">
        <f>IFERROR(__xludf.DUMMYFUNCTION("""COMPUTED_VALUE"""),"")</f>
        <v/>
      </c>
      <c r="C251" s="14" t="str">
        <f>IFERROR(__xludf.DUMMYFUNCTION("""COMPUTED_VALUE"""),"")</f>
        <v/>
      </c>
      <c r="D251" s="15" t="str">
        <f>IFERROR(__xludf.DUMMYFUNCTION("""COMPUTED_VALUE"""),"")</f>
        <v/>
      </c>
      <c r="E251" s="15" t="str">
        <f>IFERROR(__xludf.DUMMYFUNCTION("""COMPUTED_VALUE"""),"")</f>
        <v/>
      </c>
      <c r="F251" s="15" t="str">
        <f>IFERROR(__xludf.DUMMYFUNCTION("""COMPUTED_VALUE"""),"")</f>
        <v/>
      </c>
      <c r="G251" s="17" t="str">
        <f>IFERROR(__xludf.DUMMYFUNCTION("""COMPUTED_VALUE"""),"")</f>
        <v/>
      </c>
      <c r="H251" s="4"/>
      <c r="I251" s="5" t="s">
        <v>3455</v>
      </c>
      <c r="J251" s="5" t="s">
        <v>644</v>
      </c>
      <c r="K251" s="24">
        <v>106.0</v>
      </c>
      <c r="L251" s="5">
        <v>-0.683731</v>
      </c>
      <c r="M251" s="5">
        <v>-1.408786</v>
      </c>
      <c r="N251" s="5">
        <v>-2.092517</v>
      </c>
      <c r="O251" s="5">
        <v>-0.002983</v>
      </c>
    </row>
    <row r="252">
      <c r="A252" s="18" t="str">
        <f>IFERROR(__xludf.DUMMYFUNCTION("""COMPUTED_VALUE"""),"")</f>
        <v/>
      </c>
      <c r="B252" s="19" t="str">
        <f>IFERROR(__xludf.DUMMYFUNCTION("""COMPUTED_VALUE"""),"")</f>
        <v/>
      </c>
      <c r="C252" s="20" t="str">
        <f>IFERROR(__xludf.DUMMYFUNCTION("""COMPUTED_VALUE"""),"")</f>
        <v/>
      </c>
      <c r="D252" s="21" t="str">
        <f>IFERROR(__xludf.DUMMYFUNCTION("""COMPUTED_VALUE"""),"")</f>
        <v/>
      </c>
      <c r="E252" s="21" t="str">
        <f>IFERROR(__xludf.DUMMYFUNCTION("""COMPUTED_VALUE"""),"")</f>
        <v/>
      </c>
      <c r="F252" s="21" t="str">
        <f>IFERROR(__xludf.DUMMYFUNCTION("""COMPUTED_VALUE"""),"")</f>
        <v/>
      </c>
      <c r="G252" s="23" t="str">
        <f>IFERROR(__xludf.DUMMYFUNCTION("""COMPUTED_VALUE"""),"")</f>
        <v/>
      </c>
      <c r="H252" s="4"/>
      <c r="I252" s="5" t="s">
        <v>3456</v>
      </c>
      <c r="J252" s="5" t="s">
        <v>3256</v>
      </c>
      <c r="K252" s="5">
        <v>69.0</v>
      </c>
      <c r="L252" s="5">
        <v>-0.936564</v>
      </c>
      <c r="M252" s="5">
        <v>-1.15913</v>
      </c>
      <c r="N252" s="5">
        <v>-2.095694</v>
      </c>
      <c r="O252" s="5">
        <v>-0.002001</v>
      </c>
    </row>
    <row r="253">
      <c r="A253" s="12" t="str">
        <f>IFERROR(__xludf.DUMMYFUNCTION("""COMPUTED_VALUE"""),"")</f>
        <v/>
      </c>
      <c r="B253" s="13" t="str">
        <f>IFERROR(__xludf.DUMMYFUNCTION("""COMPUTED_VALUE"""),"")</f>
        <v/>
      </c>
      <c r="C253" s="14" t="str">
        <f>IFERROR(__xludf.DUMMYFUNCTION("""COMPUTED_VALUE"""),"")</f>
        <v/>
      </c>
      <c r="D253" s="15" t="str">
        <f>IFERROR(__xludf.DUMMYFUNCTION("""COMPUTED_VALUE"""),"")</f>
        <v/>
      </c>
      <c r="E253" s="15" t="str">
        <f>IFERROR(__xludf.DUMMYFUNCTION("""COMPUTED_VALUE"""),"")</f>
        <v/>
      </c>
      <c r="F253" s="15" t="str">
        <f>IFERROR(__xludf.DUMMYFUNCTION("""COMPUTED_VALUE"""),"")</f>
        <v/>
      </c>
      <c r="G253" s="17" t="str">
        <f>IFERROR(__xludf.DUMMYFUNCTION("""COMPUTED_VALUE"""),"")</f>
        <v/>
      </c>
      <c r="H253" s="4"/>
      <c r="I253" s="5" t="s">
        <v>3457</v>
      </c>
      <c r="J253" s="5" t="s">
        <v>3281</v>
      </c>
      <c r="K253" s="5">
        <v>43.0</v>
      </c>
      <c r="L253" s="5">
        <v>-1.930465</v>
      </c>
      <c r="M253" s="5">
        <v>-0.176145</v>
      </c>
      <c r="N253" s="5">
        <v>-2.10661</v>
      </c>
      <c r="O253" s="5">
        <v>-0.001381</v>
      </c>
    </row>
    <row r="254">
      <c r="A254" s="18" t="str">
        <f>IFERROR(__xludf.DUMMYFUNCTION("""COMPUTED_VALUE"""),"")</f>
        <v/>
      </c>
      <c r="B254" s="19" t="str">
        <f>IFERROR(__xludf.DUMMYFUNCTION("""COMPUTED_VALUE"""),"")</f>
        <v/>
      </c>
      <c r="C254" s="20" t="str">
        <f>IFERROR(__xludf.DUMMYFUNCTION("""COMPUTED_VALUE"""),"")</f>
        <v/>
      </c>
      <c r="D254" s="21" t="str">
        <f>IFERROR(__xludf.DUMMYFUNCTION("""COMPUTED_VALUE"""),"")</f>
        <v/>
      </c>
      <c r="E254" s="21" t="str">
        <f>IFERROR(__xludf.DUMMYFUNCTION("""COMPUTED_VALUE"""),"")</f>
        <v/>
      </c>
      <c r="F254" s="21" t="str">
        <f>IFERROR(__xludf.DUMMYFUNCTION("""COMPUTED_VALUE"""),"")</f>
        <v/>
      </c>
      <c r="G254" s="23" t="str">
        <f>IFERROR(__xludf.DUMMYFUNCTION("""COMPUTED_VALUE"""),"")</f>
        <v/>
      </c>
      <c r="H254" s="4"/>
      <c r="I254" s="5" t="s">
        <v>3458</v>
      </c>
      <c r="J254" s="5" t="s">
        <v>3237</v>
      </c>
      <c r="K254" s="24">
        <v>132.0</v>
      </c>
      <c r="L254" s="5">
        <v>-1.785034</v>
      </c>
      <c r="M254" s="5">
        <v>-0.333231</v>
      </c>
      <c r="N254" s="5">
        <v>-2.118266</v>
      </c>
      <c r="O254" s="5">
        <v>-0.005283</v>
      </c>
    </row>
    <row r="255">
      <c r="A255" s="12" t="str">
        <f>IFERROR(__xludf.DUMMYFUNCTION("""COMPUTED_VALUE"""),"")</f>
        <v/>
      </c>
      <c r="B255" s="13" t="str">
        <f>IFERROR(__xludf.DUMMYFUNCTION("""COMPUTED_VALUE"""),"")</f>
        <v/>
      </c>
      <c r="C255" s="14" t="str">
        <f>IFERROR(__xludf.DUMMYFUNCTION("""COMPUTED_VALUE"""),"")</f>
        <v/>
      </c>
      <c r="D255" s="15" t="str">
        <f>IFERROR(__xludf.DUMMYFUNCTION("""COMPUTED_VALUE"""),"")</f>
        <v/>
      </c>
      <c r="E255" s="15" t="str">
        <f>IFERROR(__xludf.DUMMYFUNCTION("""COMPUTED_VALUE"""),"")</f>
        <v/>
      </c>
      <c r="F255" s="15" t="str">
        <f>IFERROR(__xludf.DUMMYFUNCTION("""COMPUTED_VALUE"""),"")</f>
        <v/>
      </c>
      <c r="G255" s="17" t="str">
        <f>IFERROR(__xludf.DUMMYFUNCTION("""COMPUTED_VALUE"""),"")</f>
        <v/>
      </c>
      <c r="H255" s="4"/>
      <c r="I255" s="5" t="s">
        <v>1137</v>
      </c>
      <c r="J255" s="5" t="s">
        <v>3233</v>
      </c>
      <c r="K255" s="5">
        <v>224.0</v>
      </c>
      <c r="L255" s="5">
        <v>-1.490313</v>
      </c>
      <c r="M255" s="5">
        <v>-0.629871</v>
      </c>
      <c r="N255" s="5">
        <v>-2.120184</v>
      </c>
      <c r="O255" s="5">
        <v>-0.007963</v>
      </c>
    </row>
    <row r="256">
      <c r="A256" s="18" t="str">
        <f>IFERROR(__xludf.DUMMYFUNCTION("""COMPUTED_VALUE"""),"")</f>
        <v/>
      </c>
      <c r="B256" s="19" t="str">
        <f>IFERROR(__xludf.DUMMYFUNCTION("""COMPUTED_VALUE"""),"")</f>
        <v/>
      </c>
      <c r="C256" s="20" t="str">
        <f>IFERROR(__xludf.DUMMYFUNCTION("""COMPUTED_VALUE"""),"")</f>
        <v/>
      </c>
      <c r="D256" s="21" t="str">
        <f>IFERROR(__xludf.DUMMYFUNCTION("""COMPUTED_VALUE"""),"")</f>
        <v/>
      </c>
      <c r="E256" s="21" t="str">
        <f>IFERROR(__xludf.DUMMYFUNCTION("""COMPUTED_VALUE"""),"")</f>
        <v/>
      </c>
      <c r="F256" s="21" t="str">
        <f>IFERROR(__xludf.DUMMYFUNCTION("""COMPUTED_VALUE"""),"")</f>
        <v/>
      </c>
      <c r="G256" s="23" t="str">
        <f>IFERROR(__xludf.DUMMYFUNCTION("""COMPUTED_VALUE"""),"")</f>
        <v/>
      </c>
      <c r="H256" s="4"/>
      <c r="I256" s="5" t="s">
        <v>3459</v>
      </c>
      <c r="J256" s="5" t="s">
        <v>3331</v>
      </c>
      <c r="K256" s="5">
        <v>83.0</v>
      </c>
      <c r="L256" s="5">
        <v>-2.144994</v>
      </c>
      <c r="M256" s="5">
        <v>0.007608</v>
      </c>
      <c r="N256" s="5">
        <v>-2.137385</v>
      </c>
      <c r="O256" s="5">
        <v>-0.00344</v>
      </c>
    </row>
    <row r="257">
      <c r="A257" s="12" t="str">
        <f>IFERROR(__xludf.DUMMYFUNCTION("""COMPUTED_VALUE"""),"")</f>
        <v/>
      </c>
      <c r="B257" s="13" t="str">
        <f>IFERROR(__xludf.DUMMYFUNCTION("""COMPUTED_VALUE"""),"")</f>
        <v/>
      </c>
      <c r="C257" s="14" t="str">
        <f>IFERROR(__xludf.DUMMYFUNCTION("""COMPUTED_VALUE"""),"")</f>
        <v/>
      </c>
      <c r="D257" s="15" t="str">
        <f>IFERROR(__xludf.DUMMYFUNCTION("""COMPUTED_VALUE"""),"")</f>
        <v/>
      </c>
      <c r="E257" s="15" t="str">
        <f>IFERROR(__xludf.DUMMYFUNCTION("""COMPUTED_VALUE"""),"")</f>
        <v/>
      </c>
      <c r="F257" s="15" t="str">
        <f>IFERROR(__xludf.DUMMYFUNCTION("""COMPUTED_VALUE"""),"")</f>
        <v/>
      </c>
      <c r="G257" s="17" t="str">
        <f>IFERROR(__xludf.DUMMYFUNCTION("""COMPUTED_VALUE"""),"")</f>
        <v/>
      </c>
      <c r="H257" s="4"/>
      <c r="I257" s="5" t="s">
        <v>3460</v>
      </c>
      <c r="J257" s="5" t="s">
        <v>3240</v>
      </c>
      <c r="K257" s="5">
        <v>254.0</v>
      </c>
      <c r="L257" s="5">
        <v>-0.369819</v>
      </c>
      <c r="M257" s="5">
        <v>-1.77254</v>
      </c>
      <c r="N257" s="5">
        <v>-2.14236</v>
      </c>
      <c r="O257" s="5">
        <v>-0.011031</v>
      </c>
    </row>
    <row r="258">
      <c r="A258" s="18" t="str">
        <f>IFERROR(__xludf.DUMMYFUNCTION("""COMPUTED_VALUE"""),"")</f>
        <v/>
      </c>
      <c r="B258" s="19" t="str">
        <f>IFERROR(__xludf.DUMMYFUNCTION("""COMPUTED_VALUE"""),"")</f>
        <v/>
      </c>
      <c r="C258" s="20" t="str">
        <f>IFERROR(__xludf.DUMMYFUNCTION("""COMPUTED_VALUE"""),"")</f>
        <v/>
      </c>
      <c r="D258" s="21" t="str">
        <f>IFERROR(__xludf.DUMMYFUNCTION("""COMPUTED_VALUE"""),"")</f>
        <v/>
      </c>
      <c r="E258" s="21" t="str">
        <f>IFERROR(__xludf.DUMMYFUNCTION("""COMPUTED_VALUE"""),"")</f>
        <v/>
      </c>
      <c r="F258" s="21" t="str">
        <f>IFERROR(__xludf.DUMMYFUNCTION("""COMPUTED_VALUE"""),"")</f>
        <v/>
      </c>
      <c r="G258" s="23" t="str">
        <f>IFERROR(__xludf.DUMMYFUNCTION("""COMPUTED_VALUE"""),"")</f>
        <v/>
      </c>
      <c r="H258" s="4"/>
      <c r="I258" s="5" t="s">
        <v>3461</v>
      </c>
      <c r="J258" s="5" t="s">
        <v>3203</v>
      </c>
      <c r="K258" s="5">
        <v>48.0</v>
      </c>
      <c r="L258" s="5">
        <v>-1.828336</v>
      </c>
      <c r="M258" s="5">
        <v>-0.326061</v>
      </c>
      <c r="N258" s="5">
        <v>-2.154397</v>
      </c>
      <c r="O258" s="5">
        <v>-0.002247</v>
      </c>
    </row>
    <row r="259">
      <c r="A259" s="12" t="str">
        <f>IFERROR(__xludf.DUMMYFUNCTION("""COMPUTED_VALUE"""),"")</f>
        <v/>
      </c>
      <c r="B259" s="13" t="str">
        <f>IFERROR(__xludf.DUMMYFUNCTION("""COMPUTED_VALUE"""),"")</f>
        <v/>
      </c>
      <c r="C259" s="14" t="str">
        <f>IFERROR(__xludf.DUMMYFUNCTION("""COMPUTED_VALUE"""),"")</f>
        <v/>
      </c>
      <c r="D259" s="15" t="str">
        <f>IFERROR(__xludf.DUMMYFUNCTION("""COMPUTED_VALUE"""),"")</f>
        <v/>
      </c>
      <c r="E259" s="15" t="str">
        <f>IFERROR(__xludf.DUMMYFUNCTION("""COMPUTED_VALUE"""),"")</f>
        <v/>
      </c>
      <c r="F259" s="15" t="str">
        <f>IFERROR(__xludf.DUMMYFUNCTION("""COMPUTED_VALUE"""),"")</f>
        <v/>
      </c>
      <c r="G259" s="17" t="str">
        <f>IFERROR(__xludf.DUMMYFUNCTION("""COMPUTED_VALUE"""),"")</f>
        <v/>
      </c>
      <c r="H259" s="4"/>
      <c r="I259" s="5" t="s">
        <v>1247</v>
      </c>
      <c r="J259" s="5" t="s">
        <v>3263</v>
      </c>
      <c r="K259" s="5">
        <v>376.0</v>
      </c>
      <c r="L259" s="5">
        <v>-2.387322</v>
      </c>
      <c r="M259" s="5">
        <v>0.227415</v>
      </c>
      <c r="N259" s="5">
        <v>-2.159907</v>
      </c>
      <c r="O259" s="5">
        <v>-0.018052</v>
      </c>
    </row>
    <row r="260">
      <c r="A260" s="18" t="str">
        <f>IFERROR(__xludf.DUMMYFUNCTION("""COMPUTED_VALUE"""),"")</f>
        <v/>
      </c>
      <c r="B260" s="19" t="str">
        <f>IFERROR(__xludf.DUMMYFUNCTION("""COMPUTED_VALUE"""),"")</f>
        <v/>
      </c>
      <c r="C260" s="20" t="str">
        <f>IFERROR(__xludf.DUMMYFUNCTION("""COMPUTED_VALUE"""),"")</f>
        <v/>
      </c>
      <c r="D260" s="21" t="str">
        <f>IFERROR(__xludf.DUMMYFUNCTION("""COMPUTED_VALUE"""),"")</f>
        <v/>
      </c>
      <c r="E260" s="21" t="str">
        <f>IFERROR(__xludf.DUMMYFUNCTION("""COMPUTED_VALUE"""),"")</f>
        <v/>
      </c>
      <c r="F260" s="21" t="str">
        <f>IFERROR(__xludf.DUMMYFUNCTION("""COMPUTED_VALUE"""),"")</f>
        <v/>
      </c>
      <c r="G260" s="23" t="str">
        <f>IFERROR(__xludf.DUMMYFUNCTION("""COMPUTED_VALUE"""),"")</f>
        <v/>
      </c>
      <c r="H260" s="4"/>
      <c r="I260" s="5" t="s">
        <v>3462</v>
      </c>
      <c r="J260" s="5" t="s">
        <v>3205</v>
      </c>
      <c r="K260" s="5">
        <v>710.0</v>
      </c>
      <c r="L260" s="5">
        <v>-0.51303</v>
      </c>
      <c r="M260" s="5">
        <v>-1.676971</v>
      </c>
      <c r="N260" s="5">
        <v>-2.190001</v>
      </c>
      <c r="O260" s="5">
        <v>-0.040923</v>
      </c>
    </row>
    <row r="261">
      <c r="A261" s="12" t="str">
        <f>IFERROR(__xludf.DUMMYFUNCTION("""COMPUTED_VALUE"""),"")</f>
        <v/>
      </c>
      <c r="B261" s="13" t="str">
        <f>IFERROR(__xludf.DUMMYFUNCTION("""COMPUTED_VALUE"""),"")</f>
        <v/>
      </c>
      <c r="C261" s="14" t="str">
        <f>IFERROR(__xludf.DUMMYFUNCTION("""COMPUTED_VALUE"""),"")</f>
        <v/>
      </c>
      <c r="D261" s="15" t="str">
        <f>IFERROR(__xludf.DUMMYFUNCTION("""COMPUTED_VALUE"""),"")</f>
        <v/>
      </c>
      <c r="E261" s="15" t="str">
        <f>IFERROR(__xludf.DUMMYFUNCTION("""COMPUTED_VALUE"""),"")</f>
        <v/>
      </c>
      <c r="F261" s="15" t="str">
        <f>IFERROR(__xludf.DUMMYFUNCTION("""COMPUTED_VALUE"""),"")</f>
        <v/>
      </c>
      <c r="G261" s="17" t="str">
        <f>IFERROR(__xludf.DUMMYFUNCTION("""COMPUTED_VALUE"""),"")</f>
        <v/>
      </c>
      <c r="H261" s="4"/>
      <c r="I261" s="5" t="s">
        <v>3463</v>
      </c>
      <c r="J261" s="5" t="s">
        <v>3263</v>
      </c>
      <c r="K261" s="24">
        <v>107.0</v>
      </c>
      <c r="L261" s="5">
        <v>-2.387557</v>
      </c>
      <c r="M261" s="5">
        <v>0.175784</v>
      </c>
      <c r="N261" s="5">
        <v>-2.211773</v>
      </c>
      <c r="O261" s="5">
        <v>-0.006791</v>
      </c>
    </row>
    <row r="262">
      <c r="A262" s="18" t="str">
        <f>IFERROR(__xludf.DUMMYFUNCTION("""COMPUTED_VALUE"""),"")</f>
        <v/>
      </c>
      <c r="B262" s="19" t="str">
        <f>IFERROR(__xludf.DUMMYFUNCTION("""COMPUTED_VALUE"""),"")</f>
        <v/>
      </c>
      <c r="C262" s="20" t="str">
        <f>IFERROR(__xludf.DUMMYFUNCTION("""COMPUTED_VALUE"""),"")</f>
        <v/>
      </c>
      <c r="D262" s="21" t="str">
        <f>IFERROR(__xludf.DUMMYFUNCTION("""COMPUTED_VALUE"""),"")</f>
        <v/>
      </c>
      <c r="E262" s="21" t="str">
        <f>IFERROR(__xludf.DUMMYFUNCTION("""COMPUTED_VALUE"""),"")</f>
        <v/>
      </c>
      <c r="F262" s="21" t="str">
        <f>IFERROR(__xludf.DUMMYFUNCTION("""COMPUTED_VALUE"""),"")</f>
        <v/>
      </c>
      <c r="G262" s="23" t="str">
        <f>IFERROR(__xludf.DUMMYFUNCTION("""COMPUTED_VALUE"""),"")</f>
        <v/>
      </c>
      <c r="H262" s="4"/>
      <c r="I262" s="5" t="s">
        <v>3464</v>
      </c>
      <c r="J262" s="5" t="s">
        <v>3251</v>
      </c>
      <c r="K262" s="5">
        <v>492.0</v>
      </c>
      <c r="L262" s="5">
        <v>-1.739502</v>
      </c>
      <c r="M262" s="5">
        <v>-0.476302</v>
      </c>
      <c r="N262" s="5">
        <v>-2.215804</v>
      </c>
      <c r="O262" s="5">
        <v>-0.032236</v>
      </c>
    </row>
    <row r="263">
      <c r="A263" s="12" t="str">
        <f>IFERROR(__xludf.DUMMYFUNCTION("""COMPUTED_VALUE"""),"")</f>
        <v/>
      </c>
      <c r="B263" s="13" t="str">
        <f>IFERROR(__xludf.DUMMYFUNCTION("""COMPUTED_VALUE"""),"")</f>
        <v/>
      </c>
      <c r="C263" s="14" t="str">
        <f>IFERROR(__xludf.DUMMYFUNCTION("""COMPUTED_VALUE"""),"")</f>
        <v/>
      </c>
      <c r="D263" s="15" t="str">
        <f>IFERROR(__xludf.DUMMYFUNCTION("""COMPUTED_VALUE"""),"")</f>
        <v/>
      </c>
      <c r="E263" s="15" t="str">
        <f>IFERROR(__xludf.DUMMYFUNCTION("""COMPUTED_VALUE"""),"")</f>
        <v/>
      </c>
      <c r="F263" s="15" t="str">
        <f>IFERROR(__xludf.DUMMYFUNCTION("""COMPUTED_VALUE"""),"")</f>
        <v/>
      </c>
      <c r="G263" s="17" t="str">
        <f>IFERROR(__xludf.DUMMYFUNCTION("""COMPUTED_VALUE"""),"")</f>
        <v/>
      </c>
      <c r="H263" s="4"/>
      <c r="I263" s="5" t="s">
        <v>3465</v>
      </c>
      <c r="J263" s="5" t="s">
        <v>3278</v>
      </c>
      <c r="K263" s="5">
        <v>121.0</v>
      </c>
      <c r="L263" s="5">
        <v>-1.645214</v>
      </c>
      <c r="M263" s="5">
        <v>-0.588362</v>
      </c>
      <c r="N263" s="5">
        <v>-2.233576</v>
      </c>
      <c r="O263" s="5">
        <v>-0.008542</v>
      </c>
    </row>
    <row r="264">
      <c r="A264" s="18" t="str">
        <f>IFERROR(__xludf.DUMMYFUNCTION("""COMPUTED_VALUE"""),"")</f>
        <v/>
      </c>
      <c r="B264" s="19" t="str">
        <f>IFERROR(__xludf.DUMMYFUNCTION("""COMPUTED_VALUE"""),"")</f>
        <v/>
      </c>
      <c r="C264" s="20" t="str">
        <f>IFERROR(__xludf.DUMMYFUNCTION("""COMPUTED_VALUE"""),"")</f>
        <v/>
      </c>
      <c r="D264" s="21" t="str">
        <f>IFERROR(__xludf.DUMMYFUNCTION("""COMPUTED_VALUE"""),"")</f>
        <v/>
      </c>
      <c r="E264" s="21" t="str">
        <f>IFERROR(__xludf.DUMMYFUNCTION("""COMPUTED_VALUE"""),"")</f>
        <v/>
      </c>
      <c r="F264" s="21" t="str">
        <f>IFERROR(__xludf.DUMMYFUNCTION("""COMPUTED_VALUE"""),"")</f>
        <v/>
      </c>
      <c r="G264" s="23" t="str">
        <f>IFERROR(__xludf.DUMMYFUNCTION("""COMPUTED_VALUE"""),"")</f>
        <v/>
      </c>
      <c r="H264" s="4"/>
      <c r="I264" s="5" t="s">
        <v>3466</v>
      </c>
      <c r="J264" s="5" t="s">
        <v>3283</v>
      </c>
      <c r="K264" s="5">
        <v>51.0</v>
      </c>
      <c r="L264" s="5">
        <v>-1.663396</v>
      </c>
      <c r="M264" s="5">
        <v>-0.616178</v>
      </c>
      <c r="N264" s="5">
        <v>-2.279573</v>
      </c>
      <c r="O264" s="5">
        <v>-0.004366</v>
      </c>
    </row>
    <row r="265">
      <c r="A265" s="12" t="str">
        <f>IFERROR(__xludf.DUMMYFUNCTION("""COMPUTED_VALUE"""),"")</f>
        <v/>
      </c>
      <c r="B265" s="13" t="str">
        <f>IFERROR(__xludf.DUMMYFUNCTION("""COMPUTED_VALUE"""),"")</f>
        <v/>
      </c>
      <c r="C265" s="14" t="str">
        <f>IFERROR(__xludf.DUMMYFUNCTION("""COMPUTED_VALUE"""),"")</f>
        <v/>
      </c>
      <c r="D265" s="15" t="str">
        <f>IFERROR(__xludf.DUMMYFUNCTION("""COMPUTED_VALUE"""),"")</f>
        <v/>
      </c>
      <c r="E265" s="15" t="str">
        <f>IFERROR(__xludf.DUMMYFUNCTION("""COMPUTED_VALUE"""),"")</f>
        <v/>
      </c>
      <c r="F265" s="15" t="str">
        <f>IFERROR(__xludf.DUMMYFUNCTION("""COMPUTED_VALUE"""),"")</f>
        <v/>
      </c>
      <c r="G265" s="17" t="str">
        <f>IFERROR(__xludf.DUMMYFUNCTION("""COMPUTED_VALUE"""),"")</f>
        <v/>
      </c>
      <c r="H265" s="4"/>
      <c r="I265" s="5" t="s">
        <v>3467</v>
      </c>
      <c r="J265" s="5" t="s">
        <v>2201</v>
      </c>
      <c r="K265" s="5">
        <v>342.0</v>
      </c>
      <c r="L265" s="5">
        <v>-2.2531</v>
      </c>
      <c r="M265" s="5">
        <v>-0.045533</v>
      </c>
      <c r="N265" s="5">
        <v>-2.298633</v>
      </c>
      <c r="O265" s="5">
        <v>-0.031201</v>
      </c>
    </row>
    <row r="266">
      <c r="A266" s="18" t="str">
        <f>IFERROR(__xludf.DUMMYFUNCTION("""COMPUTED_VALUE"""),"")</f>
        <v/>
      </c>
      <c r="B266" s="19" t="str">
        <f>IFERROR(__xludf.DUMMYFUNCTION("""COMPUTED_VALUE"""),"")</f>
        <v/>
      </c>
      <c r="C266" s="20" t="str">
        <f>IFERROR(__xludf.DUMMYFUNCTION("""COMPUTED_VALUE"""),"")</f>
        <v/>
      </c>
      <c r="D266" s="21" t="str">
        <f>IFERROR(__xludf.DUMMYFUNCTION("""COMPUTED_VALUE"""),"")</f>
        <v/>
      </c>
      <c r="E266" s="21" t="str">
        <f>IFERROR(__xludf.DUMMYFUNCTION("""COMPUTED_VALUE"""),"")</f>
        <v/>
      </c>
      <c r="F266" s="21" t="str">
        <f>IFERROR(__xludf.DUMMYFUNCTION("""COMPUTED_VALUE"""),"")</f>
        <v/>
      </c>
      <c r="G266" s="23" t="str">
        <f>IFERROR(__xludf.DUMMYFUNCTION("""COMPUTED_VALUE"""),"")</f>
        <v/>
      </c>
      <c r="H266" s="4"/>
      <c r="I266" s="5" t="s">
        <v>3468</v>
      </c>
      <c r="J266" s="5" t="s">
        <v>3240</v>
      </c>
      <c r="K266" s="5">
        <v>77.0</v>
      </c>
      <c r="L266" s="5">
        <v>-1.962044</v>
      </c>
      <c r="M266" s="5">
        <v>-0.3436</v>
      </c>
      <c r="N266" s="5">
        <v>-2.305644</v>
      </c>
      <c r="O266" s="5">
        <v>-0.00713</v>
      </c>
    </row>
    <row r="267">
      <c r="A267" s="12" t="str">
        <f>IFERROR(__xludf.DUMMYFUNCTION("""COMPUTED_VALUE"""),"")</f>
        <v/>
      </c>
      <c r="B267" s="13" t="str">
        <f>IFERROR(__xludf.DUMMYFUNCTION("""COMPUTED_VALUE"""),"")</f>
        <v/>
      </c>
      <c r="C267" s="14" t="str">
        <f>IFERROR(__xludf.DUMMYFUNCTION("""COMPUTED_VALUE"""),"")</f>
        <v/>
      </c>
      <c r="D267" s="15" t="str">
        <f>IFERROR(__xludf.DUMMYFUNCTION("""COMPUTED_VALUE"""),"")</f>
        <v/>
      </c>
      <c r="E267" s="15" t="str">
        <f>IFERROR(__xludf.DUMMYFUNCTION("""COMPUTED_VALUE"""),"")</f>
        <v/>
      </c>
      <c r="F267" s="15" t="str">
        <f>IFERROR(__xludf.DUMMYFUNCTION("""COMPUTED_VALUE"""),"")</f>
        <v/>
      </c>
      <c r="G267" s="17" t="str">
        <f>IFERROR(__xludf.DUMMYFUNCTION("""COMPUTED_VALUE"""),"")</f>
        <v/>
      </c>
      <c r="H267" s="4"/>
      <c r="I267" s="5" t="s">
        <v>3469</v>
      </c>
      <c r="J267" s="5" t="s">
        <v>3281</v>
      </c>
      <c r="K267" s="5">
        <v>508.0</v>
      </c>
      <c r="L267" s="5">
        <v>-2.612061</v>
      </c>
      <c r="M267" s="5">
        <v>0.296944</v>
      </c>
      <c r="N267" s="5">
        <v>-2.315116</v>
      </c>
      <c r="O267" s="5">
        <v>-0.048847</v>
      </c>
    </row>
    <row r="268">
      <c r="A268" s="18" t="str">
        <f>IFERROR(__xludf.DUMMYFUNCTION("""COMPUTED_VALUE"""),"")</f>
        <v/>
      </c>
      <c r="B268" s="19" t="str">
        <f>IFERROR(__xludf.DUMMYFUNCTION("""COMPUTED_VALUE"""),"")</f>
        <v/>
      </c>
      <c r="C268" s="20" t="str">
        <f>IFERROR(__xludf.DUMMYFUNCTION("""COMPUTED_VALUE"""),"")</f>
        <v/>
      </c>
      <c r="D268" s="21" t="str">
        <f>IFERROR(__xludf.DUMMYFUNCTION("""COMPUTED_VALUE"""),"")</f>
        <v/>
      </c>
      <c r="E268" s="21" t="str">
        <f>IFERROR(__xludf.DUMMYFUNCTION("""COMPUTED_VALUE"""),"")</f>
        <v/>
      </c>
      <c r="F268" s="21" t="str">
        <f>IFERROR(__xludf.DUMMYFUNCTION("""COMPUTED_VALUE"""),"")</f>
        <v/>
      </c>
      <c r="G268" s="23" t="str">
        <f>IFERROR(__xludf.DUMMYFUNCTION("""COMPUTED_VALUE"""),"")</f>
        <v/>
      </c>
      <c r="H268" s="4"/>
      <c r="I268" s="5" t="s">
        <v>3470</v>
      </c>
      <c r="J268" s="5" t="s">
        <v>2838</v>
      </c>
      <c r="K268" s="5">
        <v>486.0</v>
      </c>
      <c r="L268" s="5">
        <v>-3.00061</v>
      </c>
      <c r="M268" s="5">
        <v>0.666445</v>
      </c>
      <c r="N268" s="5">
        <v>-2.334165</v>
      </c>
      <c r="O268" s="5">
        <v>-0.048673</v>
      </c>
    </row>
    <row r="269">
      <c r="A269" s="12" t="str">
        <f>IFERROR(__xludf.DUMMYFUNCTION("""COMPUTED_VALUE"""),"")</f>
        <v/>
      </c>
      <c r="B269" s="13" t="str">
        <f>IFERROR(__xludf.DUMMYFUNCTION("""COMPUTED_VALUE"""),"")</f>
        <v/>
      </c>
      <c r="C269" s="14" t="str">
        <f>IFERROR(__xludf.DUMMYFUNCTION("""COMPUTED_VALUE"""),"")</f>
        <v/>
      </c>
      <c r="D269" s="15" t="str">
        <f>IFERROR(__xludf.DUMMYFUNCTION("""COMPUTED_VALUE"""),"")</f>
        <v/>
      </c>
      <c r="E269" s="15" t="str">
        <f>IFERROR(__xludf.DUMMYFUNCTION("""COMPUTED_VALUE"""),"")</f>
        <v/>
      </c>
      <c r="F269" s="15" t="str">
        <f>IFERROR(__xludf.DUMMYFUNCTION("""COMPUTED_VALUE"""),"")</f>
        <v/>
      </c>
      <c r="G269" s="17" t="str">
        <f>IFERROR(__xludf.DUMMYFUNCTION("""COMPUTED_VALUE"""),"")</f>
        <v/>
      </c>
      <c r="H269" s="4"/>
      <c r="I269" s="5" t="s">
        <v>3471</v>
      </c>
      <c r="J269" s="5" t="s">
        <v>3210</v>
      </c>
      <c r="K269" s="24">
        <v>448.0</v>
      </c>
      <c r="L269" s="5">
        <v>-2.242264</v>
      </c>
      <c r="M269" s="5">
        <v>-0.09372</v>
      </c>
      <c r="N269" s="5">
        <v>-2.335984</v>
      </c>
      <c r="O269" s="5">
        <v>-0.045252</v>
      </c>
    </row>
    <row r="270">
      <c r="A270" s="18" t="str">
        <f>IFERROR(__xludf.DUMMYFUNCTION("""COMPUTED_VALUE"""),"")</f>
        <v/>
      </c>
      <c r="B270" s="19" t="str">
        <f>IFERROR(__xludf.DUMMYFUNCTION("""COMPUTED_VALUE"""),"")</f>
        <v/>
      </c>
      <c r="C270" s="20" t="str">
        <f>IFERROR(__xludf.DUMMYFUNCTION("""COMPUTED_VALUE"""),"")</f>
        <v/>
      </c>
      <c r="D270" s="21" t="str">
        <f>IFERROR(__xludf.DUMMYFUNCTION("""COMPUTED_VALUE"""),"")</f>
        <v/>
      </c>
      <c r="E270" s="21" t="str">
        <f>IFERROR(__xludf.DUMMYFUNCTION("""COMPUTED_VALUE"""),"")</f>
        <v/>
      </c>
      <c r="F270" s="21" t="str">
        <f>IFERROR(__xludf.DUMMYFUNCTION("""COMPUTED_VALUE"""),"")</f>
        <v/>
      </c>
      <c r="G270" s="23" t="str">
        <f>IFERROR(__xludf.DUMMYFUNCTION("""COMPUTED_VALUE"""),"")</f>
        <v/>
      </c>
      <c r="H270" s="4"/>
      <c r="I270" s="5" t="s">
        <v>3472</v>
      </c>
      <c r="J270" s="5" t="s">
        <v>3251</v>
      </c>
      <c r="K270" s="5">
        <v>118.0</v>
      </c>
      <c r="L270" s="5">
        <v>-1.575285</v>
      </c>
      <c r="M270" s="5">
        <v>-0.76763</v>
      </c>
      <c r="N270" s="5">
        <v>-2.342916</v>
      </c>
      <c r="O270" s="5">
        <v>-0.012272</v>
      </c>
    </row>
    <row r="271">
      <c r="A271" s="12" t="str">
        <f>IFERROR(__xludf.DUMMYFUNCTION("""COMPUTED_VALUE"""),"")</f>
        <v/>
      </c>
      <c r="B271" s="13" t="str">
        <f>IFERROR(__xludf.DUMMYFUNCTION("""COMPUTED_VALUE"""),"")</f>
        <v/>
      </c>
      <c r="C271" s="14" t="str">
        <f>IFERROR(__xludf.DUMMYFUNCTION("""COMPUTED_VALUE"""),"")</f>
        <v/>
      </c>
      <c r="D271" s="15" t="str">
        <f>IFERROR(__xludf.DUMMYFUNCTION("""COMPUTED_VALUE"""),"")</f>
        <v/>
      </c>
      <c r="E271" s="15" t="str">
        <f>IFERROR(__xludf.DUMMYFUNCTION("""COMPUTED_VALUE"""),"")</f>
        <v/>
      </c>
      <c r="F271" s="15" t="str">
        <f>IFERROR(__xludf.DUMMYFUNCTION("""COMPUTED_VALUE"""),"")</f>
        <v/>
      </c>
      <c r="G271" s="17" t="str">
        <f>IFERROR(__xludf.DUMMYFUNCTION("""COMPUTED_VALUE"""),"")</f>
        <v/>
      </c>
      <c r="H271" s="4"/>
      <c r="I271" s="5" t="s">
        <v>3473</v>
      </c>
      <c r="J271" s="5" t="s">
        <v>2201</v>
      </c>
      <c r="K271" s="5">
        <v>83.0</v>
      </c>
      <c r="L271" s="5">
        <v>-2.282745</v>
      </c>
      <c r="M271" s="5">
        <v>-0.15631</v>
      </c>
      <c r="N271" s="5">
        <v>-2.439055</v>
      </c>
      <c r="O271" s="5">
        <v>-0.011089</v>
      </c>
    </row>
    <row r="272">
      <c r="A272" s="18" t="str">
        <f>IFERROR(__xludf.DUMMYFUNCTION("""COMPUTED_VALUE"""),"")</f>
        <v/>
      </c>
      <c r="B272" s="19" t="str">
        <f>IFERROR(__xludf.DUMMYFUNCTION("""COMPUTED_VALUE"""),"")</f>
        <v/>
      </c>
      <c r="C272" s="20" t="str">
        <f>IFERROR(__xludf.DUMMYFUNCTION("""COMPUTED_VALUE"""),"")</f>
        <v/>
      </c>
      <c r="D272" s="21" t="str">
        <f>IFERROR(__xludf.DUMMYFUNCTION("""COMPUTED_VALUE"""),"")</f>
        <v/>
      </c>
      <c r="E272" s="21" t="str">
        <f>IFERROR(__xludf.DUMMYFUNCTION("""COMPUTED_VALUE"""),"")</f>
        <v/>
      </c>
      <c r="F272" s="21" t="str">
        <f>IFERROR(__xludf.DUMMYFUNCTION("""COMPUTED_VALUE"""),"")</f>
        <v/>
      </c>
      <c r="G272" s="23" t="str">
        <f>IFERROR(__xludf.DUMMYFUNCTION("""COMPUTED_VALUE"""),"")</f>
        <v/>
      </c>
      <c r="H272" s="4"/>
      <c r="I272" s="5" t="s">
        <v>3474</v>
      </c>
      <c r="J272" s="5" t="s">
        <v>3215</v>
      </c>
      <c r="K272" s="5">
        <v>110.0</v>
      </c>
      <c r="L272" s="5">
        <v>-2.71702</v>
      </c>
      <c r="M272" s="5">
        <v>0.229508</v>
      </c>
      <c r="N272" s="5">
        <v>-2.487513</v>
      </c>
      <c r="O272" s="5">
        <v>-0.016298</v>
      </c>
    </row>
    <row r="273">
      <c r="A273" s="12" t="str">
        <f>IFERROR(__xludf.DUMMYFUNCTION("""COMPUTED_VALUE"""),"")</f>
        <v/>
      </c>
      <c r="B273" s="13" t="str">
        <f>IFERROR(__xludf.DUMMYFUNCTION("""COMPUTED_VALUE"""),"")</f>
        <v/>
      </c>
      <c r="C273" s="14" t="str">
        <f>IFERROR(__xludf.DUMMYFUNCTION("""COMPUTED_VALUE"""),"")</f>
        <v/>
      </c>
      <c r="D273" s="15" t="str">
        <f>IFERROR(__xludf.DUMMYFUNCTION("""COMPUTED_VALUE"""),"")</f>
        <v/>
      </c>
      <c r="E273" s="15" t="str">
        <f>IFERROR(__xludf.DUMMYFUNCTION("""COMPUTED_VALUE"""),"")</f>
        <v/>
      </c>
      <c r="F273" s="15" t="str">
        <f>IFERROR(__xludf.DUMMYFUNCTION("""COMPUTED_VALUE"""),"")</f>
        <v/>
      </c>
      <c r="G273" s="17" t="str">
        <f>IFERROR(__xludf.DUMMYFUNCTION("""COMPUTED_VALUE"""),"")</f>
        <v/>
      </c>
      <c r="H273" s="4"/>
      <c r="I273" s="5" t="s">
        <v>3475</v>
      </c>
      <c r="J273" s="5" t="s">
        <v>3237</v>
      </c>
      <c r="K273" s="5">
        <v>62.0</v>
      </c>
      <c r="L273" s="5">
        <v>-1.737551</v>
      </c>
      <c r="M273" s="5">
        <v>-0.763448</v>
      </c>
      <c r="N273" s="5">
        <v>-2.501</v>
      </c>
      <c r="O273" s="5">
        <v>-0.010446</v>
      </c>
    </row>
    <row r="274">
      <c r="A274" s="18" t="str">
        <f>IFERROR(__xludf.DUMMYFUNCTION("""COMPUTED_VALUE"""),"")</f>
        <v/>
      </c>
      <c r="B274" s="19" t="str">
        <f>IFERROR(__xludf.DUMMYFUNCTION("""COMPUTED_VALUE"""),"")</f>
        <v/>
      </c>
      <c r="C274" s="20" t="str">
        <f>IFERROR(__xludf.DUMMYFUNCTION("""COMPUTED_VALUE"""),"")</f>
        <v/>
      </c>
      <c r="D274" s="21" t="str">
        <f>IFERROR(__xludf.DUMMYFUNCTION("""COMPUTED_VALUE"""),"")</f>
        <v/>
      </c>
      <c r="E274" s="21" t="str">
        <f>IFERROR(__xludf.DUMMYFUNCTION("""COMPUTED_VALUE"""),"")</f>
        <v/>
      </c>
      <c r="F274" s="21" t="str">
        <f>IFERROR(__xludf.DUMMYFUNCTION("""COMPUTED_VALUE"""),"")</f>
        <v/>
      </c>
      <c r="G274" s="23" t="str">
        <f>IFERROR(__xludf.DUMMYFUNCTION("""COMPUTED_VALUE"""),"")</f>
        <v/>
      </c>
      <c r="H274" s="4"/>
      <c r="I274" s="5" t="s">
        <v>3476</v>
      </c>
      <c r="J274" s="5" t="s">
        <v>3226</v>
      </c>
      <c r="K274" s="5">
        <v>342.0</v>
      </c>
      <c r="L274" s="5">
        <v>-2.454833</v>
      </c>
      <c r="M274" s="5">
        <v>-0.066754</v>
      </c>
      <c r="N274" s="5">
        <v>-2.521587</v>
      </c>
      <c r="O274" s="5">
        <v>-0.054463</v>
      </c>
    </row>
    <row r="275">
      <c r="A275" s="12" t="str">
        <f>IFERROR(__xludf.DUMMYFUNCTION("""COMPUTED_VALUE"""),"")</f>
        <v/>
      </c>
      <c r="B275" s="13" t="str">
        <f>IFERROR(__xludf.DUMMYFUNCTION("""COMPUTED_VALUE"""),"")</f>
        <v/>
      </c>
      <c r="C275" s="14" t="str">
        <f>IFERROR(__xludf.DUMMYFUNCTION("""COMPUTED_VALUE"""),"")</f>
        <v/>
      </c>
      <c r="D275" s="15" t="str">
        <f>IFERROR(__xludf.DUMMYFUNCTION("""COMPUTED_VALUE"""),"")</f>
        <v/>
      </c>
      <c r="E275" s="15" t="str">
        <f>IFERROR(__xludf.DUMMYFUNCTION("""COMPUTED_VALUE"""),"")</f>
        <v/>
      </c>
      <c r="F275" s="15" t="str">
        <f>IFERROR(__xludf.DUMMYFUNCTION("""COMPUTED_VALUE"""),"")</f>
        <v/>
      </c>
      <c r="G275" s="17" t="str">
        <f>IFERROR(__xludf.DUMMYFUNCTION("""COMPUTED_VALUE"""),"")</f>
        <v/>
      </c>
      <c r="H275" s="4"/>
      <c r="I275" s="5" t="s">
        <v>3065</v>
      </c>
      <c r="J275" s="5" t="s">
        <v>3281</v>
      </c>
      <c r="K275" s="5">
        <v>307.0</v>
      </c>
      <c r="L275" s="5">
        <v>-3.415105</v>
      </c>
      <c r="M275" s="5">
        <v>0.848347</v>
      </c>
      <c r="N275" s="5">
        <v>-2.566758</v>
      </c>
      <c r="O275" s="5">
        <v>-0.053103</v>
      </c>
    </row>
    <row r="276">
      <c r="A276" s="18" t="str">
        <f>IFERROR(__xludf.DUMMYFUNCTION("""COMPUTED_VALUE"""),"")</f>
        <v/>
      </c>
      <c r="B276" s="19" t="str">
        <f>IFERROR(__xludf.DUMMYFUNCTION("""COMPUTED_VALUE"""),"")</f>
        <v/>
      </c>
      <c r="C276" s="20" t="str">
        <f>IFERROR(__xludf.DUMMYFUNCTION("""COMPUTED_VALUE"""),"")</f>
        <v/>
      </c>
      <c r="D276" s="21" t="str">
        <f>IFERROR(__xludf.DUMMYFUNCTION("""COMPUTED_VALUE"""),"")</f>
        <v/>
      </c>
      <c r="E276" s="21" t="str">
        <f>IFERROR(__xludf.DUMMYFUNCTION("""COMPUTED_VALUE"""),"")</f>
        <v/>
      </c>
      <c r="F276" s="21" t="str">
        <f>IFERROR(__xludf.DUMMYFUNCTION("""COMPUTED_VALUE"""),"")</f>
        <v/>
      </c>
      <c r="G276" s="23" t="str">
        <f>IFERROR(__xludf.DUMMYFUNCTION("""COMPUTED_VALUE"""),"")</f>
        <v/>
      </c>
      <c r="H276" s="4"/>
      <c r="I276" s="5" t="s">
        <v>3477</v>
      </c>
      <c r="J276" s="5" t="s">
        <v>3283</v>
      </c>
      <c r="K276" s="5">
        <v>569.0</v>
      </c>
      <c r="L276" s="5">
        <v>-0.577801</v>
      </c>
      <c r="M276" s="5">
        <v>-1.997607</v>
      </c>
      <c r="N276" s="5">
        <v>-2.575408</v>
      </c>
      <c r="O276" s="5">
        <v>-0.099489</v>
      </c>
    </row>
    <row r="277">
      <c r="A277" s="12" t="str">
        <f>IFERROR(__xludf.DUMMYFUNCTION("""COMPUTED_VALUE"""),"")</f>
        <v/>
      </c>
      <c r="B277" s="13" t="str">
        <f>IFERROR(__xludf.DUMMYFUNCTION("""COMPUTED_VALUE"""),"")</f>
        <v/>
      </c>
      <c r="C277" s="14" t="str">
        <f>IFERROR(__xludf.DUMMYFUNCTION("""COMPUTED_VALUE"""),"")</f>
        <v/>
      </c>
      <c r="D277" s="15" t="str">
        <f>IFERROR(__xludf.DUMMYFUNCTION("""COMPUTED_VALUE"""),"")</f>
        <v/>
      </c>
      <c r="E277" s="15" t="str">
        <f>IFERROR(__xludf.DUMMYFUNCTION("""COMPUTED_VALUE"""),"")</f>
        <v/>
      </c>
      <c r="F277" s="15" t="str">
        <f>IFERROR(__xludf.DUMMYFUNCTION("""COMPUTED_VALUE"""),"")</f>
        <v/>
      </c>
      <c r="G277" s="17" t="str">
        <f>IFERROR(__xludf.DUMMYFUNCTION("""COMPUTED_VALUE"""),"")</f>
        <v/>
      </c>
      <c r="H277" s="4"/>
      <c r="I277" s="5" t="s">
        <v>3478</v>
      </c>
      <c r="J277" s="5" t="s">
        <v>3217</v>
      </c>
      <c r="K277" s="5">
        <v>579.0</v>
      </c>
      <c r="L277" s="5">
        <v>-3.084038</v>
      </c>
      <c r="M277" s="5">
        <v>0.508137</v>
      </c>
      <c r="N277" s="5">
        <v>-2.575901</v>
      </c>
      <c r="O277" s="5">
        <v>-0.100321</v>
      </c>
    </row>
    <row r="278">
      <c r="A278" s="18" t="str">
        <f>IFERROR(__xludf.DUMMYFUNCTION("""COMPUTED_VALUE"""),"")</f>
        <v/>
      </c>
      <c r="B278" s="19" t="str">
        <f>IFERROR(__xludf.DUMMYFUNCTION("""COMPUTED_VALUE"""),"")</f>
        <v/>
      </c>
      <c r="C278" s="20" t="str">
        <f>IFERROR(__xludf.DUMMYFUNCTION("""COMPUTED_VALUE"""),"")</f>
        <v/>
      </c>
      <c r="D278" s="21" t="str">
        <f>IFERROR(__xludf.DUMMYFUNCTION("""COMPUTED_VALUE"""),"")</f>
        <v/>
      </c>
      <c r="E278" s="21" t="str">
        <f>IFERROR(__xludf.DUMMYFUNCTION("""COMPUTED_VALUE"""),"")</f>
        <v/>
      </c>
      <c r="F278" s="21" t="str">
        <f>IFERROR(__xludf.DUMMYFUNCTION("""COMPUTED_VALUE"""),"")</f>
        <v/>
      </c>
      <c r="G278" s="23" t="str">
        <f>IFERROR(__xludf.DUMMYFUNCTION("""COMPUTED_VALUE"""),"")</f>
        <v/>
      </c>
      <c r="H278" s="4"/>
      <c r="I278" s="5" t="s">
        <v>3479</v>
      </c>
      <c r="J278" s="5" t="s">
        <v>3263</v>
      </c>
      <c r="K278" s="5">
        <v>311.0</v>
      </c>
      <c r="L278" s="5">
        <v>-0.881069</v>
      </c>
      <c r="M278" s="5">
        <v>-1.715344</v>
      </c>
      <c r="N278" s="5">
        <v>-2.596413</v>
      </c>
      <c r="O278" s="5">
        <v>-0.055784</v>
      </c>
    </row>
    <row r="279">
      <c r="A279" s="12" t="str">
        <f>IFERROR(__xludf.DUMMYFUNCTION("""COMPUTED_VALUE"""),"")</f>
        <v/>
      </c>
      <c r="B279" s="13" t="str">
        <f>IFERROR(__xludf.DUMMYFUNCTION("""COMPUTED_VALUE"""),"")</f>
        <v/>
      </c>
      <c r="C279" s="14" t="str">
        <f>IFERROR(__xludf.DUMMYFUNCTION("""COMPUTED_VALUE"""),"")</f>
        <v/>
      </c>
      <c r="D279" s="15" t="str">
        <f>IFERROR(__xludf.DUMMYFUNCTION("""COMPUTED_VALUE"""),"")</f>
        <v/>
      </c>
      <c r="E279" s="15" t="str">
        <f>IFERROR(__xludf.DUMMYFUNCTION("""COMPUTED_VALUE"""),"")</f>
        <v/>
      </c>
      <c r="F279" s="15" t="str">
        <f>IFERROR(__xludf.DUMMYFUNCTION("""COMPUTED_VALUE"""),"")</f>
        <v/>
      </c>
      <c r="G279" s="17" t="str">
        <f>IFERROR(__xludf.DUMMYFUNCTION("""COMPUTED_VALUE"""),"")</f>
        <v/>
      </c>
      <c r="H279" s="4"/>
      <c r="I279" s="5" t="s">
        <v>1165</v>
      </c>
      <c r="J279" s="5" t="s">
        <v>3263</v>
      </c>
      <c r="K279" s="5">
        <v>98.0</v>
      </c>
      <c r="L279" s="5">
        <v>-1.183657</v>
      </c>
      <c r="M279" s="5">
        <v>-1.437267</v>
      </c>
      <c r="N279" s="5">
        <v>-2.620925</v>
      </c>
      <c r="O279" s="5">
        <v>-0.018233</v>
      </c>
    </row>
    <row r="280">
      <c r="A280" s="18" t="str">
        <f>IFERROR(__xludf.DUMMYFUNCTION("""COMPUTED_VALUE"""),"")</f>
        <v/>
      </c>
      <c r="B280" s="19" t="str">
        <f>IFERROR(__xludf.DUMMYFUNCTION("""COMPUTED_VALUE"""),"")</f>
        <v/>
      </c>
      <c r="C280" s="20" t="str">
        <f>IFERROR(__xludf.DUMMYFUNCTION("""COMPUTED_VALUE"""),"")</f>
        <v/>
      </c>
      <c r="D280" s="21" t="str">
        <f>IFERROR(__xludf.DUMMYFUNCTION("""COMPUTED_VALUE"""),"")</f>
        <v/>
      </c>
      <c r="E280" s="21" t="str">
        <f>IFERROR(__xludf.DUMMYFUNCTION("""COMPUTED_VALUE"""),"")</f>
        <v/>
      </c>
      <c r="F280" s="21" t="str">
        <f>IFERROR(__xludf.DUMMYFUNCTION("""COMPUTED_VALUE"""),"")</f>
        <v/>
      </c>
      <c r="G280" s="23" t="str">
        <f>IFERROR(__xludf.DUMMYFUNCTION("""COMPUTED_VALUE"""),"")</f>
        <v/>
      </c>
      <c r="H280" s="4"/>
      <c r="I280" s="5" t="s">
        <v>3480</v>
      </c>
      <c r="J280" s="5" t="s">
        <v>3283</v>
      </c>
      <c r="K280" s="5">
        <v>140.0</v>
      </c>
      <c r="L280" s="5">
        <v>-1.6226</v>
      </c>
      <c r="M280" s="5">
        <v>-1.005716</v>
      </c>
      <c r="N280" s="5">
        <v>-2.628315</v>
      </c>
      <c r="O280" s="5">
        <v>-0.026763</v>
      </c>
    </row>
    <row r="281">
      <c r="A281" s="12" t="str">
        <f>IFERROR(__xludf.DUMMYFUNCTION("""COMPUTED_VALUE"""),"")</f>
        <v/>
      </c>
      <c r="B281" s="13" t="str">
        <f>IFERROR(__xludf.DUMMYFUNCTION("""COMPUTED_VALUE"""),"")</f>
        <v/>
      </c>
      <c r="C281" s="14" t="str">
        <f>IFERROR(__xludf.DUMMYFUNCTION("""COMPUTED_VALUE"""),"")</f>
        <v/>
      </c>
      <c r="D281" s="15" t="str">
        <f>IFERROR(__xludf.DUMMYFUNCTION("""COMPUTED_VALUE"""),"")</f>
        <v/>
      </c>
      <c r="E281" s="15" t="str">
        <f>IFERROR(__xludf.DUMMYFUNCTION("""COMPUTED_VALUE"""),"")</f>
        <v/>
      </c>
      <c r="F281" s="15" t="str">
        <f>IFERROR(__xludf.DUMMYFUNCTION("""COMPUTED_VALUE"""),"")</f>
        <v/>
      </c>
      <c r="G281" s="17" t="str">
        <f>IFERROR(__xludf.DUMMYFUNCTION("""COMPUTED_VALUE"""),"")</f>
        <v/>
      </c>
      <c r="H281" s="4"/>
      <c r="I281" s="5" t="s">
        <v>3481</v>
      </c>
      <c r="J281" s="5" t="s">
        <v>3233</v>
      </c>
      <c r="K281" s="5">
        <v>93.0</v>
      </c>
      <c r="L281" s="5">
        <v>-1.530837</v>
      </c>
      <c r="M281" s="5">
        <v>-1.121027</v>
      </c>
      <c r="N281" s="5">
        <v>-2.651864</v>
      </c>
      <c r="O281" s="5">
        <v>-0.01782</v>
      </c>
    </row>
    <row r="282">
      <c r="A282" s="18" t="str">
        <f>IFERROR(__xludf.DUMMYFUNCTION("""COMPUTED_VALUE"""),"")</f>
        <v/>
      </c>
      <c r="B282" s="19" t="str">
        <f>IFERROR(__xludf.DUMMYFUNCTION("""COMPUTED_VALUE"""),"")</f>
        <v/>
      </c>
      <c r="C282" s="20" t="str">
        <f>IFERROR(__xludf.DUMMYFUNCTION("""COMPUTED_VALUE"""),"")</f>
        <v/>
      </c>
      <c r="D282" s="21" t="str">
        <f>IFERROR(__xludf.DUMMYFUNCTION("""COMPUTED_VALUE"""),"")</f>
        <v/>
      </c>
      <c r="E282" s="21" t="str">
        <f>IFERROR(__xludf.DUMMYFUNCTION("""COMPUTED_VALUE"""),"")</f>
        <v/>
      </c>
      <c r="F282" s="21" t="str">
        <f>IFERROR(__xludf.DUMMYFUNCTION("""COMPUTED_VALUE"""),"")</f>
        <v/>
      </c>
      <c r="G282" s="23" t="str">
        <f>IFERROR(__xludf.DUMMYFUNCTION("""COMPUTED_VALUE"""),"")</f>
        <v/>
      </c>
      <c r="H282" s="4"/>
      <c r="I282" s="5" t="s">
        <v>930</v>
      </c>
      <c r="J282" s="5" t="s">
        <v>3256</v>
      </c>
      <c r="K282" s="5">
        <v>419.0</v>
      </c>
      <c r="L282" s="5">
        <v>-4.45482</v>
      </c>
      <c r="M282" s="5">
        <v>1.764793</v>
      </c>
      <c r="N282" s="5">
        <v>-2.690027</v>
      </c>
      <c r="O282" s="5">
        <v>-0.087771</v>
      </c>
    </row>
    <row r="283">
      <c r="A283" s="12" t="str">
        <f>IFERROR(__xludf.DUMMYFUNCTION("""COMPUTED_VALUE"""),"")</f>
        <v/>
      </c>
      <c r="B283" s="13" t="str">
        <f>IFERROR(__xludf.DUMMYFUNCTION("""COMPUTED_VALUE"""),"")</f>
        <v/>
      </c>
      <c r="C283" s="14" t="str">
        <f>IFERROR(__xludf.DUMMYFUNCTION("""COMPUTED_VALUE"""),"")</f>
        <v/>
      </c>
      <c r="D283" s="15" t="str">
        <f>IFERROR(__xludf.DUMMYFUNCTION("""COMPUTED_VALUE"""),"")</f>
        <v/>
      </c>
      <c r="E283" s="15" t="str">
        <f>IFERROR(__xludf.DUMMYFUNCTION("""COMPUTED_VALUE"""),"")</f>
        <v/>
      </c>
      <c r="F283" s="15" t="str">
        <f>IFERROR(__xludf.DUMMYFUNCTION("""COMPUTED_VALUE"""),"")</f>
        <v/>
      </c>
      <c r="G283" s="17" t="str">
        <f>IFERROR(__xludf.DUMMYFUNCTION("""COMPUTED_VALUE"""),"")</f>
        <v/>
      </c>
      <c r="H283" s="4"/>
      <c r="I283" s="5" t="s">
        <v>3482</v>
      </c>
      <c r="J283" s="5" t="s">
        <v>3278</v>
      </c>
      <c r="K283" s="5">
        <v>185.0</v>
      </c>
      <c r="L283" s="5">
        <v>-0.482759</v>
      </c>
      <c r="M283" s="5">
        <v>-2.273796</v>
      </c>
      <c r="N283" s="5">
        <v>-2.756556</v>
      </c>
      <c r="O283" s="5">
        <v>-0.042222</v>
      </c>
    </row>
    <row r="284">
      <c r="A284" s="18" t="str">
        <f>IFERROR(__xludf.DUMMYFUNCTION("""COMPUTED_VALUE"""),"")</f>
        <v/>
      </c>
      <c r="B284" s="19" t="str">
        <f>IFERROR(__xludf.DUMMYFUNCTION("""COMPUTED_VALUE"""),"")</f>
        <v/>
      </c>
      <c r="C284" s="20" t="str">
        <f>IFERROR(__xludf.DUMMYFUNCTION("""COMPUTED_VALUE"""),"")</f>
        <v/>
      </c>
      <c r="D284" s="21" t="str">
        <f>IFERROR(__xludf.DUMMYFUNCTION("""COMPUTED_VALUE"""),"")</f>
        <v/>
      </c>
      <c r="E284" s="21" t="str">
        <f>IFERROR(__xludf.DUMMYFUNCTION("""COMPUTED_VALUE"""),"")</f>
        <v/>
      </c>
      <c r="F284" s="21" t="str">
        <f>IFERROR(__xludf.DUMMYFUNCTION("""COMPUTED_VALUE"""),"")</f>
        <v/>
      </c>
      <c r="G284" s="23" t="str">
        <f>IFERROR(__xludf.DUMMYFUNCTION("""COMPUTED_VALUE"""),"")</f>
        <v/>
      </c>
      <c r="H284" s="4"/>
      <c r="I284" s="5" t="s">
        <v>3483</v>
      </c>
      <c r="J284" s="5" t="s">
        <v>3263</v>
      </c>
      <c r="K284" s="24">
        <v>183.0</v>
      </c>
      <c r="L284" s="5">
        <v>-2.157038</v>
      </c>
      <c r="M284" s="5">
        <v>-0.609595</v>
      </c>
      <c r="N284" s="5">
        <v>-2.766632</v>
      </c>
      <c r="O284" s="5">
        <v>-0.042189</v>
      </c>
    </row>
    <row r="285">
      <c r="A285" s="12" t="str">
        <f>IFERROR(__xludf.DUMMYFUNCTION("""COMPUTED_VALUE"""),"")</f>
        <v/>
      </c>
      <c r="B285" s="13" t="str">
        <f>IFERROR(__xludf.DUMMYFUNCTION("""COMPUTED_VALUE"""),"")</f>
        <v/>
      </c>
      <c r="C285" s="14" t="str">
        <f>IFERROR(__xludf.DUMMYFUNCTION("""COMPUTED_VALUE"""),"")</f>
        <v/>
      </c>
      <c r="D285" s="15" t="str">
        <f>IFERROR(__xludf.DUMMYFUNCTION("""COMPUTED_VALUE"""),"")</f>
        <v/>
      </c>
      <c r="E285" s="15" t="str">
        <f>IFERROR(__xludf.DUMMYFUNCTION("""COMPUTED_VALUE"""),"")</f>
        <v/>
      </c>
      <c r="F285" s="15" t="str">
        <f>IFERROR(__xludf.DUMMYFUNCTION("""COMPUTED_VALUE"""),"")</f>
        <v/>
      </c>
      <c r="G285" s="17" t="str">
        <f>IFERROR(__xludf.DUMMYFUNCTION("""COMPUTED_VALUE"""),"")</f>
        <v/>
      </c>
      <c r="H285" s="4"/>
      <c r="I285" s="5" t="s">
        <v>3484</v>
      </c>
      <c r="J285" s="5" t="s">
        <v>3233</v>
      </c>
      <c r="K285" s="5">
        <v>271.0</v>
      </c>
      <c r="L285" s="5">
        <v>-1.61059</v>
      </c>
      <c r="M285" s="5">
        <v>-1.225871</v>
      </c>
      <c r="N285" s="5">
        <v>-2.836461</v>
      </c>
      <c r="O285" s="5">
        <v>-0.066893</v>
      </c>
    </row>
    <row r="286">
      <c r="A286" s="18" t="str">
        <f>IFERROR(__xludf.DUMMYFUNCTION("""COMPUTED_VALUE"""),"")</f>
        <v/>
      </c>
      <c r="B286" s="19" t="str">
        <f>IFERROR(__xludf.DUMMYFUNCTION("""COMPUTED_VALUE"""),"")</f>
        <v/>
      </c>
      <c r="C286" s="20" t="str">
        <f>IFERROR(__xludf.DUMMYFUNCTION("""COMPUTED_VALUE"""),"")</f>
        <v/>
      </c>
      <c r="D286" s="21" t="str">
        <f>IFERROR(__xludf.DUMMYFUNCTION("""COMPUTED_VALUE"""),"")</f>
        <v/>
      </c>
      <c r="E286" s="21" t="str">
        <f>IFERROR(__xludf.DUMMYFUNCTION("""COMPUTED_VALUE"""),"")</f>
        <v/>
      </c>
      <c r="F286" s="21" t="str">
        <f>IFERROR(__xludf.DUMMYFUNCTION("""COMPUTED_VALUE"""),"")</f>
        <v/>
      </c>
      <c r="G286" s="23" t="str">
        <f>IFERROR(__xludf.DUMMYFUNCTION("""COMPUTED_VALUE"""),"")</f>
        <v/>
      </c>
      <c r="H286" s="4"/>
      <c r="I286" s="5" t="s">
        <v>3485</v>
      </c>
      <c r="J286" s="5" t="s">
        <v>3256</v>
      </c>
      <c r="K286" s="5">
        <v>317.0</v>
      </c>
      <c r="L286" s="5">
        <v>-2.180145</v>
      </c>
      <c r="M286" s="5">
        <v>-0.722607</v>
      </c>
      <c r="N286" s="5">
        <v>-2.902752</v>
      </c>
      <c r="O286" s="5">
        <v>-0.086773</v>
      </c>
    </row>
    <row r="287">
      <c r="A287" s="12" t="str">
        <f>IFERROR(__xludf.DUMMYFUNCTION("""COMPUTED_VALUE"""),"")</f>
        <v/>
      </c>
      <c r="B287" s="13" t="str">
        <f>IFERROR(__xludf.DUMMYFUNCTION("""COMPUTED_VALUE"""),"")</f>
        <v/>
      </c>
      <c r="C287" s="14" t="str">
        <f>IFERROR(__xludf.DUMMYFUNCTION("""COMPUTED_VALUE"""),"")</f>
        <v/>
      </c>
      <c r="D287" s="15" t="str">
        <f>IFERROR(__xludf.DUMMYFUNCTION("""COMPUTED_VALUE"""),"")</f>
        <v/>
      </c>
      <c r="E287" s="15" t="str">
        <f>IFERROR(__xludf.DUMMYFUNCTION("""COMPUTED_VALUE"""),"")</f>
        <v/>
      </c>
      <c r="F287" s="15" t="str">
        <f>IFERROR(__xludf.DUMMYFUNCTION("""COMPUTED_VALUE"""),"")</f>
        <v/>
      </c>
      <c r="G287" s="17" t="str">
        <f>IFERROR(__xludf.DUMMYFUNCTION("""COMPUTED_VALUE"""),"")</f>
        <v/>
      </c>
      <c r="H287" s="4"/>
      <c r="I287" s="5" t="s">
        <v>3486</v>
      </c>
      <c r="J287" s="5" t="s">
        <v>3283</v>
      </c>
      <c r="K287" s="5">
        <v>92.0</v>
      </c>
      <c r="L287" s="5">
        <v>-2.150085</v>
      </c>
      <c r="M287" s="5">
        <v>-0.775334</v>
      </c>
      <c r="N287" s="5">
        <v>-2.925418</v>
      </c>
      <c r="O287" s="5">
        <v>-0.025726</v>
      </c>
    </row>
    <row r="288">
      <c r="A288" s="18" t="str">
        <f>IFERROR(__xludf.DUMMYFUNCTION("""COMPUTED_VALUE"""),"")</f>
        <v/>
      </c>
      <c r="B288" s="19" t="str">
        <f>IFERROR(__xludf.DUMMYFUNCTION("""COMPUTED_VALUE"""),"")</f>
        <v/>
      </c>
      <c r="C288" s="20" t="str">
        <f>IFERROR(__xludf.DUMMYFUNCTION("""COMPUTED_VALUE"""),"")</f>
        <v/>
      </c>
      <c r="D288" s="21" t="str">
        <f>IFERROR(__xludf.DUMMYFUNCTION("""COMPUTED_VALUE"""),"")</f>
        <v/>
      </c>
      <c r="E288" s="21" t="str">
        <f>IFERROR(__xludf.DUMMYFUNCTION("""COMPUTED_VALUE"""),"")</f>
        <v/>
      </c>
      <c r="F288" s="21" t="str">
        <f>IFERROR(__xludf.DUMMYFUNCTION("""COMPUTED_VALUE"""),"")</f>
        <v/>
      </c>
      <c r="G288" s="23" t="str">
        <f>IFERROR(__xludf.DUMMYFUNCTION("""COMPUTED_VALUE"""),"")</f>
        <v/>
      </c>
      <c r="H288" s="4"/>
      <c r="I288" s="5" t="s">
        <v>3487</v>
      </c>
      <c r="J288" s="5" t="s">
        <v>3240</v>
      </c>
      <c r="K288" s="5">
        <v>245.0</v>
      </c>
      <c r="L288" s="5">
        <v>-2.728893</v>
      </c>
      <c r="M288" s="5">
        <v>-0.227601</v>
      </c>
      <c r="N288" s="5">
        <v>-2.956494</v>
      </c>
      <c r="O288" s="5">
        <v>-0.071373</v>
      </c>
    </row>
    <row r="289">
      <c r="A289" s="12" t="str">
        <f>IFERROR(__xludf.DUMMYFUNCTION("""COMPUTED_VALUE"""),"")</f>
        <v/>
      </c>
      <c r="B289" s="13" t="str">
        <f>IFERROR(__xludf.DUMMYFUNCTION("""COMPUTED_VALUE"""),"")</f>
        <v/>
      </c>
      <c r="C289" s="14" t="str">
        <f>IFERROR(__xludf.DUMMYFUNCTION("""COMPUTED_VALUE"""),"")</f>
        <v/>
      </c>
      <c r="D289" s="15" t="str">
        <f>IFERROR(__xludf.DUMMYFUNCTION("""COMPUTED_VALUE"""),"")</f>
        <v/>
      </c>
      <c r="E289" s="15" t="str">
        <f>IFERROR(__xludf.DUMMYFUNCTION("""COMPUTED_VALUE"""),"")</f>
        <v/>
      </c>
      <c r="F289" s="15" t="str">
        <f>IFERROR(__xludf.DUMMYFUNCTION("""COMPUTED_VALUE"""),"")</f>
        <v/>
      </c>
      <c r="G289" s="17" t="str">
        <f>IFERROR(__xludf.DUMMYFUNCTION("""COMPUTED_VALUE"""),"")</f>
        <v/>
      </c>
      <c r="H289" s="4"/>
      <c r="I289" s="5" t="s">
        <v>3488</v>
      </c>
      <c r="J289" s="5" t="s">
        <v>3223</v>
      </c>
      <c r="K289" s="5">
        <v>157.0</v>
      </c>
      <c r="L289" s="5">
        <v>-1.91862</v>
      </c>
      <c r="M289" s="5">
        <v>-1.039035</v>
      </c>
      <c r="N289" s="5">
        <v>-2.957655</v>
      </c>
      <c r="O289" s="5">
        <v>-0.045549</v>
      </c>
    </row>
    <row r="290">
      <c r="A290" s="18" t="str">
        <f>IFERROR(__xludf.DUMMYFUNCTION("""COMPUTED_VALUE"""),"")</f>
        <v/>
      </c>
      <c r="B290" s="19" t="str">
        <f>IFERROR(__xludf.DUMMYFUNCTION("""COMPUTED_VALUE"""),"")</f>
        <v/>
      </c>
      <c r="C290" s="20" t="str">
        <f>IFERROR(__xludf.DUMMYFUNCTION("""COMPUTED_VALUE"""),"")</f>
        <v/>
      </c>
      <c r="D290" s="21" t="str">
        <f>IFERROR(__xludf.DUMMYFUNCTION("""COMPUTED_VALUE"""),"")</f>
        <v/>
      </c>
      <c r="E290" s="21" t="str">
        <f>IFERROR(__xludf.DUMMYFUNCTION("""COMPUTED_VALUE"""),"")</f>
        <v/>
      </c>
      <c r="F290" s="21" t="str">
        <f>IFERROR(__xludf.DUMMYFUNCTION("""COMPUTED_VALUE"""),"")</f>
        <v/>
      </c>
      <c r="G290" s="23" t="str">
        <f>IFERROR(__xludf.DUMMYFUNCTION("""COMPUTED_VALUE"""),"")</f>
        <v/>
      </c>
      <c r="H290" s="4"/>
      <c r="I290" s="5" t="s">
        <v>3489</v>
      </c>
      <c r="J290" s="5" t="s">
        <v>3215</v>
      </c>
      <c r="K290" s="5">
        <v>117.0</v>
      </c>
      <c r="L290" s="5">
        <v>-0.952545</v>
      </c>
      <c r="M290" s="5">
        <v>-2.006973</v>
      </c>
      <c r="N290" s="5">
        <v>-2.959518</v>
      </c>
      <c r="O290" s="5">
        <v>-0.034176</v>
      </c>
    </row>
    <row r="291">
      <c r="A291" s="12" t="str">
        <f>IFERROR(__xludf.DUMMYFUNCTION("""COMPUTED_VALUE"""),"")</f>
        <v/>
      </c>
      <c r="B291" s="13" t="str">
        <f>IFERROR(__xludf.DUMMYFUNCTION("""COMPUTED_VALUE"""),"")</f>
        <v/>
      </c>
      <c r="C291" s="14" t="str">
        <f>IFERROR(__xludf.DUMMYFUNCTION("""COMPUTED_VALUE"""),"")</f>
        <v/>
      </c>
      <c r="D291" s="15" t="str">
        <f>IFERROR(__xludf.DUMMYFUNCTION("""COMPUTED_VALUE"""),"")</f>
        <v/>
      </c>
      <c r="E291" s="15" t="str">
        <f>IFERROR(__xludf.DUMMYFUNCTION("""COMPUTED_VALUE"""),"")</f>
        <v/>
      </c>
      <c r="F291" s="15" t="str">
        <f>IFERROR(__xludf.DUMMYFUNCTION("""COMPUTED_VALUE"""),"")</f>
        <v/>
      </c>
      <c r="G291" s="17" t="str">
        <f>IFERROR(__xludf.DUMMYFUNCTION("""COMPUTED_VALUE"""),"")</f>
        <v/>
      </c>
      <c r="H291" s="4"/>
      <c r="I291" s="5" t="s">
        <v>1169</v>
      </c>
      <c r="J291" s="5" t="s">
        <v>3215</v>
      </c>
      <c r="K291" s="5">
        <v>848.0</v>
      </c>
      <c r="L291" s="5">
        <v>0.091624</v>
      </c>
      <c r="M291" s="5">
        <v>-3.065669</v>
      </c>
      <c r="N291" s="5">
        <v>-2.974045</v>
      </c>
      <c r="O291" s="5">
        <v>-0.250839</v>
      </c>
    </row>
    <row r="292">
      <c r="A292" s="18" t="str">
        <f>IFERROR(__xludf.DUMMYFUNCTION("""COMPUTED_VALUE"""),"")</f>
        <v/>
      </c>
      <c r="B292" s="19" t="str">
        <f>IFERROR(__xludf.DUMMYFUNCTION("""COMPUTED_VALUE"""),"")</f>
        <v/>
      </c>
      <c r="C292" s="20" t="str">
        <f>IFERROR(__xludf.DUMMYFUNCTION("""COMPUTED_VALUE"""),"")</f>
        <v/>
      </c>
      <c r="D292" s="21" t="str">
        <f>IFERROR(__xludf.DUMMYFUNCTION("""COMPUTED_VALUE"""),"")</f>
        <v/>
      </c>
      <c r="E292" s="21" t="str">
        <f>IFERROR(__xludf.DUMMYFUNCTION("""COMPUTED_VALUE"""),"")</f>
        <v/>
      </c>
      <c r="F292" s="21" t="str">
        <f>IFERROR(__xludf.DUMMYFUNCTION("""COMPUTED_VALUE"""),"")</f>
        <v/>
      </c>
      <c r="G292" s="23" t="str">
        <f>IFERROR(__xludf.DUMMYFUNCTION("""COMPUTED_VALUE"""),"")</f>
        <v/>
      </c>
      <c r="H292" s="4"/>
      <c r="I292" s="5" t="s">
        <v>3490</v>
      </c>
      <c r="J292" s="5" t="s">
        <v>3205</v>
      </c>
      <c r="K292" s="5">
        <v>185.0</v>
      </c>
      <c r="L292" s="5">
        <v>-1.609941</v>
      </c>
      <c r="M292" s="5">
        <v>-1.36459</v>
      </c>
      <c r="N292" s="5">
        <v>-2.974531</v>
      </c>
      <c r="O292" s="5">
        <v>-0.054713</v>
      </c>
    </row>
    <row r="293">
      <c r="A293" s="12" t="str">
        <f>IFERROR(__xludf.DUMMYFUNCTION("""COMPUTED_VALUE"""),"")</f>
        <v/>
      </c>
      <c r="B293" s="13" t="str">
        <f>IFERROR(__xludf.DUMMYFUNCTION("""COMPUTED_VALUE"""),"")</f>
        <v/>
      </c>
      <c r="C293" s="14" t="str">
        <f>IFERROR(__xludf.DUMMYFUNCTION("""COMPUTED_VALUE"""),"")</f>
        <v/>
      </c>
      <c r="D293" s="15" t="str">
        <f>IFERROR(__xludf.DUMMYFUNCTION("""COMPUTED_VALUE"""),"")</f>
        <v/>
      </c>
      <c r="E293" s="15" t="str">
        <f>IFERROR(__xludf.DUMMYFUNCTION("""COMPUTED_VALUE"""),"")</f>
        <v/>
      </c>
      <c r="F293" s="15" t="str">
        <f>IFERROR(__xludf.DUMMYFUNCTION("""COMPUTED_VALUE"""),"")</f>
        <v/>
      </c>
      <c r="G293" s="17" t="str">
        <f>IFERROR(__xludf.DUMMYFUNCTION("""COMPUTED_VALUE"""),"")</f>
        <v/>
      </c>
      <c r="H293" s="4"/>
      <c r="I293" s="5" t="s">
        <v>3491</v>
      </c>
      <c r="J293" s="5" t="s">
        <v>644</v>
      </c>
      <c r="K293" s="5">
        <v>553.0</v>
      </c>
      <c r="L293" s="5">
        <v>-1.642326</v>
      </c>
      <c r="M293" s="5">
        <v>-1.336164</v>
      </c>
      <c r="N293" s="5">
        <v>-2.97849</v>
      </c>
      <c r="O293" s="5">
        <v>-0.164152</v>
      </c>
    </row>
    <row r="294">
      <c r="A294" s="18" t="str">
        <f>IFERROR(__xludf.DUMMYFUNCTION("""COMPUTED_VALUE"""),"")</f>
        <v/>
      </c>
      <c r="B294" s="19" t="str">
        <f>IFERROR(__xludf.DUMMYFUNCTION("""COMPUTED_VALUE"""),"")</f>
        <v/>
      </c>
      <c r="C294" s="20" t="str">
        <f>IFERROR(__xludf.DUMMYFUNCTION("""COMPUTED_VALUE"""),"")</f>
        <v/>
      </c>
      <c r="D294" s="21" t="str">
        <f>IFERROR(__xludf.DUMMYFUNCTION("""COMPUTED_VALUE"""),"")</f>
        <v/>
      </c>
      <c r="E294" s="21" t="str">
        <f>IFERROR(__xludf.DUMMYFUNCTION("""COMPUTED_VALUE"""),"")</f>
        <v/>
      </c>
      <c r="F294" s="21" t="str">
        <f>IFERROR(__xludf.DUMMYFUNCTION("""COMPUTED_VALUE"""),"")</f>
        <v/>
      </c>
      <c r="G294" s="23" t="str">
        <f>IFERROR(__xludf.DUMMYFUNCTION("""COMPUTED_VALUE"""),"")</f>
        <v/>
      </c>
      <c r="H294" s="4"/>
      <c r="I294" s="5" t="s">
        <v>3492</v>
      </c>
      <c r="J294" s="5" t="s">
        <v>3212</v>
      </c>
      <c r="K294" s="5">
        <v>233.0</v>
      </c>
      <c r="L294" s="5">
        <v>-2.882479</v>
      </c>
      <c r="M294" s="5">
        <v>-0.100439</v>
      </c>
      <c r="N294" s="5">
        <v>-2.982918</v>
      </c>
      <c r="O294" s="5">
        <v>-0.069531</v>
      </c>
    </row>
    <row r="295">
      <c r="A295" s="12" t="str">
        <f>IFERROR(__xludf.DUMMYFUNCTION("""COMPUTED_VALUE"""),"")</f>
        <v/>
      </c>
      <c r="B295" s="13" t="str">
        <f>IFERROR(__xludf.DUMMYFUNCTION("""COMPUTED_VALUE"""),"")</f>
        <v/>
      </c>
      <c r="C295" s="14" t="str">
        <f>IFERROR(__xludf.DUMMYFUNCTION("""COMPUTED_VALUE"""),"")</f>
        <v/>
      </c>
      <c r="D295" s="15" t="str">
        <f>IFERROR(__xludf.DUMMYFUNCTION("""COMPUTED_VALUE"""),"")</f>
        <v/>
      </c>
      <c r="E295" s="15" t="str">
        <f>IFERROR(__xludf.DUMMYFUNCTION("""COMPUTED_VALUE"""),"")</f>
        <v/>
      </c>
      <c r="F295" s="15" t="str">
        <f>IFERROR(__xludf.DUMMYFUNCTION("""COMPUTED_VALUE"""),"")</f>
        <v/>
      </c>
      <c r="G295" s="17" t="str">
        <f>IFERROR(__xludf.DUMMYFUNCTION("""COMPUTED_VALUE"""),"")</f>
        <v/>
      </c>
      <c r="H295" s="4"/>
      <c r="I295" s="5" t="s">
        <v>3493</v>
      </c>
      <c r="J295" s="5" t="s">
        <v>3263</v>
      </c>
      <c r="K295" s="5">
        <v>99.0</v>
      </c>
      <c r="L295" s="5">
        <v>-2.838442</v>
      </c>
      <c r="M295" s="5">
        <v>-0.217971</v>
      </c>
      <c r="N295" s="5">
        <v>-3.056414</v>
      </c>
      <c r="O295" s="5">
        <v>-0.031434</v>
      </c>
    </row>
    <row r="296">
      <c r="A296" s="18" t="str">
        <f>IFERROR(__xludf.DUMMYFUNCTION("""COMPUTED_VALUE"""),"")</f>
        <v/>
      </c>
      <c r="B296" s="19" t="str">
        <f>IFERROR(__xludf.DUMMYFUNCTION("""COMPUTED_VALUE"""),"")</f>
        <v/>
      </c>
      <c r="C296" s="20" t="str">
        <f>IFERROR(__xludf.DUMMYFUNCTION("""COMPUTED_VALUE"""),"")</f>
        <v/>
      </c>
      <c r="D296" s="21" t="str">
        <f>IFERROR(__xludf.DUMMYFUNCTION("""COMPUTED_VALUE"""),"")</f>
        <v/>
      </c>
      <c r="E296" s="21" t="str">
        <f>IFERROR(__xludf.DUMMYFUNCTION("""COMPUTED_VALUE"""),"")</f>
        <v/>
      </c>
      <c r="F296" s="21" t="str">
        <f>IFERROR(__xludf.DUMMYFUNCTION("""COMPUTED_VALUE"""),"")</f>
        <v/>
      </c>
      <c r="G296" s="23" t="str">
        <f>IFERROR(__xludf.DUMMYFUNCTION("""COMPUTED_VALUE"""),"")</f>
        <v/>
      </c>
      <c r="H296" s="4"/>
      <c r="I296" s="5" t="s">
        <v>3494</v>
      </c>
      <c r="J296" s="5" t="s">
        <v>644</v>
      </c>
      <c r="K296" s="5">
        <v>632.0</v>
      </c>
      <c r="L296" s="5">
        <v>-0.666056</v>
      </c>
      <c r="M296" s="5">
        <v>-2.404779</v>
      </c>
      <c r="N296" s="5">
        <v>-3.070835</v>
      </c>
      <c r="O296" s="5">
        <v>-0.205326</v>
      </c>
    </row>
    <row r="297">
      <c r="A297" s="12" t="str">
        <f>IFERROR(__xludf.DUMMYFUNCTION("""COMPUTED_VALUE"""),"")</f>
        <v/>
      </c>
      <c r="B297" s="13" t="str">
        <f>IFERROR(__xludf.DUMMYFUNCTION("""COMPUTED_VALUE"""),"")</f>
        <v/>
      </c>
      <c r="C297" s="14" t="str">
        <f>IFERROR(__xludf.DUMMYFUNCTION("""COMPUTED_VALUE"""),"")</f>
        <v/>
      </c>
      <c r="D297" s="15" t="str">
        <f>IFERROR(__xludf.DUMMYFUNCTION("""COMPUTED_VALUE"""),"")</f>
        <v/>
      </c>
      <c r="E297" s="15" t="str">
        <f>IFERROR(__xludf.DUMMYFUNCTION("""COMPUTED_VALUE"""),"")</f>
        <v/>
      </c>
      <c r="F297" s="15" t="str">
        <f>IFERROR(__xludf.DUMMYFUNCTION("""COMPUTED_VALUE"""),"")</f>
        <v/>
      </c>
      <c r="G297" s="17" t="str">
        <f>IFERROR(__xludf.DUMMYFUNCTION("""COMPUTED_VALUE"""),"")</f>
        <v/>
      </c>
      <c r="H297" s="4"/>
      <c r="I297" s="5" t="s">
        <v>3495</v>
      </c>
      <c r="J297" s="5" t="s">
        <v>3331</v>
      </c>
      <c r="K297" s="5">
        <v>491.0</v>
      </c>
      <c r="L297" s="5">
        <v>-0.030979</v>
      </c>
      <c r="M297" s="5">
        <v>-3.041282</v>
      </c>
      <c r="N297" s="5">
        <v>-3.072261</v>
      </c>
      <c r="O297" s="5">
        <v>-0.159663</v>
      </c>
    </row>
    <row r="298">
      <c r="A298" s="18" t="str">
        <f>IFERROR(__xludf.DUMMYFUNCTION("""COMPUTED_VALUE"""),"")</f>
        <v/>
      </c>
      <c r="B298" s="19" t="str">
        <f>IFERROR(__xludf.DUMMYFUNCTION("""COMPUTED_VALUE"""),"")</f>
        <v/>
      </c>
      <c r="C298" s="20" t="str">
        <f>IFERROR(__xludf.DUMMYFUNCTION("""COMPUTED_VALUE"""),"")</f>
        <v/>
      </c>
      <c r="D298" s="21" t="str">
        <f>IFERROR(__xludf.DUMMYFUNCTION("""COMPUTED_VALUE"""),"")</f>
        <v/>
      </c>
      <c r="E298" s="21" t="str">
        <f>IFERROR(__xludf.DUMMYFUNCTION("""COMPUTED_VALUE"""),"")</f>
        <v/>
      </c>
      <c r="F298" s="21" t="str">
        <f>IFERROR(__xludf.DUMMYFUNCTION("""COMPUTED_VALUE"""),"")</f>
        <v/>
      </c>
      <c r="G298" s="23" t="str">
        <f>IFERROR(__xludf.DUMMYFUNCTION("""COMPUTED_VALUE"""),"")</f>
        <v/>
      </c>
      <c r="H298" s="4"/>
      <c r="I298" s="5" t="s">
        <v>3496</v>
      </c>
      <c r="J298" s="5" t="s">
        <v>3233</v>
      </c>
      <c r="K298" s="5">
        <v>253.0</v>
      </c>
      <c r="L298" s="5">
        <v>-2.647115</v>
      </c>
      <c r="M298" s="5">
        <v>-0.42775</v>
      </c>
      <c r="N298" s="5">
        <v>-3.074865</v>
      </c>
      <c r="O298" s="5">
        <v>-0.080464</v>
      </c>
    </row>
    <row r="299">
      <c r="A299" s="12" t="str">
        <f>IFERROR(__xludf.DUMMYFUNCTION("""COMPUTED_VALUE"""),"")</f>
        <v/>
      </c>
      <c r="B299" s="13" t="str">
        <f>IFERROR(__xludf.DUMMYFUNCTION("""COMPUTED_VALUE"""),"")</f>
        <v/>
      </c>
      <c r="C299" s="14" t="str">
        <f>IFERROR(__xludf.DUMMYFUNCTION("""COMPUTED_VALUE"""),"")</f>
        <v/>
      </c>
      <c r="D299" s="15" t="str">
        <f>IFERROR(__xludf.DUMMYFUNCTION("""COMPUTED_VALUE"""),"")</f>
        <v/>
      </c>
      <c r="E299" s="15" t="str">
        <f>IFERROR(__xludf.DUMMYFUNCTION("""COMPUTED_VALUE"""),"")</f>
        <v/>
      </c>
      <c r="F299" s="15" t="str">
        <f>IFERROR(__xludf.DUMMYFUNCTION("""COMPUTED_VALUE"""),"")</f>
        <v/>
      </c>
      <c r="G299" s="17" t="str">
        <f>IFERROR(__xludf.DUMMYFUNCTION("""COMPUTED_VALUE"""),"")</f>
        <v/>
      </c>
      <c r="H299" s="4"/>
      <c r="I299" s="5" t="s">
        <v>3497</v>
      </c>
      <c r="J299" s="5" t="s">
        <v>3233</v>
      </c>
      <c r="K299" s="5">
        <v>532.0</v>
      </c>
      <c r="L299" s="5">
        <v>-1.735362</v>
      </c>
      <c r="M299" s="5">
        <v>-1.367195</v>
      </c>
      <c r="N299" s="5">
        <v>-3.102558</v>
      </c>
      <c r="O299" s="5">
        <v>-0.173447</v>
      </c>
    </row>
    <row r="300">
      <c r="A300" s="18" t="str">
        <f>IFERROR(__xludf.DUMMYFUNCTION("""COMPUTED_VALUE"""),"")</f>
        <v/>
      </c>
      <c r="B300" s="19" t="str">
        <f>IFERROR(__xludf.DUMMYFUNCTION("""COMPUTED_VALUE"""),"")</f>
        <v/>
      </c>
      <c r="C300" s="20" t="str">
        <f>IFERROR(__xludf.DUMMYFUNCTION("""COMPUTED_VALUE"""),"")</f>
        <v/>
      </c>
      <c r="D300" s="21" t="str">
        <f>IFERROR(__xludf.DUMMYFUNCTION("""COMPUTED_VALUE"""),"")</f>
        <v/>
      </c>
      <c r="E300" s="21" t="str">
        <f>IFERROR(__xludf.DUMMYFUNCTION("""COMPUTED_VALUE"""),"")</f>
        <v/>
      </c>
      <c r="F300" s="21" t="str">
        <f>IFERROR(__xludf.DUMMYFUNCTION("""COMPUTED_VALUE"""),"")</f>
        <v/>
      </c>
      <c r="G300" s="23" t="str">
        <f>IFERROR(__xludf.DUMMYFUNCTION("""COMPUTED_VALUE"""),"")</f>
        <v/>
      </c>
      <c r="H300" s="4"/>
      <c r="I300" s="5" t="s">
        <v>3498</v>
      </c>
      <c r="J300" s="5" t="s">
        <v>3281</v>
      </c>
      <c r="K300" s="5">
        <v>295.0</v>
      </c>
      <c r="L300" s="5">
        <v>-3.246133</v>
      </c>
      <c r="M300" s="5">
        <v>0.120674</v>
      </c>
      <c r="N300" s="5">
        <v>-3.125459</v>
      </c>
      <c r="O300" s="5">
        <v>-0.101127</v>
      </c>
    </row>
    <row r="301">
      <c r="A301" s="12" t="str">
        <f>IFERROR(__xludf.DUMMYFUNCTION("""COMPUTED_VALUE"""),"")</f>
        <v/>
      </c>
      <c r="B301" s="13" t="str">
        <f>IFERROR(__xludf.DUMMYFUNCTION("""COMPUTED_VALUE"""),"")</f>
        <v/>
      </c>
      <c r="C301" s="14" t="str">
        <f>IFERROR(__xludf.DUMMYFUNCTION("""COMPUTED_VALUE"""),"")</f>
        <v/>
      </c>
      <c r="D301" s="15" t="str">
        <f>IFERROR(__xludf.DUMMYFUNCTION("""COMPUTED_VALUE"""),"")</f>
        <v/>
      </c>
      <c r="E301" s="15" t="str">
        <f>IFERROR(__xludf.DUMMYFUNCTION("""COMPUTED_VALUE"""),"")</f>
        <v/>
      </c>
      <c r="F301" s="15" t="str">
        <f>IFERROR(__xludf.DUMMYFUNCTION("""COMPUTED_VALUE"""),"")</f>
        <v/>
      </c>
      <c r="G301" s="17" t="str">
        <f>IFERROR(__xludf.DUMMYFUNCTION("""COMPUTED_VALUE"""),"")</f>
        <v/>
      </c>
      <c r="H301" s="4"/>
      <c r="I301" s="5" t="s">
        <v>3499</v>
      </c>
      <c r="J301" s="5" t="s">
        <v>3240</v>
      </c>
      <c r="K301" s="5">
        <v>101.0</v>
      </c>
      <c r="L301" s="5">
        <v>-1.888709</v>
      </c>
      <c r="M301" s="5">
        <v>-1.333733</v>
      </c>
      <c r="N301" s="5">
        <v>-3.222442</v>
      </c>
      <c r="O301" s="5">
        <v>-0.037688</v>
      </c>
    </row>
    <row r="302">
      <c r="A302" s="18" t="str">
        <f>IFERROR(__xludf.DUMMYFUNCTION("""COMPUTED_VALUE"""),"")</f>
        <v/>
      </c>
      <c r="B302" s="19" t="str">
        <f>IFERROR(__xludf.DUMMYFUNCTION("""COMPUTED_VALUE"""),"")</f>
        <v/>
      </c>
      <c r="C302" s="20" t="str">
        <f>IFERROR(__xludf.DUMMYFUNCTION("""COMPUTED_VALUE"""),"")</f>
        <v/>
      </c>
      <c r="D302" s="21" t="str">
        <f>IFERROR(__xludf.DUMMYFUNCTION("""COMPUTED_VALUE"""),"")</f>
        <v/>
      </c>
      <c r="E302" s="21" t="str">
        <f>IFERROR(__xludf.DUMMYFUNCTION("""COMPUTED_VALUE"""),"")</f>
        <v/>
      </c>
      <c r="F302" s="21" t="str">
        <f>IFERROR(__xludf.DUMMYFUNCTION("""COMPUTED_VALUE"""),"")</f>
        <v/>
      </c>
      <c r="G302" s="23" t="str">
        <f>IFERROR(__xludf.DUMMYFUNCTION("""COMPUTED_VALUE"""),"")</f>
        <v/>
      </c>
      <c r="H302" s="4"/>
      <c r="I302" s="5" t="s">
        <v>3500</v>
      </c>
      <c r="J302" s="5" t="s">
        <v>3263</v>
      </c>
      <c r="K302" s="5">
        <v>300.0</v>
      </c>
      <c r="L302" s="5">
        <v>-1.904207</v>
      </c>
      <c r="M302" s="5">
        <v>-1.358616</v>
      </c>
      <c r="N302" s="5">
        <v>-3.262823</v>
      </c>
      <c r="O302" s="5">
        <v>-0.114017</v>
      </c>
    </row>
    <row r="303">
      <c r="A303" s="12" t="str">
        <f>IFERROR(__xludf.DUMMYFUNCTION("""COMPUTED_VALUE"""),"")</f>
        <v/>
      </c>
      <c r="B303" s="13" t="str">
        <f>IFERROR(__xludf.DUMMYFUNCTION("""COMPUTED_VALUE"""),"")</f>
        <v/>
      </c>
      <c r="C303" s="14" t="str">
        <f>IFERROR(__xludf.DUMMYFUNCTION("""COMPUTED_VALUE"""),"")</f>
        <v/>
      </c>
      <c r="D303" s="15" t="str">
        <f>IFERROR(__xludf.DUMMYFUNCTION("""COMPUTED_VALUE"""),"")</f>
        <v/>
      </c>
      <c r="E303" s="15" t="str">
        <f>IFERROR(__xludf.DUMMYFUNCTION("""COMPUTED_VALUE"""),"")</f>
        <v/>
      </c>
      <c r="F303" s="15" t="str">
        <f>IFERROR(__xludf.DUMMYFUNCTION("""COMPUTED_VALUE"""),"")</f>
        <v/>
      </c>
      <c r="G303" s="17" t="str">
        <f>IFERROR(__xludf.DUMMYFUNCTION("""COMPUTED_VALUE"""),"")</f>
        <v/>
      </c>
      <c r="H303" s="4"/>
      <c r="I303" s="5" t="s">
        <v>3501</v>
      </c>
      <c r="J303" s="5" t="s">
        <v>3210</v>
      </c>
      <c r="K303" s="5">
        <v>435.0</v>
      </c>
      <c r="L303" s="5">
        <v>-3.755889</v>
      </c>
      <c r="M303" s="5">
        <v>0.489306</v>
      </c>
      <c r="N303" s="5">
        <v>-3.266583</v>
      </c>
      <c r="O303" s="5">
        <v>-0.165862</v>
      </c>
    </row>
    <row r="304">
      <c r="A304" s="18" t="str">
        <f>IFERROR(__xludf.DUMMYFUNCTION("""COMPUTED_VALUE"""),"")</f>
        <v/>
      </c>
      <c r="B304" s="19" t="str">
        <f>IFERROR(__xludf.DUMMYFUNCTION("""COMPUTED_VALUE"""),"")</f>
        <v/>
      </c>
      <c r="C304" s="20" t="str">
        <f>IFERROR(__xludf.DUMMYFUNCTION("""COMPUTED_VALUE"""),"")</f>
        <v/>
      </c>
      <c r="D304" s="21" t="str">
        <f>IFERROR(__xludf.DUMMYFUNCTION("""COMPUTED_VALUE"""),"")</f>
        <v/>
      </c>
      <c r="E304" s="21" t="str">
        <f>IFERROR(__xludf.DUMMYFUNCTION("""COMPUTED_VALUE"""),"")</f>
        <v/>
      </c>
      <c r="F304" s="21" t="str">
        <f>IFERROR(__xludf.DUMMYFUNCTION("""COMPUTED_VALUE"""),"")</f>
        <v/>
      </c>
      <c r="G304" s="23" t="str">
        <f>IFERROR(__xludf.DUMMYFUNCTION("""COMPUTED_VALUE"""),"")</f>
        <v/>
      </c>
      <c r="H304" s="4"/>
      <c r="I304" s="5" t="s">
        <v>3502</v>
      </c>
      <c r="J304" s="5" t="s">
        <v>3237</v>
      </c>
      <c r="K304" s="5">
        <v>189.0</v>
      </c>
      <c r="L304" s="5">
        <v>-2.578828</v>
      </c>
      <c r="M304" s="5">
        <v>-0.711749</v>
      </c>
      <c r="N304" s="5">
        <v>-3.290577</v>
      </c>
      <c r="O304" s="5">
        <v>-0.082294</v>
      </c>
    </row>
    <row r="305">
      <c r="A305" s="12" t="str">
        <f>IFERROR(__xludf.DUMMYFUNCTION("""COMPUTED_VALUE"""),"")</f>
        <v/>
      </c>
      <c r="B305" s="13" t="str">
        <f>IFERROR(__xludf.DUMMYFUNCTION("""COMPUTED_VALUE"""),"")</f>
        <v/>
      </c>
      <c r="C305" s="14" t="str">
        <f>IFERROR(__xludf.DUMMYFUNCTION("""COMPUTED_VALUE"""),"")</f>
        <v/>
      </c>
      <c r="D305" s="15" t="str">
        <f>IFERROR(__xludf.DUMMYFUNCTION("""COMPUTED_VALUE"""),"")</f>
        <v/>
      </c>
      <c r="E305" s="15" t="str">
        <f>IFERROR(__xludf.DUMMYFUNCTION("""COMPUTED_VALUE"""),"")</f>
        <v/>
      </c>
      <c r="F305" s="15" t="str">
        <f>IFERROR(__xludf.DUMMYFUNCTION("""COMPUTED_VALUE"""),"")</f>
        <v/>
      </c>
      <c r="G305" s="17" t="str">
        <f>IFERROR(__xludf.DUMMYFUNCTION("""COMPUTED_VALUE"""),"")</f>
        <v/>
      </c>
      <c r="H305" s="4"/>
      <c r="I305" s="5" t="s">
        <v>3503</v>
      </c>
      <c r="J305" s="5" t="s">
        <v>3237</v>
      </c>
      <c r="K305" s="5">
        <v>539.0</v>
      </c>
      <c r="L305" s="5">
        <v>-2.510872</v>
      </c>
      <c r="M305" s="5">
        <v>-0.780144</v>
      </c>
      <c r="N305" s="5">
        <v>-3.291016</v>
      </c>
      <c r="O305" s="5">
        <v>-0.234595</v>
      </c>
    </row>
    <row r="306">
      <c r="A306" s="18" t="str">
        <f>IFERROR(__xludf.DUMMYFUNCTION("""COMPUTED_VALUE"""),"")</f>
        <v/>
      </c>
      <c r="B306" s="19" t="str">
        <f>IFERROR(__xludf.DUMMYFUNCTION("""COMPUTED_VALUE"""),"")</f>
        <v/>
      </c>
      <c r="C306" s="20" t="str">
        <f>IFERROR(__xludf.DUMMYFUNCTION("""COMPUTED_VALUE"""),"")</f>
        <v/>
      </c>
      <c r="D306" s="21" t="str">
        <f>IFERROR(__xludf.DUMMYFUNCTION("""COMPUTED_VALUE"""),"")</f>
        <v/>
      </c>
      <c r="E306" s="21" t="str">
        <f>IFERROR(__xludf.DUMMYFUNCTION("""COMPUTED_VALUE"""),"")</f>
        <v/>
      </c>
      <c r="F306" s="21" t="str">
        <f>IFERROR(__xludf.DUMMYFUNCTION("""COMPUTED_VALUE"""),"")</f>
        <v/>
      </c>
      <c r="G306" s="23" t="str">
        <f>IFERROR(__xludf.DUMMYFUNCTION("""COMPUTED_VALUE"""),"")</f>
        <v/>
      </c>
      <c r="H306" s="4"/>
      <c r="I306" s="5" t="s">
        <v>3504</v>
      </c>
      <c r="J306" s="5" t="s">
        <v>3210</v>
      </c>
      <c r="K306" s="5">
        <v>730.0</v>
      </c>
      <c r="L306" s="5">
        <v>-2.518534</v>
      </c>
      <c r="M306" s="5">
        <v>-0.780076</v>
      </c>
      <c r="N306" s="5">
        <v>-3.298609</v>
      </c>
      <c r="O306" s="5">
        <v>-0.285094</v>
      </c>
    </row>
    <row r="307">
      <c r="A307" s="12" t="str">
        <f>IFERROR(__xludf.DUMMYFUNCTION("""COMPUTED_VALUE"""),"")</f>
        <v/>
      </c>
      <c r="B307" s="13" t="str">
        <f>IFERROR(__xludf.DUMMYFUNCTION("""COMPUTED_VALUE"""),"")</f>
        <v/>
      </c>
      <c r="C307" s="14" t="str">
        <f>IFERROR(__xludf.DUMMYFUNCTION("""COMPUTED_VALUE"""),"")</f>
        <v/>
      </c>
      <c r="D307" s="15" t="str">
        <f>IFERROR(__xludf.DUMMYFUNCTION("""COMPUTED_VALUE"""),"")</f>
        <v/>
      </c>
      <c r="E307" s="15" t="str">
        <f>IFERROR(__xludf.DUMMYFUNCTION("""COMPUTED_VALUE"""),"")</f>
        <v/>
      </c>
      <c r="F307" s="15" t="str">
        <f>IFERROR(__xludf.DUMMYFUNCTION("""COMPUTED_VALUE"""),"")</f>
        <v/>
      </c>
      <c r="G307" s="17" t="str">
        <f>IFERROR(__xludf.DUMMYFUNCTION("""COMPUTED_VALUE"""),"")</f>
        <v/>
      </c>
      <c r="H307" s="4"/>
      <c r="I307" s="5" t="s">
        <v>3505</v>
      </c>
      <c r="J307" s="5" t="s">
        <v>3283</v>
      </c>
      <c r="K307" s="5">
        <v>586.0</v>
      </c>
      <c r="L307" s="5">
        <v>-1.714394</v>
      </c>
      <c r="M307" s="5">
        <v>-1.683783</v>
      </c>
      <c r="N307" s="5">
        <v>-3.398177</v>
      </c>
      <c r="O307" s="5">
        <v>-0.248755</v>
      </c>
    </row>
    <row r="308">
      <c r="A308" s="18" t="str">
        <f>IFERROR(__xludf.DUMMYFUNCTION("""COMPUTED_VALUE"""),"")</f>
        <v/>
      </c>
      <c r="B308" s="19" t="str">
        <f>IFERROR(__xludf.DUMMYFUNCTION("""COMPUTED_VALUE"""),"")</f>
        <v/>
      </c>
      <c r="C308" s="20" t="str">
        <f>IFERROR(__xludf.DUMMYFUNCTION("""COMPUTED_VALUE"""),"")</f>
        <v/>
      </c>
      <c r="D308" s="21" t="str">
        <f>IFERROR(__xludf.DUMMYFUNCTION("""COMPUTED_VALUE"""),"")</f>
        <v/>
      </c>
      <c r="E308" s="21" t="str">
        <f>IFERROR(__xludf.DUMMYFUNCTION("""COMPUTED_VALUE"""),"")</f>
        <v/>
      </c>
      <c r="F308" s="21" t="str">
        <f>IFERROR(__xludf.DUMMYFUNCTION("""COMPUTED_VALUE"""),"")</f>
        <v/>
      </c>
      <c r="G308" s="23" t="str">
        <f>IFERROR(__xludf.DUMMYFUNCTION("""COMPUTED_VALUE"""),"")</f>
        <v/>
      </c>
      <c r="H308" s="4"/>
      <c r="I308" s="5" t="s">
        <v>3506</v>
      </c>
      <c r="J308" s="5" t="s">
        <v>3251</v>
      </c>
      <c r="K308" s="5">
        <v>779.0</v>
      </c>
      <c r="L308" s="5">
        <v>-1.799446</v>
      </c>
      <c r="M308" s="5">
        <v>-1.616521</v>
      </c>
      <c r="N308" s="5">
        <v>-3.415967</v>
      </c>
      <c r="O308" s="5">
        <v>-0.334929</v>
      </c>
    </row>
    <row r="309">
      <c r="A309" s="12" t="str">
        <f>IFERROR(__xludf.DUMMYFUNCTION("""COMPUTED_VALUE"""),"")</f>
        <v/>
      </c>
      <c r="B309" s="13" t="str">
        <f>IFERROR(__xludf.DUMMYFUNCTION("""COMPUTED_VALUE"""),"")</f>
        <v/>
      </c>
      <c r="C309" s="14" t="str">
        <f>IFERROR(__xludf.DUMMYFUNCTION("""COMPUTED_VALUE"""),"")</f>
        <v/>
      </c>
      <c r="D309" s="15" t="str">
        <f>IFERROR(__xludf.DUMMYFUNCTION("""COMPUTED_VALUE"""),"")</f>
        <v/>
      </c>
      <c r="E309" s="15" t="str">
        <f>IFERROR(__xludf.DUMMYFUNCTION("""COMPUTED_VALUE"""),"")</f>
        <v/>
      </c>
      <c r="F309" s="15" t="str">
        <f>IFERROR(__xludf.DUMMYFUNCTION("""COMPUTED_VALUE"""),"")</f>
        <v/>
      </c>
      <c r="G309" s="17" t="str">
        <f>IFERROR(__xludf.DUMMYFUNCTION("""COMPUTED_VALUE"""),"")</f>
        <v/>
      </c>
      <c r="H309" s="4"/>
      <c r="I309" s="5" t="s">
        <v>3507</v>
      </c>
      <c r="J309" s="5" t="s">
        <v>3215</v>
      </c>
      <c r="K309" s="5">
        <v>319.0</v>
      </c>
      <c r="L309" s="5">
        <v>-1.400023</v>
      </c>
      <c r="M309" s="5">
        <v>-2.090707</v>
      </c>
      <c r="N309" s="5">
        <v>-3.49073</v>
      </c>
      <c r="O309" s="5">
        <v>-0.144352</v>
      </c>
    </row>
    <row r="310">
      <c r="A310" s="18" t="str">
        <f>IFERROR(__xludf.DUMMYFUNCTION("""COMPUTED_VALUE"""),"")</f>
        <v/>
      </c>
      <c r="B310" s="19" t="str">
        <f>IFERROR(__xludf.DUMMYFUNCTION("""COMPUTED_VALUE"""),"")</f>
        <v/>
      </c>
      <c r="C310" s="20" t="str">
        <f>IFERROR(__xludf.DUMMYFUNCTION("""COMPUTED_VALUE"""),"")</f>
        <v/>
      </c>
      <c r="D310" s="21" t="str">
        <f>IFERROR(__xludf.DUMMYFUNCTION("""COMPUTED_VALUE"""),"")</f>
        <v/>
      </c>
      <c r="E310" s="21" t="str">
        <f>IFERROR(__xludf.DUMMYFUNCTION("""COMPUTED_VALUE"""),"")</f>
        <v/>
      </c>
      <c r="F310" s="21" t="str">
        <f>IFERROR(__xludf.DUMMYFUNCTION("""COMPUTED_VALUE"""),"")</f>
        <v/>
      </c>
      <c r="G310" s="23" t="str">
        <f>IFERROR(__xludf.DUMMYFUNCTION("""COMPUTED_VALUE"""),"")</f>
        <v/>
      </c>
      <c r="H310" s="4"/>
      <c r="I310" s="5" t="s">
        <v>3508</v>
      </c>
      <c r="J310" s="5" t="s">
        <v>3207</v>
      </c>
      <c r="K310" s="5">
        <v>673.0</v>
      </c>
      <c r="L310" s="5">
        <v>0.177598</v>
      </c>
      <c r="M310" s="5">
        <v>-3.67508</v>
      </c>
      <c r="N310" s="5">
        <v>-3.497482</v>
      </c>
      <c r="O310" s="5">
        <v>-0.30069</v>
      </c>
    </row>
    <row r="311">
      <c r="A311" s="12" t="str">
        <f>IFERROR(__xludf.DUMMYFUNCTION("""COMPUTED_VALUE"""),"")</f>
        <v/>
      </c>
      <c r="B311" s="13" t="str">
        <f>IFERROR(__xludf.DUMMYFUNCTION("""COMPUTED_VALUE"""),"")</f>
        <v/>
      </c>
      <c r="C311" s="14" t="str">
        <f>IFERROR(__xludf.DUMMYFUNCTION("""COMPUTED_VALUE"""),"")</f>
        <v/>
      </c>
      <c r="D311" s="15" t="str">
        <f>IFERROR(__xludf.DUMMYFUNCTION("""COMPUTED_VALUE"""),"")</f>
        <v/>
      </c>
      <c r="E311" s="15" t="str">
        <f>IFERROR(__xludf.DUMMYFUNCTION("""COMPUTED_VALUE"""),"")</f>
        <v/>
      </c>
      <c r="F311" s="15" t="str">
        <f>IFERROR(__xludf.DUMMYFUNCTION("""COMPUTED_VALUE"""),"")</f>
        <v/>
      </c>
      <c r="G311" s="17" t="str">
        <f>IFERROR(__xludf.DUMMYFUNCTION("""COMPUTED_VALUE"""),"")</f>
        <v/>
      </c>
      <c r="H311" s="4"/>
      <c r="I311" s="5" t="s">
        <v>3510</v>
      </c>
      <c r="J311" s="5" t="s">
        <v>3278</v>
      </c>
      <c r="K311" s="5">
        <v>584.0</v>
      </c>
      <c r="L311" s="5">
        <v>-1.965126</v>
      </c>
      <c r="M311" s="5">
        <v>-1.57845</v>
      </c>
      <c r="N311" s="5">
        <v>-3.543576</v>
      </c>
      <c r="O311" s="5">
        <v>-0.272042</v>
      </c>
    </row>
    <row r="312">
      <c r="A312" s="18" t="str">
        <f>IFERROR(__xludf.DUMMYFUNCTION("""COMPUTED_VALUE"""),"")</f>
        <v/>
      </c>
      <c r="B312" s="19" t="str">
        <f>IFERROR(__xludf.DUMMYFUNCTION("""COMPUTED_VALUE"""),"")</f>
        <v/>
      </c>
      <c r="C312" s="20" t="str">
        <f>IFERROR(__xludf.DUMMYFUNCTION("""COMPUTED_VALUE"""),"")</f>
        <v/>
      </c>
      <c r="D312" s="21" t="str">
        <f>IFERROR(__xludf.DUMMYFUNCTION("""COMPUTED_VALUE"""),"")</f>
        <v/>
      </c>
      <c r="E312" s="21" t="str">
        <f>IFERROR(__xludf.DUMMYFUNCTION("""COMPUTED_VALUE"""),"")</f>
        <v/>
      </c>
      <c r="F312" s="21" t="str">
        <f>IFERROR(__xludf.DUMMYFUNCTION("""COMPUTED_VALUE"""),"")</f>
        <v/>
      </c>
      <c r="G312" s="23" t="str">
        <f>IFERROR(__xludf.DUMMYFUNCTION("""COMPUTED_VALUE"""),"")</f>
        <v/>
      </c>
      <c r="H312" s="4"/>
      <c r="I312" s="5" t="s">
        <v>3511</v>
      </c>
      <c r="J312" s="5" t="s">
        <v>3203</v>
      </c>
      <c r="K312" s="5">
        <v>177.0</v>
      </c>
      <c r="L312" s="5">
        <v>-2.321825</v>
      </c>
      <c r="M312" s="5">
        <v>-1.232919</v>
      </c>
      <c r="N312" s="5">
        <v>-3.554745</v>
      </c>
      <c r="O312" s="5">
        <v>-0.083638</v>
      </c>
    </row>
    <row r="313">
      <c r="A313" s="12" t="str">
        <f>IFERROR(__xludf.DUMMYFUNCTION("""COMPUTED_VALUE"""),"")</f>
        <v/>
      </c>
      <c r="B313" s="13" t="str">
        <f>IFERROR(__xludf.DUMMYFUNCTION("""COMPUTED_VALUE"""),"")</f>
        <v/>
      </c>
      <c r="C313" s="14" t="str">
        <f>IFERROR(__xludf.DUMMYFUNCTION("""COMPUTED_VALUE"""),"")</f>
        <v/>
      </c>
      <c r="D313" s="15" t="str">
        <f>IFERROR(__xludf.DUMMYFUNCTION("""COMPUTED_VALUE"""),"")</f>
        <v/>
      </c>
      <c r="E313" s="15" t="str">
        <f>IFERROR(__xludf.DUMMYFUNCTION("""COMPUTED_VALUE"""),"")</f>
        <v/>
      </c>
      <c r="F313" s="15" t="str">
        <f>IFERROR(__xludf.DUMMYFUNCTION("""COMPUTED_VALUE"""),"")</f>
        <v/>
      </c>
      <c r="G313" s="17" t="str">
        <f>IFERROR(__xludf.DUMMYFUNCTION("""COMPUTED_VALUE"""),"")</f>
        <v/>
      </c>
      <c r="H313" s="4"/>
      <c r="I313" s="5" t="s">
        <v>3512</v>
      </c>
      <c r="J313" s="5" t="s">
        <v>3220</v>
      </c>
      <c r="K313" s="5">
        <v>132.0</v>
      </c>
      <c r="L313" s="5">
        <v>-2.826361</v>
      </c>
      <c r="M313" s="5">
        <v>-0.73411</v>
      </c>
      <c r="N313" s="5">
        <v>-3.560471</v>
      </c>
      <c r="O313" s="5">
        <v>-0.06338</v>
      </c>
    </row>
    <row r="314">
      <c r="A314" s="18" t="str">
        <f>IFERROR(__xludf.DUMMYFUNCTION("""COMPUTED_VALUE"""),"")</f>
        <v/>
      </c>
      <c r="B314" s="19" t="str">
        <f>IFERROR(__xludf.DUMMYFUNCTION("""COMPUTED_VALUE"""),"")</f>
        <v/>
      </c>
      <c r="C314" s="20" t="str">
        <f>IFERROR(__xludf.DUMMYFUNCTION("""COMPUTED_VALUE"""),"")</f>
        <v/>
      </c>
      <c r="D314" s="21" t="str">
        <f>IFERROR(__xludf.DUMMYFUNCTION("""COMPUTED_VALUE"""),"")</f>
        <v/>
      </c>
      <c r="E314" s="21" t="str">
        <f>IFERROR(__xludf.DUMMYFUNCTION("""COMPUTED_VALUE"""),"")</f>
        <v/>
      </c>
      <c r="F314" s="21" t="str">
        <f>IFERROR(__xludf.DUMMYFUNCTION("""COMPUTED_VALUE"""),"")</f>
        <v/>
      </c>
      <c r="G314" s="23" t="str">
        <f>IFERROR(__xludf.DUMMYFUNCTION("""COMPUTED_VALUE"""),"")</f>
        <v/>
      </c>
      <c r="H314" s="4"/>
      <c r="I314" s="5" t="s">
        <v>1070</v>
      </c>
      <c r="J314" s="5" t="s">
        <v>3223</v>
      </c>
      <c r="K314" s="5">
        <v>710.0</v>
      </c>
      <c r="L314" s="5">
        <v>-2.84778</v>
      </c>
      <c r="M314" s="5">
        <v>-0.729711</v>
      </c>
      <c r="N314" s="5">
        <v>-3.577491</v>
      </c>
      <c r="O314" s="5">
        <v>-0.340585</v>
      </c>
    </row>
    <row r="315">
      <c r="A315" s="12" t="str">
        <f>IFERROR(__xludf.DUMMYFUNCTION("""COMPUTED_VALUE"""),"")</f>
        <v/>
      </c>
      <c r="B315" s="13" t="str">
        <f>IFERROR(__xludf.DUMMYFUNCTION("""COMPUTED_VALUE"""),"")</f>
        <v/>
      </c>
      <c r="C315" s="14" t="str">
        <f>IFERROR(__xludf.DUMMYFUNCTION("""COMPUTED_VALUE"""),"")</f>
        <v/>
      </c>
      <c r="D315" s="15" t="str">
        <f>IFERROR(__xludf.DUMMYFUNCTION("""COMPUTED_VALUE"""),"")</f>
        <v/>
      </c>
      <c r="E315" s="15" t="str">
        <f>IFERROR(__xludf.DUMMYFUNCTION("""COMPUTED_VALUE"""),"")</f>
        <v/>
      </c>
      <c r="F315" s="15" t="str">
        <f>IFERROR(__xludf.DUMMYFUNCTION("""COMPUTED_VALUE"""),"")</f>
        <v/>
      </c>
      <c r="G315" s="17" t="str">
        <f>IFERROR(__xludf.DUMMYFUNCTION("""COMPUTED_VALUE"""),"")</f>
        <v/>
      </c>
      <c r="H315" s="4"/>
      <c r="I315" s="5" t="s">
        <v>3513</v>
      </c>
      <c r="J315" s="5" t="s">
        <v>3278</v>
      </c>
      <c r="K315" s="5">
        <v>96.0</v>
      </c>
      <c r="L315" s="5">
        <v>-3.099955</v>
      </c>
      <c r="M315" s="5">
        <v>-0.56396</v>
      </c>
      <c r="N315" s="5">
        <v>-3.663915</v>
      </c>
      <c r="O315" s="5">
        <v>-0.048188</v>
      </c>
    </row>
    <row r="316">
      <c r="A316" s="18" t="str">
        <f>IFERROR(__xludf.DUMMYFUNCTION("""COMPUTED_VALUE"""),"")</f>
        <v/>
      </c>
      <c r="B316" s="19" t="str">
        <f>IFERROR(__xludf.DUMMYFUNCTION("""COMPUTED_VALUE"""),"")</f>
        <v/>
      </c>
      <c r="C316" s="20" t="str">
        <f>IFERROR(__xludf.DUMMYFUNCTION("""COMPUTED_VALUE"""),"")</f>
        <v/>
      </c>
      <c r="D316" s="21" t="str">
        <f>IFERROR(__xludf.DUMMYFUNCTION("""COMPUTED_VALUE"""),"")</f>
        <v/>
      </c>
      <c r="E316" s="21" t="str">
        <f>IFERROR(__xludf.DUMMYFUNCTION("""COMPUTED_VALUE"""),"")</f>
        <v/>
      </c>
      <c r="F316" s="21" t="str">
        <f>IFERROR(__xludf.DUMMYFUNCTION("""COMPUTED_VALUE"""),"")</f>
        <v/>
      </c>
      <c r="G316" s="23" t="str">
        <f>IFERROR(__xludf.DUMMYFUNCTION("""COMPUTED_VALUE"""),"")</f>
        <v/>
      </c>
      <c r="H316" s="4"/>
      <c r="I316" s="5" t="s">
        <v>3514</v>
      </c>
      <c r="J316" s="5" t="s">
        <v>2838</v>
      </c>
      <c r="K316" s="5">
        <v>332.0</v>
      </c>
      <c r="L316" s="5">
        <v>-4.731279</v>
      </c>
      <c r="M316" s="5">
        <v>1.044055</v>
      </c>
      <c r="N316" s="5">
        <v>-3.687224</v>
      </c>
      <c r="O316" s="5">
        <v>-0.167813</v>
      </c>
    </row>
    <row r="317">
      <c r="A317" s="12" t="str">
        <f>IFERROR(__xludf.DUMMYFUNCTION("""COMPUTED_VALUE"""),"")</f>
        <v/>
      </c>
      <c r="B317" s="13" t="str">
        <f>IFERROR(__xludf.DUMMYFUNCTION("""COMPUTED_VALUE"""),"")</f>
        <v/>
      </c>
      <c r="C317" s="14" t="str">
        <f>IFERROR(__xludf.DUMMYFUNCTION("""COMPUTED_VALUE"""),"")</f>
        <v/>
      </c>
      <c r="D317" s="15" t="str">
        <f>IFERROR(__xludf.DUMMYFUNCTION("""COMPUTED_VALUE"""),"")</f>
        <v/>
      </c>
      <c r="E317" s="15" t="str">
        <f>IFERROR(__xludf.DUMMYFUNCTION("""COMPUTED_VALUE"""),"")</f>
        <v/>
      </c>
      <c r="F317" s="15" t="str">
        <f>IFERROR(__xludf.DUMMYFUNCTION("""COMPUTED_VALUE"""),"")</f>
        <v/>
      </c>
      <c r="G317" s="17" t="str">
        <f>IFERROR(__xludf.DUMMYFUNCTION("""COMPUTED_VALUE"""),"")</f>
        <v/>
      </c>
      <c r="H317" s="4"/>
      <c r="I317" s="5" t="s">
        <v>3515</v>
      </c>
      <c r="J317" s="5" t="s">
        <v>3205</v>
      </c>
      <c r="K317" s="5">
        <v>226.0</v>
      </c>
      <c r="L317" s="5">
        <v>-2.728779</v>
      </c>
      <c r="M317" s="5">
        <v>-0.960568</v>
      </c>
      <c r="N317" s="5">
        <v>-3.689347</v>
      </c>
      <c r="O317" s="5">
        <v>-0.116007</v>
      </c>
    </row>
    <row r="318">
      <c r="A318" s="18" t="str">
        <f>IFERROR(__xludf.DUMMYFUNCTION("""COMPUTED_VALUE"""),"")</f>
        <v/>
      </c>
      <c r="B318" s="19" t="str">
        <f>IFERROR(__xludf.DUMMYFUNCTION("""COMPUTED_VALUE"""),"")</f>
        <v/>
      </c>
      <c r="C318" s="20" t="str">
        <f>IFERROR(__xludf.DUMMYFUNCTION("""COMPUTED_VALUE"""),"")</f>
        <v/>
      </c>
      <c r="D318" s="21" t="str">
        <f>IFERROR(__xludf.DUMMYFUNCTION("""COMPUTED_VALUE"""),"")</f>
        <v/>
      </c>
      <c r="E318" s="21" t="str">
        <f>IFERROR(__xludf.DUMMYFUNCTION("""COMPUTED_VALUE"""),"")</f>
        <v/>
      </c>
      <c r="F318" s="21" t="str">
        <f>IFERROR(__xludf.DUMMYFUNCTION("""COMPUTED_VALUE"""),"")</f>
        <v/>
      </c>
      <c r="G318" s="23" t="str">
        <f>IFERROR(__xludf.DUMMYFUNCTION("""COMPUTED_VALUE"""),"")</f>
        <v/>
      </c>
      <c r="H318" s="4"/>
      <c r="I318" s="5" t="s">
        <v>1087</v>
      </c>
      <c r="J318" s="5" t="s">
        <v>3256</v>
      </c>
      <c r="K318" s="5">
        <v>388.0</v>
      </c>
      <c r="L318" s="5">
        <v>-2.398893</v>
      </c>
      <c r="M318" s="5">
        <v>-1.305145</v>
      </c>
      <c r="N318" s="5">
        <v>-3.704038</v>
      </c>
      <c r="O318" s="5">
        <v>-0.200461</v>
      </c>
    </row>
    <row r="319">
      <c r="A319" s="12" t="str">
        <f>IFERROR(__xludf.DUMMYFUNCTION("""COMPUTED_VALUE"""),"")</f>
        <v/>
      </c>
      <c r="B319" s="13" t="str">
        <f>IFERROR(__xludf.DUMMYFUNCTION("""COMPUTED_VALUE"""),"")</f>
        <v/>
      </c>
      <c r="C319" s="14" t="str">
        <f>IFERROR(__xludf.DUMMYFUNCTION("""COMPUTED_VALUE"""),"")</f>
        <v/>
      </c>
      <c r="D319" s="15" t="str">
        <f>IFERROR(__xludf.DUMMYFUNCTION("""COMPUTED_VALUE"""),"")</f>
        <v/>
      </c>
      <c r="E319" s="15" t="str">
        <f>IFERROR(__xludf.DUMMYFUNCTION("""COMPUTED_VALUE"""),"")</f>
        <v/>
      </c>
      <c r="F319" s="15" t="str">
        <f>IFERROR(__xludf.DUMMYFUNCTION("""COMPUTED_VALUE"""),"")</f>
        <v/>
      </c>
      <c r="G319" s="17" t="str">
        <f>IFERROR(__xludf.DUMMYFUNCTION("""COMPUTED_VALUE"""),"")</f>
        <v/>
      </c>
      <c r="H319" s="4"/>
      <c r="I319" s="5" t="s">
        <v>3516</v>
      </c>
      <c r="J319" s="5" t="s">
        <v>3207</v>
      </c>
      <c r="K319" s="5">
        <v>666.0</v>
      </c>
      <c r="L319" s="5">
        <v>-1.178807</v>
      </c>
      <c r="M319" s="5">
        <v>-2.574462</v>
      </c>
      <c r="N319" s="5">
        <v>-3.753269</v>
      </c>
      <c r="O319" s="5">
        <v>-0.347974</v>
      </c>
    </row>
    <row r="320">
      <c r="A320" s="18" t="str">
        <f>IFERROR(__xludf.DUMMYFUNCTION("""COMPUTED_VALUE"""),"")</f>
        <v/>
      </c>
      <c r="B320" s="19" t="str">
        <f>IFERROR(__xludf.DUMMYFUNCTION("""COMPUTED_VALUE"""),"")</f>
        <v/>
      </c>
      <c r="C320" s="20" t="str">
        <f>IFERROR(__xludf.DUMMYFUNCTION("""COMPUTED_VALUE"""),"")</f>
        <v/>
      </c>
      <c r="D320" s="21" t="str">
        <f>IFERROR(__xludf.DUMMYFUNCTION("""COMPUTED_VALUE"""),"")</f>
        <v/>
      </c>
      <c r="E320" s="21" t="str">
        <f>IFERROR(__xludf.DUMMYFUNCTION("""COMPUTED_VALUE"""),"")</f>
        <v/>
      </c>
      <c r="F320" s="21" t="str">
        <f>IFERROR(__xludf.DUMMYFUNCTION("""COMPUTED_VALUE"""),"")</f>
        <v/>
      </c>
      <c r="G320" s="23" t="str">
        <f>IFERROR(__xludf.DUMMYFUNCTION("""COMPUTED_VALUE"""),"")</f>
        <v/>
      </c>
      <c r="H320" s="4"/>
      <c r="I320" s="5" t="s">
        <v>3517</v>
      </c>
      <c r="J320" s="5" t="s">
        <v>3229</v>
      </c>
      <c r="K320" s="5">
        <v>635.0</v>
      </c>
      <c r="L320" s="5">
        <v>-4.13866</v>
      </c>
      <c r="M320" s="5">
        <v>0.352837</v>
      </c>
      <c r="N320" s="5">
        <v>-3.785823</v>
      </c>
      <c r="O320" s="5">
        <v>-0.358495</v>
      </c>
    </row>
    <row r="321">
      <c r="A321" s="12" t="str">
        <f>IFERROR(__xludf.DUMMYFUNCTION("""COMPUTED_VALUE"""),"")</f>
        <v/>
      </c>
      <c r="B321" s="13" t="str">
        <f>IFERROR(__xludf.DUMMYFUNCTION("""COMPUTED_VALUE"""),"")</f>
        <v/>
      </c>
      <c r="C321" s="14" t="str">
        <f>IFERROR(__xludf.DUMMYFUNCTION("""COMPUTED_VALUE"""),"")</f>
        <v/>
      </c>
      <c r="D321" s="15" t="str">
        <f>IFERROR(__xludf.DUMMYFUNCTION("""COMPUTED_VALUE"""),"")</f>
        <v/>
      </c>
      <c r="E321" s="15" t="str">
        <f>IFERROR(__xludf.DUMMYFUNCTION("""COMPUTED_VALUE"""),"")</f>
        <v/>
      </c>
      <c r="F321" s="15" t="str">
        <f>IFERROR(__xludf.DUMMYFUNCTION("""COMPUTED_VALUE"""),"")</f>
        <v/>
      </c>
      <c r="G321" s="17" t="str">
        <f>IFERROR(__xludf.DUMMYFUNCTION("""COMPUTED_VALUE"""),"")</f>
        <v/>
      </c>
      <c r="H321" s="4"/>
      <c r="I321" s="5" t="s">
        <v>3239</v>
      </c>
      <c r="J321" s="5" t="s">
        <v>3233</v>
      </c>
      <c r="K321" s="5">
        <v>241.0</v>
      </c>
      <c r="L321" s="5">
        <v>-0.713924</v>
      </c>
      <c r="M321" s="5">
        <v>-3.093648</v>
      </c>
      <c r="N321" s="5">
        <v>-3.807572</v>
      </c>
      <c r="O321" s="5">
        <v>-0.128956</v>
      </c>
    </row>
    <row r="322">
      <c r="A322" s="18" t="str">
        <f>IFERROR(__xludf.DUMMYFUNCTION("""COMPUTED_VALUE"""),"")</f>
        <v/>
      </c>
      <c r="B322" s="19" t="str">
        <f>IFERROR(__xludf.DUMMYFUNCTION("""COMPUTED_VALUE"""),"")</f>
        <v/>
      </c>
      <c r="C322" s="20" t="str">
        <f>IFERROR(__xludf.DUMMYFUNCTION("""COMPUTED_VALUE"""),"")</f>
        <v/>
      </c>
      <c r="D322" s="21" t="str">
        <f>IFERROR(__xludf.DUMMYFUNCTION("""COMPUTED_VALUE"""),"")</f>
        <v/>
      </c>
      <c r="E322" s="21" t="str">
        <f>IFERROR(__xludf.DUMMYFUNCTION("""COMPUTED_VALUE"""),"")</f>
        <v/>
      </c>
      <c r="F322" s="21" t="str">
        <f>IFERROR(__xludf.DUMMYFUNCTION("""COMPUTED_VALUE"""),"")</f>
        <v/>
      </c>
      <c r="G322" s="23" t="str">
        <f>IFERROR(__xludf.DUMMYFUNCTION("""COMPUTED_VALUE"""),"")</f>
        <v/>
      </c>
      <c r="H322" s="4"/>
      <c r="I322" s="5" t="s">
        <v>3518</v>
      </c>
      <c r="J322" s="5" t="s">
        <v>3226</v>
      </c>
      <c r="K322" s="5">
        <v>155.0</v>
      </c>
      <c r="L322" s="5">
        <v>-4.150523</v>
      </c>
      <c r="M322" s="5">
        <v>0.271959</v>
      </c>
      <c r="N322" s="5">
        <v>-3.878564</v>
      </c>
      <c r="O322" s="5">
        <v>-0.088563</v>
      </c>
    </row>
    <row r="323">
      <c r="A323" s="12" t="str">
        <f>IFERROR(__xludf.DUMMYFUNCTION("""COMPUTED_VALUE"""),"")</f>
        <v/>
      </c>
      <c r="B323" s="13" t="str">
        <f>IFERROR(__xludf.DUMMYFUNCTION("""COMPUTED_VALUE"""),"")</f>
        <v/>
      </c>
      <c r="C323" s="14" t="str">
        <f>IFERROR(__xludf.DUMMYFUNCTION("""COMPUTED_VALUE"""),"")</f>
        <v/>
      </c>
      <c r="D323" s="15" t="str">
        <f>IFERROR(__xludf.DUMMYFUNCTION("""COMPUTED_VALUE"""),"")</f>
        <v/>
      </c>
      <c r="E323" s="15" t="str">
        <f>IFERROR(__xludf.DUMMYFUNCTION("""COMPUTED_VALUE"""),"")</f>
        <v/>
      </c>
      <c r="F323" s="15" t="str">
        <f>IFERROR(__xludf.DUMMYFUNCTION("""COMPUTED_VALUE"""),"")</f>
        <v/>
      </c>
      <c r="G323" s="17" t="str">
        <f>IFERROR(__xludf.DUMMYFUNCTION("""COMPUTED_VALUE"""),"")</f>
        <v/>
      </c>
      <c r="H323" s="4"/>
      <c r="I323" s="5" t="s">
        <v>3519</v>
      </c>
      <c r="J323" s="5" t="s">
        <v>3283</v>
      </c>
      <c r="K323" s="5">
        <v>479.0</v>
      </c>
      <c r="L323" s="5">
        <v>-1.295698</v>
      </c>
      <c r="M323" s="5">
        <v>-2.667513</v>
      </c>
      <c r="N323" s="5">
        <v>-3.963212</v>
      </c>
      <c r="O323" s="5">
        <v>-0.28582</v>
      </c>
    </row>
    <row r="324">
      <c r="A324" s="18" t="str">
        <f>IFERROR(__xludf.DUMMYFUNCTION("""COMPUTED_VALUE"""),"")</f>
        <v/>
      </c>
      <c r="B324" s="19" t="str">
        <f>IFERROR(__xludf.DUMMYFUNCTION("""COMPUTED_VALUE"""),"")</f>
        <v/>
      </c>
      <c r="C324" s="20" t="str">
        <f>IFERROR(__xludf.DUMMYFUNCTION("""COMPUTED_VALUE"""),"")</f>
        <v/>
      </c>
      <c r="D324" s="21" t="str">
        <f>IFERROR(__xludf.DUMMYFUNCTION("""COMPUTED_VALUE"""),"")</f>
        <v/>
      </c>
      <c r="E324" s="21" t="str">
        <f>IFERROR(__xludf.DUMMYFUNCTION("""COMPUTED_VALUE"""),"")</f>
        <v/>
      </c>
      <c r="F324" s="21" t="str">
        <f>IFERROR(__xludf.DUMMYFUNCTION("""COMPUTED_VALUE"""),"")</f>
        <v/>
      </c>
      <c r="G324" s="23" t="str">
        <f>IFERROR(__xludf.DUMMYFUNCTION("""COMPUTED_VALUE"""),"")</f>
        <v/>
      </c>
      <c r="H324" s="4"/>
      <c r="I324" s="5" t="s">
        <v>3520</v>
      </c>
      <c r="J324" s="5" t="s">
        <v>3207</v>
      </c>
      <c r="K324" s="5">
        <v>145.0</v>
      </c>
      <c r="L324" s="5">
        <v>-2.58635</v>
      </c>
      <c r="M324" s="5">
        <v>-1.435861</v>
      </c>
      <c r="N324" s="5">
        <v>-4.022211</v>
      </c>
      <c r="O324" s="5">
        <v>-0.087494</v>
      </c>
    </row>
    <row r="325">
      <c r="A325" s="12" t="str">
        <f>IFERROR(__xludf.DUMMYFUNCTION("""COMPUTED_VALUE"""),"")</f>
        <v/>
      </c>
      <c r="B325" s="13" t="str">
        <f>IFERROR(__xludf.DUMMYFUNCTION("""COMPUTED_VALUE"""),"")</f>
        <v/>
      </c>
      <c r="C325" s="14" t="str">
        <f>IFERROR(__xludf.DUMMYFUNCTION("""COMPUTED_VALUE"""),"")</f>
        <v/>
      </c>
      <c r="D325" s="15" t="str">
        <f>IFERROR(__xludf.DUMMYFUNCTION("""COMPUTED_VALUE"""),"")</f>
        <v/>
      </c>
      <c r="E325" s="15" t="str">
        <f>IFERROR(__xludf.DUMMYFUNCTION("""COMPUTED_VALUE"""),"")</f>
        <v/>
      </c>
      <c r="F325" s="15" t="str">
        <f>IFERROR(__xludf.DUMMYFUNCTION("""COMPUTED_VALUE"""),"")</f>
        <v/>
      </c>
      <c r="G325" s="17" t="str">
        <f>IFERROR(__xludf.DUMMYFUNCTION("""COMPUTED_VALUE"""),"")</f>
        <v/>
      </c>
      <c r="H325" s="4"/>
      <c r="I325" s="5" t="s">
        <v>3521</v>
      </c>
      <c r="J325" s="5" t="s">
        <v>3220</v>
      </c>
      <c r="K325" s="5">
        <v>234.0</v>
      </c>
      <c r="L325" s="5">
        <v>-2.819385</v>
      </c>
      <c r="M325" s="5">
        <v>-1.212113</v>
      </c>
      <c r="N325" s="5">
        <v>-4.031499</v>
      </c>
      <c r="O325" s="5">
        <v>-0.145626</v>
      </c>
    </row>
    <row r="326">
      <c r="A326" s="18" t="str">
        <f>IFERROR(__xludf.DUMMYFUNCTION("""COMPUTED_VALUE"""),"")</f>
        <v/>
      </c>
      <c r="B326" s="19" t="str">
        <f>IFERROR(__xludf.DUMMYFUNCTION("""COMPUTED_VALUE"""),"")</f>
        <v/>
      </c>
      <c r="C326" s="20" t="str">
        <f>IFERROR(__xludf.DUMMYFUNCTION("""COMPUTED_VALUE"""),"")</f>
        <v/>
      </c>
      <c r="D326" s="21" t="str">
        <f>IFERROR(__xludf.DUMMYFUNCTION("""COMPUTED_VALUE"""),"")</f>
        <v/>
      </c>
      <c r="E326" s="21" t="str">
        <f>IFERROR(__xludf.DUMMYFUNCTION("""COMPUTED_VALUE"""),"")</f>
        <v/>
      </c>
      <c r="F326" s="21" t="str">
        <f>IFERROR(__xludf.DUMMYFUNCTION("""COMPUTED_VALUE"""),"")</f>
        <v/>
      </c>
      <c r="G326" s="23" t="str">
        <f>IFERROR(__xludf.DUMMYFUNCTION("""COMPUTED_VALUE"""),"")</f>
        <v/>
      </c>
      <c r="H326" s="4"/>
      <c r="I326" s="5" t="s">
        <v>3522</v>
      </c>
      <c r="J326" s="5" t="s">
        <v>3223</v>
      </c>
      <c r="K326" s="5">
        <v>156.0</v>
      </c>
      <c r="L326" s="5">
        <v>-4.49176</v>
      </c>
      <c r="M326" s="5">
        <v>0.44955</v>
      </c>
      <c r="N326" s="5">
        <v>-4.04221</v>
      </c>
      <c r="O326" s="5">
        <v>-0.096886</v>
      </c>
    </row>
    <row r="327">
      <c r="A327" s="12" t="str">
        <f>IFERROR(__xludf.DUMMYFUNCTION("""COMPUTED_VALUE"""),"")</f>
        <v/>
      </c>
      <c r="B327" s="13" t="str">
        <f>IFERROR(__xludf.DUMMYFUNCTION("""COMPUTED_VALUE"""),"")</f>
        <v/>
      </c>
      <c r="C327" s="14" t="str">
        <f>IFERROR(__xludf.DUMMYFUNCTION("""COMPUTED_VALUE"""),"")</f>
        <v/>
      </c>
      <c r="D327" s="15" t="str">
        <f>IFERROR(__xludf.DUMMYFUNCTION("""COMPUTED_VALUE"""),"")</f>
        <v/>
      </c>
      <c r="E327" s="15" t="str">
        <f>IFERROR(__xludf.DUMMYFUNCTION("""COMPUTED_VALUE"""),"")</f>
        <v/>
      </c>
      <c r="F327" s="15" t="str">
        <f>IFERROR(__xludf.DUMMYFUNCTION("""COMPUTED_VALUE"""),"")</f>
        <v/>
      </c>
      <c r="G327" s="17" t="str">
        <f>IFERROR(__xludf.DUMMYFUNCTION("""COMPUTED_VALUE"""),"")</f>
        <v/>
      </c>
      <c r="H327" s="4"/>
      <c r="I327" s="5" t="s">
        <v>3523</v>
      </c>
      <c r="J327" s="5" t="s">
        <v>3256</v>
      </c>
      <c r="K327" s="5">
        <v>372.0</v>
      </c>
      <c r="L327" s="5">
        <v>-3.225118</v>
      </c>
      <c r="M327" s="5">
        <v>-0.858507</v>
      </c>
      <c r="N327" s="5">
        <v>-4.083625</v>
      </c>
      <c r="O327" s="5">
        <v>-0.234934</v>
      </c>
    </row>
    <row r="328">
      <c r="A328" s="18" t="str">
        <f>IFERROR(__xludf.DUMMYFUNCTION("""COMPUTED_VALUE"""),"")</f>
        <v/>
      </c>
      <c r="B328" s="19" t="str">
        <f>IFERROR(__xludf.DUMMYFUNCTION("""COMPUTED_VALUE"""),"")</f>
        <v/>
      </c>
      <c r="C328" s="20" t="str">
        <f>IFERROR(__xludf.DUMMYFUNCTION("""COMPUTED_VALUE"""),"")</f>
        <v/>
      </c>
      <c r="D328" s="21" t="str">
        <f>IFERROR(__xludf.DUMMYFUNCTION("""COMPUTED_VALUE"""),"")</f>
        <v/>
      </c>
      <c r="E328" s="21" t="str">
        <f>IFERROR(__xludf.DUMMYFUNCTION("""COMPUTED_VALUE"""),"")</f>
        <v/>
      </c>
      <c r="F328" s="21" t="str">
        <f>IFERROR(__xludf.DUMMYFUNCTION("""COMPUTED_VALUE"""),"")</f>
        <v/>
      </c>
      <c r="G328" s="23" t="str">
        <f>IFERROR(__xludf.DUMMYFUNCTION("""COMPUTED_VALUE"""),"")</f>
        <v/>
      </c>
      <c r="H328" s="4"/>
      <c r="I328" s="5" t="s">
        <v>3524</v>
      </c>
      <c r="J328" s="5" t="s">
        <v>2838</v>
      </c>
      <c r="K328" s="5">
        <v>241.0</v>
      </c>
      <c r="L328" s="5">
        <v>-4.770746</v>
      </c>
      <c r="M328" s="5">
        <v>0.657235</v>
      </c>
      <c r="N328" s="5">
        <v>-4.11351</v>
      </c>
      <c r="O328" s="5">
        <v>-0.152341</v>
      </c>
    </row>
    <row r="329">
      <c r="A329" s="12" t="str">
        <f>IFERROR(__xludf.DUMMYFUNCTION("""COMPUTED_VALUE"""),"")</f>
        <v/>
      </c>
      <c r="B329" s="13" t="str">
        <f>IFERROR(__xludf.DUMMYFUNCTION("""COMPUTED_VALUE"""),"")</f>
        <v/>
      </c>
      <c r="C329" s="14" t="str">
        <f>IFERROR(__xludf.DUMMYFUNCTION("""COMPUTED_VALUE"""),"")</f>
        <v/>
      </c>
      <c r="D329" s="15" t="str">
        <f>IFERROR(__xludf.DUMMYFUNCTION("""COMPUTED_VALUE"""),"")</f>
        <v/>
      </c>
      <c r="E329" s="15" t="str">
        <f>IFERROR(__xludf.DUMMYFUNCTION("""COMPUTED_VALUE"""),"")</f>
        <v/>
      </c>
      <c r="F329" s="15" t="str">
        <f>IFERROR(__xludf.DUMMYFUNCTION("""COMPUTED_VALUE"""),"")</f>
        <v/>
      </c>
      <c r="G329" s="17" t="str">
        <f>IFERROR(__xludf.DUMMYFUNCTION("""COMPUTED_VALUE"""),"")</f>
        <v/>
      </c>
      <c r="H329" s="4"/>
      <c r="I329" s="5" t="s">
        <v>3525</v>
      </c>
      <c r="J329" s="5" t="s">
        <v>3278</v>
      </c>
      <c r="K329" s="5">
        <v>260.0</v>
      </c>
      <c r="L329" s="5">
        <v>-2.487915</v>
      </c>
      <c r="M329" s="5">
        <v>-1.657111</v>
      </c>
      <c r="N329" s="5">
        <v>-4.145026</v>
      </c>
      <c r="O329" s="5">
        <v>-0.168422</v>
      </c>
    </row>
    <row r="330">
      <c r="A330" s="18" t="str">
        <f>IFERROR(__xludf.DUMMYFUNCTION("""COMPUTED_VALUE"""),"")</f>
        <v/>
      </c>
      <c r="B330" s="19" t="str">
        <f>IFERROR(__xludf.DUMMYFUNCTION("""COMPUTED_VALUE"""),"")</f>
        <v/>
      </c>
      <c r="C330" s="20" t="str">
        <f>IFERROR(__xludf.DUMMYFUNCTION("""COMPUTED_VALUE"""),"")</f>
        <v/>
      </c>
      <c r="D330" s="21" t="str">
        <f>IFERROR(__xludf.DUMMYFUNCTION("""COMPUTED_VALUE"""),"")</f>
        <v/>
      </c>
      <c r="E330" s="21" t="str">
        <f>IFERROR(__xludf.DUMMYFUNCTION("""COMPUTED_VALUE"""),"")</f>
        <v/>
      </c>
      <c r="F330" s="21" t="str">
        <f>IFERROR(__xludf.DUMMYFUNCTION("""COMPUTED_VALUE"""),"")</f>
        <v/>
      </c>
      <c r="G330" s="23" t="str">
        <f>IFERROR(__xludf.DUMMYFUNCTION("""COMPUTED_VALUE"""),"")</f>
        <v/>
      </c>
      <c r="H330" s="4"/>
      <c r="I330" s="5" t="s">
        <v>3526</v>
      </c>
      <c r="J330" s="5" t="s">
        <v>3237</v>
      </c>
      <c r="K330" s="5">
        <v>117.0</v>
      </c>
      <c r="L330" s="5">
        <v>-3.65048</v>
      </c>
      <c r="M330" s="5">
        <v>-0.530322</v>
      </c>
      <c r="N330" s="5">
        <v>-4.180802</v>
      </c>
      <c r="O330" s="5">
        <v>-0.086305</v>
      </c>
    </row>
    <row r="331">
      <c r="A331" s="12" t="str">
        <f>IFERROR(__xludf.DUMMYFUNCTION("""COMPUTED_VALUE"""),"")</f>
        <v/>
      </c>
      <c r="B331" s="13" t="str">
        <f>IFERROR(__xludf.DUMMYFUNCTION("""COMPUTED_VALUE"""),"")</f>
        <v/>
      </c>
      <c r="C331" s="14" t="str">
        <f>IFERROR(__xludf.DUMMYFUNCTION("""COMPUTED_VALUE"""),"")</f>
        <v/>
      </c>
      <c r="D331" s="15" t="str">
        <f>IFERROR(__xludf.DUMMYFUNCTION("""COMPUTED_VALUE"""),"")</f>
        <v/>
      </c>
      <c r="E331" s="15" t="str">
        <f>IFERROR(__xludf.DUMMYFUNCTION("""COMPUTED_VALUE"""),"")</f>
        <v/>
      </c>
      <c r="F331" s="15" t="str">
        <f>IFERROR(__xludf.DUMMYFUNCTION("""COMPUTED_VALUE"""),"")</f>
        <v/>
      </c>
      <c r="G331" s="17" t="str">
        <f>IFERROR(__xludf.DUMMYFUNCTION("""COMPUTED_VALUE"""),"")</f>
        <v/>
      </c>
      <c r="H331" s="4"/>
      <c r="I331" s="5" t="s">
        <v>3527</v>
      </c>
      <c r="J331" s="5" t="s">
        <v>3331</v>
      </c>
      <c r="K331" s="5">
        <v>446.0</v>
      </c>
      <c r="L331" s="5">
        <v>-3.344243</v>
      </c>
      <c r="M331" s="5">
        <v>-0.89744</v>
      </c>
      <c r="N331" s="5">
        <v>-4.241683</v>
      </c>
      <c r="O331" s="5">
        <v>-0.303381</v>
      </c>
    </row>
    <row r="332">
      <c r="A332" s="18" t="str">
        <f>IFERROR(__xludf.DUMMYFUNCTION("""COMPUTED_VALUE"""),"")</f>
        <v/>
      </c>
      <c r="B332" s="19" t="str">
        <f>IFERROR(__xludf.DUMMYFUNCTION("""COMPUTED_VALUE"""),"")</f>
        <v/>
      </c>
      <c r="C332" s="20" t="str">
        <f>IFERROR(__xludf.DUMMYFUNCTION("""COMPUTED_VALUE"""),"")</f>
        <v/>
      </c>
      <c r="D332" s="21" t="str">
        <f>IFERROR(__xludf.DUMMYFUNCTION("""COMPUTED_VALUE"""),"")</f>
        <v/>
      </c>
      <c r="E332" s="21" t="str">
        <f>IFERROR(__xludf.DUMMYFUNCTION("""COMPUTED_VALUE"""),"")</f>
        <v/>
      </c>
      <c r="F332" s="21" t="str">
        <f>IFERROR(__xludf.DUMMYFUNCTION("""COMPUTED_VALUE"""),"")</f>
        <v/>
      </c>
      <c r="G332" s="23" t="str">
        <f>IFERROR(__xludf.DUMMYFUNCTION("""COMPUTED_VALUE"""),"")</f>
        <v/>
      </c>
      <c r="H332" s="4"/>
      <c r="I332" s="5" t="s">
        <v>3528</v>
      </c>
      <c r="J332" s="5" t="s">
        <v>3207</v>
      </c>
      <c r="K332" s="5">
        <v>162.0</v>
      </c>
      <c r="L332" s="5">
        <v>-3.15389</v>
      </c>
      <c r="M332" s="5">
        <v>-1.111359</v>
      </c>
      <c r="N332" s="5">
        <v>-4.265249</v>
      </c>
      <c r="O332" s="5">
        <v>-0.10956</v>
      </c>
    </row>
    <row r="333">
      <c r="A333" s="12" t="str">
        <f>IFERROR(__xludf.DUMMYFUNCTION("""COMPUTED_VALUE"""),"")</f>
        <v/>
      </c>
      <c r="B333" s="13" t="str">
        <f>IFERROR(__xludf.DUMMYFUNCTION("""COMPUTED_VALUE"""),"")</f>
        <v/>
      </c>
      <c r="C333" s="14" t="str">
        <f>IFERROR(__xludf.DUMMYFUNCTION("""COMPUTED_VALUE"""),"")</f>
        <v/>
      </c>
      <c r="D333" s="15" t="str">
        <f>IFERROR(__xludf.DUMMYFUNCTION("""COMPUTED_VALUE"""),"")</f>
        <v/>
      </c>
      <c r="E333" s="15" t="str">
        <f>IFERROR(__xludf.DUMMYFUNCTION("""COMPUTED_VALUE"""),"")</f>
        <v/>
      </c>
      <c r="F333" s="15" t="str">
        <f>IFERROR(__xludf.DUMMYFUNCTION("""COMPUTED_VALUE"""),"")</f>
        <v/>
      </c>
      <c r="G333" s="17" t="str">
        <f>IFERROR(__xludf.DUMMYFUNCTION("""COMPUTED_VALUE"""),"")</f>
        <v/>
      </c>
      <c r="H333" s="4"/>
      <c r="I333" s="5" t="s">
        <v>3529</v>
      </c>
      <c r="J333" s="5" t="s">
        <v>3251</v>
      </c>
      <c r="K333" s="5">
        <v>273.0</v>
      </c>
      <c r="L333" s="5">
        <v>-1.272826</v>
      </c>
      <c r="M333" s="5">
        <v>-3.123574</v>
      </c>
      <c r="N333" s="5">
        <v>-4.3964</v>
      </c>
      <c r="O333" s="5">
        <v>-0.198459</v>
      </c>
    </row>
    <row r="334">
      <c r="A334" s="18" t="str">
        <f>IFERROR(__xludf.DUMMYFUNCTION("""COMPUTED_VALUE"""),"")</f>
        <v/>
      </c>
      <c r="B334" s="19" t="str">
        <f>IFERROR(__xludf.DUMMYFUNCTION("""COMPUTED_VALUE"""),"")</f>
        <v/>
      </c>
      <c r="C334" s="20" t="str">
        <f>IFERROR(__xludf.DUMMYFUNCTION("""COMPUTED_VALUE"""),"")</f>
        <v/>
      </c>
      <c r="D334" s="21" t="str">
        <f>IFERROR(__xludf.DUMMYFUNCTION("""COMPUTED_VALUE"""),"")</f>
        <v/>
      </c>
      <c r="E334" s="21" t="str">
        <f>IFERROR(__xludf.DUMMYFUNCTION("""COMPUTED_VALUE"""),"")</f>
        <v/>
      </c>
      <c r="F334" s="21" t="str">
        <f>IFERROR(__xludf.DUMMYFUNCTION("""COMPUTED_VALUE"""),"")</f>
        <v/>
      </c>
      <c r="G334" s="23" t="str">
        <f>IFERROR(__xludf.DUMMYFUNCTION("""COMPUTED_VALUE"""),"")</f>
        <v/>
      </c>
      <c r="H334" s="4"/>
      <c r="I334" s="5" t="s">
        <v>3530</v>
      </c>
      <c r="J334" s="5" t="s">
        <v>3207</v>
      </c>
      <c r="K334" s="5">
        <v>386.0</v>
      </c>
      <c r="L334" s="5">
        <v>-2.494896</v>
      </c>
      <c r="M334" s="5">
        <v>-1.963249</v>
      </c>
      <c r="N334" s="5">
        <v>-4.458145</v>
      </c>
      <c r="O334" s="5">
        <v>-0.28315</v>
      </c>
    </row>
    <row r="335">
      <c r="A335" s="12" t="str">
        <f>IFERROR(__xludf.DUMMYFUNCTION("""COMPUTED_VALUE"""),"")</f>
        <v/>
      </c>
      <c r="B335" s="13" t="str">
        <f>IFERROR(__xludf.DUMMYFUNCTION("""COMPUTED_VALUE"""),"")</f>
        <v/>
      </c>
      <c r="C335" s="14" t="str">
        <f>IFERROR(__xludf.DUMMYFUNCTION("""COMPUTED_VALUE"""),"")</f>
        <v/>
      </c>
      <c r="D335" s="15" t="str">
        <f>IFERROR(__xludf.DUMMYFUNCTION("""COMPUTED_VALUE"""),"")</f>
        <v/>
      </c>
      <c r="E335" s="15" t="str">
        <f>IFERROR(__xludf.DUMMYFUNCTION("""COMPUTED_VALUE"""),"")</f>
        <v/>
      </c>
      <c r="F335" s="15" t="str">
        <f>IFERROR(__xludf.DUMMYFUNCTION("""COMPUTED_VALUE"""),"")</f>
        <v/>
      </c>
      <c r="G335" s="17" t="str">
        <f>IFERROR(__xludf.DUMMYFUNCTION("""COMPUTED_VALUE"""),"")</f>
        <v/>
      </c>
      <c r="H335" s="4"/>
      <c r="I335" s="5" t="s">
        <v>3531</v>
      </c>
      <c r="J335" s="5" t="s">
        <v>3240</v>
      </c>
      <c r="K335" s="5">
        <v>290.0</v>
      </c>
      <c r="L335" s="5">
        <v>-4.128156</v>
      </c>
      <c r="M335" s="5">
        <v>-0.331535</v>
      </c>
      <c r="N335" s="5">
        <v>-4.459692</v>
      </c>
      <c r="O335" s="5">
        <v>-0.217144</v>
      </c>
    </row>
    <row r="336">
      <c r="A336" s="18" t="str">
        <f>IFERROR(__xludf.DUMMYFUNCTION("""COMPUTED_VALUE"""),"")</f>
        <v/>
      </c>
      <c r="B336" s="19" t="str">
        <f>IFERROR(__xludf.DUMMYFUNCTION("""COMPUTED_VALUE"""),"")</f>
        <v/>
      </c>
      <c r="C336" s="20" t="str">
        <f>IFERROR(__xludf.DUMMYFUNCTION("""COMPUTED_VALUE"""),"")</f>
        <v/>
      </c>
      <c r="D336" s="21" t="str">
        <f>IFERROR(__xludf.DUMMYFUNCTION("""COMPUTED_VALUE"""),"")</f>
        <v/>
      </c>
      <c r="E336" s="21" t="str">
        <f>IFERROR(__xludf.DUMMYFUNCTION("""COMPUTED_VALUE"""),"")</f>
        <v/>
      </c>
      <c r="F336" s="21" t="str">
        <f>IFERROR(__xludf.DUMMYFUNCTION("""COMPUTED_VALUE"""),"")</f>
        <v/>
      </c>
      <c r="G336" s="23" t="str">
        <f>IFERROR(__xludf.DUMMYFUNCTION("""COMPUTED_VALUE"""),"")</f>
        <v/>
      </c>
      <c r="H336" s="4"/>
      <c r="I336" s="5" t="s">
        <v>3532</v>
      </c>
      <c r="J336" s="5" t="s">
        <v>3331</v>
      </c>
      <c r="K336" s="5">
        <v>259.0</v>
      </c>
      <c r="L336" s="5">
        <v>-2.529044</v>
      </c>
      <c r="M336" s="5">
        <v>-1.94721</v>
      </c>
      <c r="N336" s="5">
        <v>-4.476254</v>
      </c>
      <c r="O336" s="5">
        <v>-0.194357</v>
      </c>
    </row>
    <row r="337">
      <c r="A337" s="12" t="str">
        <f>IFERROR(__xludf.DUMMYFUNCTION("""COMPUTED_VALUE"""),"")</f>
        <v/>
      </c>
      <c r="B337" s="13" t="str">
        <f>IFERROR(__xludf.DUMMYFUNCTION("""COMPUTED_VALUE"""),"")</f>
        <v/>
      </c>
      <c r="C337" s="14" t="str">
        <f>IFERROR(__xludf.DUMMYFUNCTION("""COMPUTED_VALUE"""),"")</f>
        <v/>
      </c>
      <c r="D337" s="15" t="str">
        <f>IFERROR(__xludf.DUMMYFUNCTION("""COMPUTED_VALUE"""),"")</f>
        <v/>
      </c>
      <c r="E337" s="15" t="str">
        <f>IFERROR(__xludf.DUMMYFUNCTION("""COMPUTED_VALUE"""),"")</f>
        <v/>
      </c>
      <c r="F337" s="15" t="str">
        <f>IFERROR(__xludf.DUMMYFUNCTION("""COMPUTED_VALUE"""),"")</f>
        <v/>
      </c>
      <c r="G337" s="17" t="str">
        <f>IFERROR(__xludf.DUMMYFUNCTION("""COMPUTED_VALUE"""),"")</f>
        <v/>
      </c>
      <c r="H337" s="4"/>
      <c r="I337" s="5" t="s">
        <v>3533</v>
      </c>
      <c r="J337" s="5" t="s">
        <v>3240</v>
      </c>
      <c r="K337" s="5">
        <v>474.0</v>
      </c>
      <c r="L337" s="5">
        <v>-4.485827</v>
      </c>
      <c r="M337" s="5">
        <v>-0.06988</v>
      </c>
      <c r="N337" s="5">
        <v>-4.555707</v>
      </c>
      <c r="O337" s="5">
        <v>-0.369254</v>
      </c>
    </row>
    <row r="338">
      <c r="A338" s="18" t="str">
        <f>IFERROR(__xludf.DUMMYFUNCTION("""COMPUTED_VALUE"""),"")</f>
        <v/>
      </c>
      <c r="B338" s="19" t="str">
        <f>IFERROR(__xludf.DUMMYFUNCTION("""COMPUTED_VALUE"""),"")</f>
        <v/>
      </c>
      <c r="C338" s="20" t="str">
        <f>IFERROR(__xludf.DUMMYFUNCTION("""COMPUTED_VALUE"""),"")</f>
        <v/>
      </c>
      <c r="D338" s="21" t="str">
        <f>IFERROR(__xludf.DUMMYFUNCTION("""COMPUTED_VALUE"""),"")</f>
        <v/>
      </c>
      <c r="E338" s="21" t="str">
        <f>IFERROR(__xludf.DUMMYFUNCTION("""COMPUTED_VALUE"""),"")</f>
        <v/>
      </c>
      <c r="F338" s="21" t="str">
        <f>IFERROR(__xludf.DUMMYFUNCTION("""COMPUTED_VALUE"""),"")</f>
        <v/>
      </c>
      <c r="G338" s="23" t="str">
        <f>IFERROR(__xludf.DUMMYFUNCTION("""COMPUTED_VALUE"""),"")</f>
        <v/>
      </c>
      <c r="H338" s="4"/>
      <c r="I338" s="5" t="s">
        <v>3534</v>
      </c>
      <c r="J338" s="5" t="s">
        <v>3251</v>
      </c>
      <c r="K338" s="5">
        <v>413.0</v>
      </c>
      <c r="L338" s="5">
        <v>-2.877573</v>
      </c>
      <c r="M338" s="5">
        <v>-1.727063</v>
      </c>
      <c r="N338" s="5">
        <v>-4.604636</v>
      </c>
      <c r="O338" s="5">
        <v>-0.326801</v>
      </c>
    </row>
    <row r="339">
      <c r="A339" s="12" t="str">
        <f>IFERROR(__xludf.DUMMYFUNCTION("""COMPUTED_VALUE"""),"")</f>
        <v/>
      </c>
      <c r="B339" s="13" t="str">
        <f>IFERROR(__xludf.DUMMYFUNCTION("""COMPUTED_VALUE"""),"")</f>
        <v/>
      </c>
      <c r="C339" s="14" t="str">
        <f>IFERROR(__xludf.DUMMYFUNCTION("""COMPUTED_VALUE"""),"")</f>
        <v/>
      </c>
      <c r="D339" s="15" t="str">
        <f>IFERROR(__xludf.DUMMYFUNCTION("""COMPUTED_VALUE"""),"")</f>
        <v/>
      </c>
      <c r="E339" s="15" t="str">
        <f>IFERROR(__xludf.DUMMYFUNCTION("""COMPUTED_VALUE"""),"")</f>
        <v/>
      </c>
      <c r="F339" s="15" t="str">
        <f>IFERROR(__xludf.DUMMYFUNCTION("""COMPUTED_VALUE"""),"")</f>
        <v/>
      </c>
      <c r="G339" s="17" t="str">
        <f>IFERROR(__xludf.DUMMYFUNCTION("""COMPUTED_VALUE"""),"")</f>
        <v/>
      </c>
      <c r="H339" s="4"/>
      <c r="I339" s="5" t="s">
        <v>3535</v>
      </c>
      <c r="J339" s="5" t="s">
        <v>3331</v>
      </c>
      <c r="K339" s="5">
        <v>782.0</v>
      </c>
      <c r="L339" s="5">
        <v>0.192329</v>
      </c>
      <c r="M339" s="5">
        <v>-4.942187</v>
      </c>
      <c r="N339" s="5">
        <v>-4.749859</v>
      </c>
      <c r="O339" s="5">
        <v>-0.652419</v>
      </c>
    </row>
    <row r="340">
      <c r="A340" s="18" t="str">
        <f>IFERROR(__xludf.DUMMYFUNCTION("""COMPUTED_VALUE"""),"")</f>
        <v/>
      </c>
      <c r="B340" s="19" t="str">
        <f>IFERROR(__xludf.DUMMYFUNCTION("""COMPUTED_VALUE"""),"")</f>
        <v/>
      </c>
      <c r="C340" s="20" t="str">
        <f>IFERROR(__xludf.DUMMYFUNCTION("""COMPUTED_VALUE"""),"")</f>
        <v/>
      </c>
      <c r="D340" s="21" t="str">
        <f>IFERROR(__xludf.DUMMYFUNCTION("""COMPUTED_VALUE"""),"")</f>
        <v/>
      </c>
      <c r="E340" s="21" t="str">
        <f>IFERROR(__xludf.DUMMYFUNCTION("""COMPUTED_VALUE"""),"")</f>
        <v/>
      </c>
      <c r="F340" s="21" t="str">
        <f>IFERROR(__xludf.DUMMYFUNCTION("""COMPUTED_VALUE"""),"")</f>
        <v/>
      </c>
      <c r="G340" s="23" t="str">
        <f>IFERROR(__xludf.DUMMYFUNCTION("""COMPUTED_VALUE"""),"")</f>
        <v/>
      </c>
      <c r="H340" s="4"/>
      <c r="I340" s="5" t="s">
        <v>3536</v>
      </c>
      <c r="J340" s="5" t="s">
        <v>3251</v>
      </c>
      <c r="K340" s="5">
        <v>355.0</v>
      </c>
      <c r="L340" s="5">
        <v>-1.557812</v>
      </c>
      <c r="M340" s="5">
        <v>-3.213857</v>
      </c>
      <c r="N340" s="5">
        <v>-4.771669</v>
      </c>
      <c r="O340" s="5">
        <v>-0.299089</v>
      </c>
    </row>
    <row r="341">
      <c r="A341" s="12" t="str">
        <f>IFERROR(__xludf.DUMMYFUNCTION("""COMPUTED_VALUE"""),"")</f>
        <v/>
      </c>
      <c r="B341" s="13" t="str">
        <f>IFERROR(__xludf.DUMMYFUNCTION("""COMPUTED_VALUE"""),"")</f>
        <v/>
      </c>
      <c r="C341" s="14" t="str">
        <f>IFERROR(__xludf.DUMMYFUNCTION("""COMPUTED_VALUE"""),"")</f>
        <v/>
      </c>
      <c r="D341" s="15" t="str">
        <f>IFERROR(__xludf.DUMMYFUNCTION("""COMPUTED_VALUE"""),"")</f>
        <v/>
      </c>
      <c r="E341" s="15" t="str">
        <f>IFERROR(__xludf.DUMMYFUNCTION("""COMPUTED_VALUE"""),"")</f>
        <v/>
      </c>
      <c r="F341" s="15" t="str">
        <f>IFERROR(__xludf.DUMMYFUNCTION("""COMPUTED_VALUE"""),"")</f>
        <v/>
      </c>
      <c r="G341" s="17" t="str">
        <f>IFERROR(__xludf.DUMMYFUNCTION("""COMPUTED_VALUE"""),"")</f>
        <v/>
      </c>
      <c r="H341" s="4"/>
      <c r="I341" s="5" t="s">
        <v>3537</v>
      </c>
      <c r="J341" s="5" t="s">
        <v>3210</v>
      </c>
      <c r="K341" s="5">
        <v>532.0</v>
      </c>
      <c r="L341" s="5">
        <v>-3.705165</v>
      </c>
      <c r="M341" s="5">
        <v>-1.162103</v>
      </c>
      <c r="N341" s="5">
        <v>-4.867268</v>
      </c>
      <c r="O341" s="5">
        <v>-0.459337</v>
      </c>
    </row>
    <row r="342">
      <c r="A342" s="18" t="str">
        <f>IFERROR(__xludf.DUMMYFUNCTION("""COMPUTED_VALUE"""),"")</f>
        <v/>
      </c>
      <c r="B342" s="19" t="str">
        <f>IFERROR(__xludf.DUMMYFUNCTION("""COMPUTED_VALUE"""),"")</f>
        <v/>
      </c>
      <c r="C342" s="20" t="str">
        <f>IFERROR(__xludf.DUMMYFUNCTION("""COMPUTED_VALUE"""),"")</f>
        <v/>
      </c>
      <c r="D342" s="21" t="str">
        <f>IFERROR(__xludf.DUMMYFUNCTION("""COMPUTED_VALUE"""),"")</f>
        <v/>
      </c>
      <c r="E342" s="21" t="str">
        <f>IFERROR(__xludf.DUMMYFUNCTION("""COMPUTED_VALUE"""),"")</f>
        <v/>
      </c>
      <c r="F342" s="21" t="str">
        <f>IFERROR(__xludf.DUMMYFUNCTION("""COMPUTED_VALUE"""),"")</f>
        <v/>
      </c>
      <c r="G342" s="23" t="str">
        <f>IFERROR(__xludf.DUMMYFUNCTION("""COMPUTED_VALUE"""),"")</f>
        <v/>
      </c>
      <c r="H342" s="4"/>
      <c r="I342" s="5" t="s">
        <v>3538</v>
      </c>
      <c r="J342" s="5" t="s">
        <v>3283</v>
      </c>
      <c r="K342" s="5">
        <v>380.0</v>
      </c>
      <c r="L342" s="5">
        <v>-1.41241</v>
      </c>
      <c r="M342" s="5">
        <v>-3.47517</v>
      </c>
      <c r="N342" s="5">
        <v>-4.88758</v>
      </c>
      <c r="O342" s="5">
        <v>-0.333633</v>
      </c>
    </row>
    <row r="343">
      <c r="A343" s="12" t="str">
        <f>IFERROR(__xludf.DUMMYFUNCTION("""COMPUTED_VALUE"""),"")</f>
        <v/>
      </c>
      <c r="B343" s="13" t="str">
        <f>IFERROR(__xludf.DUMMYFUNCTION("""COMPUTED_VALUE"""),"")</f>
        <v/>
      </c>
      <c r="C343" s="14" t="str">
        <f>IFERROR(__xludf.DUMMYFUNCTION("""COMPUTED_VALUE"""),"")</f>
        <v/>
      </c>
      <c r="D343" s="15" t="str">
        <f>IFERROR(__xludf.DUMMYFUNCTION("""COMPUTED_VALUE"""),"")</f>
        <v/>
      </c>
      <c r="E343" s="15" t="str">
        <f>IFERROR(__xludf.DUMMYFUNCTION("""COMPUTED_VALUE"""),"")</f>
        <v/>
      </c>
      <c r="F343" s="15" t="str">
        <f>IFERROR(__xludf.DUMMYFUNCTION("""COMPUTED_VALUE"""),"")</f>
        <v/>
      </c>
      <c r="G343" s="17" t="str">
        <f>IFERROR(__xludf.DUMMYFUNCTION("""COMPUTED_VALUE"""),"")</f>
        <v/>
      </c>
      <c r="H343" s="4"/>
      <c r="I343" s="5" t="s">
        <v>3539</v>
      </c>
      <c r="J343" s="5" t="s">
        <v>3215</v>
      </c>
      <c r="K343" s="5">
        <v>410.0</v>
      </c>
      <c r="L343" s="5">
        <v>-3.412804</v>
      </c>
      <c r="M343" s="5">
        <v>-1.505788</v>
      </c>
      <c r="N343" s="5">
        <v>-4.918592</v>
      </c>
      <c r="O343" s="5">
        <v>-0.363173</v>
      </c>
    </row>
    <row r="344">
      <c r="A344" s="18" t="str">
        <f>IFERROR(__xludf.DUMMYFUNCTION("""COMPUTED_VALUE"""),"")</f>
        <v/>
      </c>
      <c r="B344" s="19" t="str">
        <f>IFERROR(__xludf.DUMMYFUNCTION("""COMPUTED_VALUE"""),"")</f>
        <v/>
      </c>
      <c r="C344" s="20" t="str">
        <f>IFERROR(__xludf.DUMMYFUNCTION("""COMPUTED_VALUE"""),"")</f>
        <v/>
      </c>
      <c r="D344" s="21" t="str">
        <f>IFERROR(__xludf.DUMMYFUNCTION("""COMPUTED_VALUE"""),"")</f>
        <v/>
      </c>
      <c r="E344" s="21" t="str">
        <f>IFERROR(__xludf.DUMMYFUNCTION("""COMPUTED_VALUE"""),"")</f>
        <v/>
      </c>
      <c r="F344" s="21" t="str">
        <f>IFERROR(__xludf.DUMMYFUNCTION("""COMPUTED_VALUE"""),"")</f>
        <v/>
      </c>
      <c r="G344" s="23" t="str">
        <f>IFERROR(__xludf.DUMMYFUNCTION("""COMPUTED_VALUE"""),"")</f>
        <v/>
      </c>
      <c r="H344" s="4"/>
      <c r="I344" s="5" t="s">
        <v>3540</v>
      </c>
      <c r="J344" s="5" t="s">
        <v>3229</v>
      </c>
      <c r="K344" s="5">
        <v>215.0</v>
      </c>
      <c r="L344" s="5">
        <v>-2.895847</v>
      </c>
      <c r="M344" s="5">
        <v>-2.066587</v>
      </c>
      <c r="N344" s="5">
        <v>-4.962435</v>
      </c>
      <c r="O344" s="5">
        <v>-0.201351</v>
      </c>
    </row>
    <row r="345">
      <c r="A345" s="12" t="str">
        <f>IFERROR(__xludf.DUMMYFUNCTION("""COMPUTED_VALUE"""),"")</f>
        <v/>
      </c>
      <c r="B345" s="13" t="str">
        <f>IFERROR(__xludf.DUMMYFUNCTION("""COMPUTED_VALUE"""),"")</f>
        <v/>
      </c>
      <c r="C345" s="14" t="str">
        <f>IFERROR(__xludf.DUMMYFUNCTION("""COMPUTED_VALUE"""),"")</f>
        <v/>
      </c>
      <c r="D345" s="15" t="str">
        <f>IFERROR(__xludf.DUMMYFUNCTION("""COMPUTED_VALUE"""),"")</f>
        <v/>
      </c>
      <c r="E345" s="15" t="str">
        <f>IFERROR(__xludf.DUMMYFUNCTION("""COMPUTED_VALUE"""),"")</f>
        <v/>
      </c>
      <c r="F345" s="15" t="str">
        <f>IFERROR(__xludf.DUMMYFUNCTION("""COMPUTED_VALUE"""),"")</f>
        <v/>
      </c>
      <c r="G345" s="17" t="str">
        <f>IFERROR(__xludf.DUMMYFUNCTION("""COMPUTED_VALUE"""),"")</f>
        <v/>
      </c>
      <c r="H345" s="4"/>
      <c r="I345" s="5" t="s">
        <v>1158</v>
      </c>
      <c r="J345" s="5" t="s">
        <v>3226</v>
      </c>
      <c r="K345" s="5">
        <v>277.0</v>
      </c>
      <c r="L345" s="5">
        <v>-2.858212</v>
      </c>
      <c r="M345" s="5">
        <v>-2.128732</v>
      </c>
      <c r="N345" s="5">
        <v>-4.986944</v>
      </c>
      <c r="O345" s="5">
        <v>-0.252467</v>
      </c>
    </row>
    <row r="346">
      <c r="A346" s="18" t="str">
        <f>IFERROR(__xludf.DUMMYFUNCTION("""COMPUTED_VALUE"""),"")</f>
        <v/>
      </c>
      <c r="B346" s="19" t="str">
        <f>IFERROR(__xludf.DUMMYFUNCTION("""COMPUTED_VALUE"""),"")</f>
        <v/>
      </c>
      <c r="C346" s="20" t="str">
        <f>IFERROR(__xludf.DUMMYFUNCTION("""COMPUTED_VALUE"""),"")</f>
        <v/>
      </c>
      <c r="D346" s="21" t="str">
        <f>IFERROR(__xludf.DUMMYFUNCTION("""COMPUTED_VALUE"""),"")</f>
        <v/>
      </c>
      <c r="E346" s="21" t="str">
        <f>IFERROR(__xludf.DUMMYFUNCTION("""COMPUTED_VALUE"""),"")</f>
        <v/>
      </c>
      <c r="F346" s="21" t="str">
        <f>IFERROR(__xludf.DUMMYFUNCTION("""COMPUTED_VALUE"""),"")</f>
        <v/>
      </c>
      <c r="G346" s="23" t="str">
        <f>IFERROR(__xludf.DUMMYFUNCTION("""COMPUTED_VALUE"""),"")</f>
        <v/>
      </c>
      <c r="H346" s="4"/>
      <c r="I346" s="5" t="s">
        <v>3541</v>
      </c>
      <c r="J346" s="5" t="s">
        <v>3229</v>
      </c>
      <c r="K346" s="5">
        <v>326.0</v>
      </c>
      <c r="L346" s="5">
        <v>-0.706429</v>
      </c>
      <c r="M346" s="5">
        <v>-4.318743</v>
      </c>
      <c r="N346" s="5">
        <v>-5.025172</v>
      </c>
      <c r="O346" s="5">
        <v>-0.31153</v>
      </c>
    </row>
    <row r="347">
      <c r="A347" s="12" t="str">
        <f>IFERROR(__xludf.DUMMYFUNCTION("""COMPUTED_VALUE"""),"")</f>
        <v/>
      </c>
      <c r="B347" s="13" t="str">
        <f>IFERROR(__xludf.DUMMYFUNCTION("""COMPUTED_VALUE"""),"")</f>
        <v/>
      </c>
      <c r="C347" s="14" t="str">
        <f>IFERROR(__xludf.DUMMYFUNCTION("""COMPUTED_VALUE"""),"")</f>
        <v/>
      </c>
      <c r="D347" s="15" t="str">
        <f>IFERROR(__xludf.DUMMYFUNCTION("""COMPUTED_VALUE"""),"")</f>
        <v/>
      </c>
      <c r="E347" s="15" t="str">
        <f>IFERROR(__xludf.DUMMYFUNCTION("""COMPUTED_VALUE"""),"")</f>
        <v/>
      </c>
      <c r="F347" s="15" t="str">
        <f>IFERROR(__xludf.DUMMYFUNCTION("""COMPUTED_VALUE"""),"")</f>
        <v/>
      </c>
      <c r="G347" s="17" t="str">
        <f>IFERROR(__xludf.DUMMYFUNCTION("""COMPUTED_VALUE"""),"")</f>
        <v/>
      </c>
      <c r="H347" s="4"/>
      <c r="I347" s="5" t="s">
        <v>3542</v>
      </c>
      <c r="J347" s="5" t="s">
        <v>3207</v>
      </c>
      <c r="K347" s="5">
        <v>370.0</v>
      </c>
      <c r="L347" s="5">
        <v>-3.09992</v>
      </c>
      <c r="M347" s="5">
        <v>-1.95893</v>
      </c>
      <c r="N347" s="5">
        <v>-5.05885</v>
      </c>
      <c r="O347" s="5">
        <v>-0.337569</v>
      </c>
    </row>
    <row r="348">
      <c r="A348" s="18" t="str">
        <f>IFERROR(__xludf.DUMMYFUNCTION("""COMPUTED_VALUE"""),"")</f>
        <v/>
      </c>
      <c r="B348" s="19" t="str">
        <f>IFERROR(__xludf.DUMMYFUNCTION("""COMPUTED_VALUE"""),"")</f>
        <v/>
      </c>
      <c r="C348" s="20" t="str">
        <f>IFERROR(__xludf.DUMMYFUNCTION("""COMPUTED_VALUE"""),"")</f>
        <v/>
      </c>
      <c r="D348" s="21" t="str">
        <f>IFERROR(__xludf.DUMMYFUNCTION("""COMPUTED_VALUE"""),"")</f>
        <v/>
      </c>
      <c r="E348" s="21" t="str">
        <f>IFERROR(__xludf.DUMMYFUNCTION("""COMPUTED_VALUE"""),"")</f>
        <v/>
      </c>
      <c r="F348" s="21" t="str">
        <f>IFERROR(__xludf.DUMMYFUNCTION("""COMPUTED_VALUE"""),"")</f>
        <v/>
      </c>
      <c r="G348" s="23" t="str">
        <f>IFERROR(__xludf.DUMMYFUNCTION("""COMPUTED_VALUE"""),"")</f>
        <v/>
      </c>
      <c r="H348" s="4"/>
      <c r="I348" s="5" t="s">
        <v>3543</v>
      </c>
      <c r="J348" s="5" t="s">
        <v>2201</v>
      </c>
      <c r="K348" s="5">
        <v>371.0</v>
      </c>
      <c r="L348" s="5">
        <v>-5.418177</v>
      </c>
      <c r="M348" s="5">
        <v>0.263055</v>
      </c>
      <c r="N348" s="5">
        <v>-5.155123</v>
      </c>
      <c r="O348" s="5">
        <v>-0.357013</v>
      </c>
    </row>
    <row r="349">
      <c r="A349" s="12" t="str">
        <f>IFERROR(__xludf.DUMMYFUNCTION("""COMPUTED_VALUE"""),"")</f>
        <v/>
      </c>
      <c r="B349" s="13" t="str">
        <f>IFERROR(__xludf.DUMMYFUNCTION("""COMPUTED_VALUE"""),"")</f>
        <v/>
      </c>
      <c r="C349" s="14" t="str">
        <f>IFERROR(__xludf.DUMMYFUNCTION("""COMPUTED_VALUE"""),"")</f>
        <v/>
      </c>
      <c r="D349" s="15" t="str">
        <f>IFERROR(__xludf.DUMMYFUNCTION("""COMPUTED_VALUE"""),"")</f>
        <v/>
      </c>
      <c r="E349" s="15" t="str">
        <f>IFERROR(__xludf.DUMMYFUNCTION("""COMPUTED_VALUE"""),"")</f>
        <v/>
      </c>
      <c r="F349" s="15" t="str">
        <f>IFERROR(__xludf.DUMMYFUNCTION("""COMPUTED_VALUE"""),"")</f>
        <v/>
      </c>
      <c r="G349" s="17" t="str">
        <f>IFERROR(__xludf.DUMMYFUNCTION("""COMPUTED_VALUE"""),"")</f>
        <v/>
      </c>
      <c r="H349" s="4"/>
      <c r="I349" s="5" t="s">
        <v>3544</v>
      </c>
      <c r="J349" s="5" t="s">
        <v>3229</v>
      </c>
      <c r="K349" s="5">
        <v>224.0</v>
      </c>
      <c r="L349" s="5">
        <v>-2.369507</v>
      </c>
      <c r="M349" s="5">
        <v>-2.802299</v>
      </c>
      <c r="N349" s="5">
        <v>-5.171806</v>
      </c>
      <c r="O349" s="5">
        <v>-0.224301</v>
      </c>
    </row>
    <row r="350">
      <c r="A350" s="18" t="str">
        <f>IFERROR(__xludf.DUMMYFUNCTION("""COMPUTED_VALUE"""),"")</f>
        <v/>
      </c>
      <c r="B350" s="19" t="str">
        <f>IFERROR(__xludf.DUMMYFUNCTION("""COMPUTED_VALUE"""),"")</f>
        <v/>
      </c>
      <c r="C350" s="20" t="str">
        <f>IFERROR(__xludf.DUMMYFUNCTION("""COMPUTED_VALUE"""),"")</f>
        <v/>
      </c>
      <c r="D350" s="21" t="str">
        <f>IFERROR(__xludf.DUMMYFUNCTION("""COMPUTED_VALUE"""),"")</f>
        <v/>
      </c>
      <c r="E350" s="21" t="str">
        <f>IFERROR(__xludf.DUMMYFUNCTION("""COMPUTED_VALUE"""),"")</f>
        <v/>
      </c>
      <c r="F350" s="21" t="str">
        <f>IFERROR(__xludf.DUMMYFUNCTION("""COMPUTED_VALUE"""),"")</f>
        <v/>
      </c>
      <c r="G350" s="23" t="str">
        <f>IFERROR(__xludf.DUMMYFUNCTION("""COMPUTED_VALUE"""),"")</f>
        <v/>
      </c>
      <c r="H350" s="4"/>
      <c r="I350" s="5" t="s">
        <v>3545</v>
      </c>
      <c r="J350" s="5" t="s">
        <v>3205</v>
      </c>
      <c r="K350" s="5">
        <v>248.0</v>
      </c>
      <c r="L350" s="5">
        <v>-2.993837</v>
      </c>
      <c r="M350" s="5">
        <v>-2.199397</v>
      </c>
      <c r="N350" s="5">
        <v>-5.193234</v>
      </c>
      <c r="O350" s="5">
        <v>-0.240392</v>
      </c>
    </row>
    <row r="351">
      <c r="A351" s="12" t="str">
        <f>IFERROR(__xludf.DUMMYFUNCTION("""COMPUTED_VALUE"""),"")</f>
        <v/>
      </c>
      <c r="B351" s="13" t="str">
        <f>IFERROR(__xludf.DUMMYFUNCTION("""COMPUTED_VALUE"""),"")</f>
        <v/>
      </c>
      <c r="C351" s="14" t="str">
        <f>IFERROR(__xludf.DUMMYFUNCTION("""COMPUTED_VALUE"""),"")</f>
        <v/>
      </c>
      <c r="D351" s="15" t="str">
        <f>IFERROR(__xludf.DUMMYFUNCTION("""COMPUTED_VALUE"""),"")</f>
        <v/>
      </c>
      <c r="E351" s="15" t="str">
        <f>IFERROR(__xludf.DUMMYFUNCTION("""COMPUTED_VALUE"""),"")</f>
        <v/>
      </c>
      <c r="F351" s="15" t="str">
        <f>IFERROR(__xludf.DUMMYFUNCTION("""COMPUTED_VALUE"""),"")</f>
        <v/>
      </c>
      <c r="G351" s="17" t="str">
        <f>IFERROR(__xludf.DUMMYFUNCTION("""COMPUTED_VALUE"""),"")</f>
        <v/>
      </c>
      <c r="H351" s="4"/>
      <c r="I351" s="5" t="s">
        <v>3546</v>
      </c>
      <c r="J351" s="5" t="s">
        <v>3229</v>
      </c>
      <c r="K351" s="5">
        <v>238.0</v>
      </c>
      <c r="L351" s="5">
        <v>-3.862095</v>
      </c>
      <c r="M351" s="5">
        <v>-1.385423</v>
      </c>
      <c r="N351" s="5">
        <v>-5.247518</v>
      </c>
      <c r="O351" s="5">
        <v>-0.243919</v>
      </c>
    </row>
    <row r="352">
      <c r="A352" s="18" t="str">
        <f>IFERROR(__xludf.DUMMYFUNCTION("""COMPUTED_VALUE"""),"")</f>
        <v/>
      </c>
      <c r="B352" s="19" t="str">
        <f>IFERROR(__xludf.DUMMYFUNCTION("""COMPUTED_VALUE"""),"")</f>
        <v/>
      </c>
      <c r="C352" s="20" t="str">
        <f>IFERROR(__xludf.DUMMYFUNCTION("""COMPUTED_VALUE"""),"")</f>
        <v/>
      </c>
      <c r="D352" s="21" t="str">
        <f>IFERROR(__xludf.DUMMYFUNCTION("""COMPUTED_VALUE"""),"")</f>
        <v/>
      </c>
      <c r="E352" s="21" t="str">
        <f>IFERROR(__xludf.DUMMYFUNCTION("""COMPUTED_VALUE"""),"")</f>
        <v/>
      </c>
      <c r="F352" s="21" t="str">
        <f>IFERROR(__xludf.DUMMYFUNCTION("""COMPUTED_VALUE"""),"")</f>
        <v/>
      </c>
      <c r="G352" s="23" t="str">
        <f>IFERROR(__xludf.DUMMYFUNCTION("""COMPUTED_VALUE"""),"")</f>
        <v/>
      </c>
      <c r="H352" s="4"/>
      <c r="I352" s="5" t="s">
        <v>3547</v>
      </c>
      <c r="J352" s="5" t="s">
        <v>3223</v>
      </c>
      <c r="K352" s="5">
        <v>317.0</v>
      </c>
      <c r="L352" s="5">
        <v>-4.369315</v>
      </c>
      <c r="M352" s="5">
        <v>-0.90396</v>
      </c>
      <c r="N352" s="5">
        <v>-5.273275</v>
      </c>
      <c r="O352" s="5">
        <v>-0.315154</v>
      </c>
    </row>
    <row r="353">
      <c r="A353" s="12" t="str">
        <f>IFERROR(__xludf.DUMMYFUNCTION("""COMPUTED_VALUE"""),"")</f>
        <v/>
      </c>
      <c r="B353" s="13" t="str">
        <f>IFERROR(__xludf.DUMMYFUNCTION("""COMPUTED_VALUE"""),"")</f>
        <v/>
      </c>
      <c r="C353" s="14" t="str">
        <f>IFERROR(__xludf.DUMMYFUNCTION("""COMPUTED_VALUE"""),"")</f>
        <v/>
      </c>
      <c r="D353" s="15" t="str">
        <f>IFERROR(__xludf.DUMMYFUNCTION("""COMPUTED_VALUE"""),"")</f>
        <v/>
      </c>
      <c r="E353" s="15" t="str">
        <f>IFERROR(__xludf.DUMMYFUNCTION("""COMPUTED_VALUE"""),"")</f>
        <v/>
      </c>
      <c r="F353" s="15" t="str">
        <f>IFERROR(__xludf.DUMMYFUNCTION("""COMPUTED_VALUE"""),"")</f>
        <v/>
      </c>
      <c r="G353" s="17" t="str">
        <f>IFERROR(__xludf.DUMMYFUNCTION("""COMPUTED_VALUE"""),"")</f>
        <v/>
      </c>
      <c r="H353" s="4"/>
      <c r="I353" s="5" t="s">
        <v>3548</v>
      </c>
      <c r="J353" s="5" t="s">
        <v>3237</v>
      </c>
      <c r="K353" s="5">
        <v>503.0</v>
      </c>
      <c r="L353" s="5">
        <v>-5.050441</v>
      </c>
      <c r="M353" s="5">
        <v>-0.238524</v>
      </c>
      <c r="N353" s="5">
        <v>-5.288964</v>
      </c>
      <c r="O353" s="5">
        <v>-0.558479</v>
      </c>
    </row>
    <row r="354">
      <c r="A354" s="18" t="str">
        <f>IFERROR(__xludf.DUMMYFUNCTION("""COMPUTED_VALUE"""),"")</f>
        <v/>
      </c>
      <c r="B354" s="19" t="str">
        <f>IFERROR(__xludf.DUMMYFUNCTION("""COMPUTED_VALUE"""),"")</f>
        <v/>
      </c>
      <c r="C354" s="20" t="str">
        <f>IFERROR(__xludf.DUMMYFUNCTION("""COMPUTED_VALUE"""),"")</f>
        <v/>
      </c>
      <c r="D354" s="21" t="str">
        <f>IFERROR(__xludf.DUMMYFUNCTION("""COMPUTED_VALUE"""),"")</f>
        <v/>
      </c>
      <c r="E354" s="21" t="str">
        <f>IFERROR(__xludf.DUMMYFUNCTION("""COMPUTED_VALUE"""),"")</f>
        <v/>
      </c>
      <c r="F354" s="21" t="str">
        <f>IFERROR(__xludf.DUMMYFUNCTION("""COMPUTED_VALUE"""),"")</f>
        <v/>
      </c>
      <c r="G354" s="23" t="str">
        <f>IFERROR(__xludf.DUMMYFUNCTION("""COMPUTED_VALUE"""),"")</f>
        <v/>
      </c>
      <c r="H354" s="4"/>
      <c r="I354" s="5" t="s">
        <v>3549</v>
      </c>
      <c r="J354" s="5" t="s">
        <v>3283</v>
      </c>
      <c r="K354" s="5">
        <v>224.0</v>
      </c>
      <c r="L354" s="5">
        <v>-3.827874</v>
      </c>
      <c r="M354" s="5">
        <v>-1.558083</v>
      </c>
      <c r="N354" s="5">
        <v>-5.385957</v>
      </c>
      <c r="O354" s="5">
        <v>-0.23043</v>
      </c>
    </row>
    <row r="355">
      <c r="A355" s="12" t="str">
        <f>IFERROR(__xludf.DUMMYFUNCTION("""COMPUTED_VALUE"""),"")</f>
        <v/>
      </c>
      <c r="B355" s="13" t="str">
        <f>IFERROR(__xludf.DUMMYFUNCTION("""COMPUTED_VALUE"""),"")</f>
        <v/>
      </c>
      <c r="C355" s="14" t="str">
        <f>IFERROR(__xludf.DUMMYFUNCTION("""COMPUTED_VALUE"""),"")</f>
        <v/>
      </c>
      <c r="D355" s="15" t="str">
        <f>IFERROR(__xludf.DUMMYFUNCTION("""COMPUTED_VALUE"""),"")</f>
        <v/>
      </c>
      <c r="E355" s="15" t="str">
        <f>IFERROR(__xludf.DUMMYFUNCTION("""COMPUTED_VALUE"""),"")</f>
        <v/>
      </c>
      <c r="F355" s="15" t="str">
        <f>IFERROR(__xludf.DUMMYFUNCTION("""COMPUTED_VALUE"""),"")</f>
        <v/>
      </c>
      <c r="G355" s="17" t="str">
        <f>IFERROR(__xludf.DUMMYFUNCTION("""COMPUTED_VALUE"""),"")</f>
        <v/>
      </c>
      <c r="H355" s="4"/>
      <c r="I355" s="5" t="s">
        <v>3550</v>
      </c>
      <c r="J355" s="5" t="s">
        <v>3220</v>
      </c>
      <c r="K355" s="5">
        <v>218.0</v>
      </c>
      <c r="L355" s="5">
        <v>-2.770297</v>
      </c>
      <c r="M355" s="5">
        <v>-2.844008</v>
      </c>
      <c r="N355" s="5">
        <v>-5.614305</v>
      </c>
      <c r="O355" s="5">
        <v>-0.241668</v>
      </c>
    </row>
    <row r="356">
      <c r="A356" s="18" t="str">
        <f>IFERROR(__xludf.DUMMYFUNCTION("""COMPUTED_VALUE"""),"")</f>
        <v/>
      </c>
      <c r="B356" s="19" t="str">
        <f>IFERROR(__xludf.DUMMYFUNCTION("""COMPUTED_VALUE"""),"")</f>
        <v/>
      </c>
      <c r="C356" s="20" t="str">
        <f>IFERROR(__xludf.DUMMYFUNCTION("""COMPUTED_VALUE"""),"")</f>
        <v/>
      </c>
      <c r="D356" s="21" t="str">
        <f>IFERROR(__xludf.DUMMYFUNCTION("""COMPUTED_VALUE"""),"")</f>
        <v/>
      </c>
      <c r="E356" s="21" t="str">
        <f>IFERROR(__xludf.DUMMYFUNCTION("""COMPUTED_VALUE"""),"")</f>
        <v/>
      </c>
      <c r="F356" s="21" t="str">
        <f>IFERROR(__xludf.DUMMYFUNCTION("""COMPUTED_VALUE"""),"")</f>
        <v/>
      </c>
      <c r="G356" s="23" t="str">
        <f>IFERROR(__xludf.DUMMYFUNCTION("""COMPUTED_VALUE"""),"")</f>
        <v/>
      </c>
      <c r="H356" s="4"/>
      <c r="I356" s="5" t="s">
        <v>3551</v>
      </c>
      <c r="J356" s="5" t="s">
        <v>3223</v>
      </c>
      <c r="K356" s="5">
        <v>666.0</v>
      </c>
      <c r="L356" s="5">
        <v>-4.174864</v>
      </c>
      <c r="M356" s="5">
        <v>-1.490209</v>
      </c>
      <c r="N356" s="5">
        <v>-5.665073</v>
      </c>
      <c r="O356" s="5">
        <v>-0.741732</v>
      </c>
    </row>
    <row r="357">
      <c r="A357" s="12" t="str">
        <f>IFERROR(__xludf.DUMMYFUNCTION("""COMPUTED_VALUE"""),"")</f>
        <v/>
      </c>
      <c r="B357" s="13" t="str">
        <f>IFERROR(__xludf.DUMMYFUNCTION("""COMPUTED_VALUE"""),"")</f>
        <v/>
      </c>
      <c r="C357" s="14" t="str">
        <f>IFERROR(__xludf.DUMMYFUNCTION("""COMPUTED_VALUE"""),"")</f>
        <v/>
      </c>
      <c r="D357" s="15" t="str">
        <f>IFERROR(__xludf.DUMMYFUNCTION("""COMPUTED_VALUE"""),"")</f>
        <v/>
      </c>
      <c r="E357" s="15" t="str">
        <f>IFERROR(__xludf.DUMMYFUNCTION("""COMPUTED_VALUE"""),"")</f>
        <v/>
      </c>
      <c r="F357" s="15" t="str">
        <f>IFERROR(__xludf.DUMMYFUNCTION("""COMPUTED_VALUE"""),"")</f>
        <v/>
      </c>
      <c r="G357" s="17" t="str">
        <f>IFERROR(__xludf.DUMMYFUNCTION("""COMPUTED_VALUE"""),"")</f>
        <v/>
      </c>
      <c r="H357" s="4"/>
      <c r="I357" s="5" t="s">
        <v>3552</v>
      </c>
      <c r="J357" s="5" t="s">
        <v>3203</v>
      </c>
      <c r="K357" s="5">
        <v>528.0</v>
      </c>
      <c r="L357" s="5">
        <v>-4.263039</v>
      </c>
      <c r="M357" s="5">
        <v>-1.491363</v>
      </c>
      <c r="N357" s="5">
        <v>-5.754402</v>
      </c>
      <c r="O357" s="5">
        <v>-0.600554</v>
      </c>
    </row>
    <row r="358">
      <c r="A358" s="18" t="str">
        <f>IFERROR(__xludf.DUMMYFUNCTION("""COMPUTED_VALUE"""),"")</f>
        <v/>
      </c>
      <c r="B358" s="19" t="str">
        <f>IFERROR(__xludf.DUMMYFUNCTION("""COMPUTED_VALUE"""),"")</f>
        <v/>
      </c>
      <c r="C358" s="20" t="str">
        <f>IFERROR(__xludf.DUMMYFUNCTION("""COMPUTED_VALUE"""),"")</f>
        <v/>
      </c>
      <c r="D358" s="21" t="str">
        <f>IFERROR(__xludf.DUMMYFUNCTION("""COMPUTED_VALUE"""),"")</f>
        <v/>
      </c>
      <c r="E358" s="21" t="str">
        <f>IFERROR(__xludf.DUMMYFUNCTION("""COMPUTED_VALUE"""),"")</f>
        <v/>
      </c>
      <c r="F358" s="21" t="str">
        <f>IFERROR(__xludf.DUMMYFUNCTION("""COMPUTED_VALUE"""),"")</f>
        <v/>
      </c>
      <c r="G358" s="23" t="str">
        <f>IFERROR(__xludf.DUMMYFUNCTION("""COMPUTED_VALUE"""),"")</f>
        <v/>
      </c>
      <c r="H358" s="4"/>
      <c r="I358" s="5" t="s">
        <v>1081</v>
      </c>
      <c r="J358" s="5" t="s">
        <v>3263</v>
      </c>
      <c r="K358" s="5">
        <v>411.0</v>
      </c>
      <c r="L358" s="5">
        <v>-5.115751</v>
      </c>
      <c r="M358" s="5">
        <v>-0.771523</v>
      </c>
      <c r="N358" s="5">
        <v>-5.887274</v>
      </c>
      <c r="O358" s="5">
        <v>-0.479956</v>
      </c>
    </row>
    <row r="359">
      <c r="A359" s="12" t="str">
        <f>IFERROR(__xludf.DUMMYFUNCTION("""COMPUTED_VALUE"""),"")</f>
        <v/>
      </c>
      <c r="B359" s="13" t="str">
        <f>IFERROR(__xludf.DUMMYFUNCTION("""COMPUTED_VALUE"""),"")</f>
        <v/>
      </c>
      <c r="C359" s="14" t="str">
        <f>IFERROR(__xludf.DUMMYFUNCTION("""COMPUTED_VALUE"""),"")</f>
        <v/>
      </c>
      <c r="D359" s="15" t="str">
        <f>IFERROR(__xludf.DUMMYFUNCTION("""COMPUTED_VALUE"""),"")</f>
        <v/>
      </c>
      <c r="E359" s="15" t="str">
        <f>IFERROR(__xludf.DUMMYFUNCTION("""COMPUTED_VALUE"""),"")</f>
        <v/>
      </c>
      <c r="F359" s="15" t="str">
        <f>IFERROR(__xludf.DUMMYFUNCTION("""COMPUTED_VALUE"""),"")</f>
        <v/>
      </c>
      <c r="G359" s="17" t="str">
        <f>IFERROR(__xludf.DUMMYFUNCTION("""COMPUTED_VALUE"""),"")</f>
        <v/>
      </c>
      <c r="H359" s="4"/>
      <c r="I359" s="5" t="s">
        <v>3553</v>
      </c>
      <c r="J359" s="5" t="s">
        <v>3331</v>
      </c>
      <c r="K359" s="5">
        <v>305.0</v>
      </c>
      <c r="L359" s="5">
        <v>-0.19092</v>
      </c>
      <c r="M359" s="5">
        <v>-5.699536</v>
      </c>
      <c r="N359" s="5">
        <v>-5.890456</v>
      </c>
      <c r="O359" s="5">
        <v>-0.360262</v>
      </c>
    </row>
    <row r="360">
      <c r="A360" s="18" t="str">
        <f>IFERROR(__xludf.DUMMYFUNCTION("""COMPUTED_VALUE"""),"")</f>
        <v/>
      </c>
      <c r="B360" s="19" t="str">
        <f>IFERROR(__xludf.DUMMYFUNCTION("""COMPUTED_VALUE"""),"")</f>
        <v/>
      </c>
      <c r="C360" s="20" t="str">
        <f>IFERROR(__xludf.DUMMYFUNCTION("""COMPUTED_VALUE"""),"")</f>
        <v/>
      </c>
      <c r="D360" s="21" t="str">
        <f>IFERROR(__xludf.DUMMYFUNCTION("""COMPUTED_VALUE"""),"")</f>
        <v/>
      </c>
      <c r="E360" s="21" t="str">
        <f>IFERROR(__xludf.DUMMYFUNCTION("""COMPUTED_VALUE"""),"")</f>
        <v/>
      </c>
      <c r="F360" s="21" t="str">
        <f>IFERROR(__xludf.DUMMYFUNCTION("""COMPUTED_VALUE"""),"")</f>
        <v/>
      </c>
      <c r="G360" s="23" t="str">
        <f>IFERROR(__xludf.DUMMYFUNCTION("""COMPUTED_VALUE"""),"")</f>
        <v/>
      </c>
      <c r="H360" s="4"/>
      <c r="I360" s="5" t="s">
        <v>3554</v>
      </c>
      <c r="J360" s="5" t="s">
        <v>3203</v>
      </c>
      <c r="K360" s="5">
        <v>178.0</v>
      </c>
      <c r="L360" s="5">
        <v>-5.252443</v>
      </c>
      <c r="M360" s="5">
        <v>-0.705728</v>
      </c>
      <c r="N360" s="5">
        <v>-5.95817</v>
      </c>
      <c r="O360" s="5">
        <v>-0.21389</v>
      </c>
    </row>
    <row r="361">
      <c r="A361" s="12" t="str">
        <f>IFERROR(__xludf.DUMMYFUNCTION("""COMPUTED_VALUE"""),"")</f>
        <v/>
      </c>
      <c r="B361" s="13" t="str">
        <f>IFERROR(__xludf.DUMMYFUNCTION("""COMPUTED_VALUE"""),"")</f>
        <v/>
      </c>
      <c r="C361" s="14" t="str">
        <f>IFERROR(__xludf.DUMMYFUNCTION("""COMPUTED_VALUE"""),"")</f>
        <v/>
      </c>
      <c r="D361" s="15" t="str">
        <f>IFERROR(__xludf.DUMMYFUNCTION("""COMPUTED_VALUE"""),"")</f>
        <v/>
      </c>
      <c r="E361" s="15" t="str">
        <f>IFERROR(__xludf.DUMMYFUNCTION("""COMPUTED_VALUE"""),"")</f>
        <v/>
      </c>
      <c r="F361" s="15" t="str">
        <f>IFERROR(__xludf.DUMMYFUNCTION("""COMPUTED_VALUE"""),"")</f>
        <v/>
      </c>
      <c r="G361" s="17" t="str">
        <f>IFERROR(__xludf.DUMMYFUNCTION("""COMPUTED_VALUE"""),"")</f>
        <v/>
      </c>
      <c r="H361" s="4"/>
      <c r="I361" s="5" t="s">
        <v>3555</v>
      </c>
      <c r="J361" s="5" t="s">
        <v>3229</v>
      </c>
      <c r="K361" s="5">
        <v>362.0</v>
      </c>
      <c r="L361" s="5">
        <v>-4.554743</v>
      </c>
      <c r="M361" s="5">
        <v>-1.418111</v>
      </c>
      <c r="N361" s="5">
        <v>-5.972854</v>
      </c>
      <c r="O361" s="5">
        <v>-0.454817</v>
      </c>
    </row>
    <row r="362">
      <c r="A362" s="18" t="str">
        <f>IFERROR(__xludf.DUMMYFUNCTION("""COMPUTED_VALUE"""),"")</f>
        <v/>
      </c>
      <c r="B362" s="19" t="str">
        <f>IFERROR(__xludf.DUMMYFUNCTION("""COMPUTED_VALUE"""),"")</f>
        <v/>
      </c>
      <c r="C362" s="20" t="str">
        <f>IFERROR(__xludf.DUMMYFUNCTION("""COMPUTED_VALUE"""),"")</f>
        <v/>
      </c>
      <c r="D362" s="21" t="str">
        <f>IFERROR(__xludf.DUMMYFUNCTION("""COMPUTED_VALUE"""),"")</f>
        <v/>
      </c>
      <c r="E362" s="21" t="str">
        <f>IFERROR(__xludf.DUMMYFUNCTION("""COMPUTED_VALUE"""),"")</f>
        <v/>
      </c>
      <c r="F362" s="21" t="str">
        <f>IFERROR(__xludf.DUMMYFUNCTION("""COMPUTED_VALUE"""),"")</f>
        <v/>
      </c>
      <c r="G362" s="23" t="str">
        <f>IFERROR(__xludf.DUMMYFUNCTION("""COMPUTED_VALUE"""),"")</f>
        <v/>
      </c>
      <c r="H362" s="4"/>
      <c r="I362" s="5" t="s">
        <v>3556</v>
      </c>
      <c r="J362" s="5" t="s">
        <v>3207</v>
      </c>
      <c r="K362" s="5">
        <v>440.0</v>
      </c>
      <c r="L362" s="5">
        <v>-3.065739</v>
      </c>
      <c r="M362" s="5">
        <v>-2.931699</v>
      </c>
      <c r="N362" s="5">
        <v>-5.997438</v>
      </c>
      <c r="O362" s="5">
        <v>-0.524945</v>
      </c>
    </row>
    <row r="363">
      <c r="A363" s="12" t="str">
        <f>IFERROR(__xludf.DUMMYFUNCTION("""COMPUTED_VALUE"""),"")</f>
        <v/>
      </c>
      <c r="B363" s="13" t="str">
        <f>IFERROR(__xludf.DUMMYFUNCTION("""COMPUTED_VALUE"""),"")</f>
        <v/>
      </c>
      <c r="C363" s="14" t="str">
        <f>IFERROR(__xludf.DUMMYFUNCTION("""COMPUTED_VALUE"""),"")</f>
        <v/>
      </c>
      <c r="D363" s="15" t="str">
        <f>IFERROR(__xludf.DUMMYFUNCTION("""COMPUTED_VALUE"""),"")</f>
        <v/>
      </c>
      <c r="E363" s="15" t="str">
        <f>IFERROR(__xludf.DUMMYFUNCTION("""COMPUTED_VALUE"""),"")</f>
        <v/>
      </c>
      <c r="F363" s="15" t="str">
        <f>IFERROR(__xludf.DUMMYFUNCTION("""COMPUTED_VALUE"""),"")</f>
        <v/>
      </c>
      <c r="G363" s="17" t="str">
        <f>IFERROR(__xludf.DUMMYFUNCTION("""COMPUTED_VALUE"""),"")</f>
        <v/>
      </c>
      <c r="H363" s="4"/>
      <c r="I363" s="5" t="s">
        <v>3557</v>
      </c>
      <c r="J363" s="5" t="s">
        <v>3283</v>
      </c>
      <c r="K363" s="5">
        <v>527.0</v>
      </c>
      <c r="L363" s="5">
        <v>-2.248328</v>
      </c>
      <c r="M363" s="5">
        <v>-3.756567</v>
      </c>
      <c r="N363" s="5">
        <v>-6.004895</v>
      </c>
      <c r="O363" s="5">
        <v>-0.641103</v>
      </c>
    </row>
    <row r="364">
      <c r="A364" s="18" t="str">
        <f>IFERROR(__xludf.DUMMYFUNCTION("""COMPUTED_VALUE"""),"")</f>
        <v/>
      </c>
      <c r="B364" s="19" t="str">
        <f>IFERROR(__xludf.DUMMYFUNCTION("""COMPUTED_VALUE"""),"")</f>
        <v/>
      </c>
      <c r="C364" s="20" t="str">
        <f>IFERROR(__xludf.DUMMYFUNCTION("""COMPUTED_VALUE"""),"")</f>
        <v/>
      </c>
      <c r="D364" s="21" t="str">
        <f>IFERROR(__xludf.DUMMYFUNCTION("""COMPUTED_VALUE"""),"")</f>
        <v/>
      </c>
      <c r="E364" s="21" t="str">
        <f>IFERROR(__xludf.DUMMYFUNCTION("""COMPUTED_VALUE"""),"")</f>
        <v/>
      </c>
      <c r="F364" s="21" t="str">
        <f>IFERROR(__xludf.DUMMYFUNCTION("""COMPUTED_VALUE"""),"")</f>
        <v/>
      </c>
      <c r="G364" s="23" t="str">
        <f>IFERROR(__xludf.DUMMYFUNCTION("""COMPUTED_VALUE"""),"")</f>
        <v/>
      </c>
      <c r="H364" s="4"/>
      <c r="I364" s="5" t="s">
        <v>3102</v>
      </c>
      <c r="J364" s="5" t="s">
        <v>3281</v>
      </c>
      <c r="K364" s="5">
        <v>393.0</v>
      </c>
      <c r="L364" s="5">
        <v>-6.185429</v>
      </c>
      <c r="M364" s="5">
        <v>-0.142635</v>
      </c>
      <c r="N364" s="5">
        <v>-6.328064</v>
      </c>
      <c r="O364" s="5">
        <v>-0.518482</v>
      </c>
    </row>
    <row r="365">
      <c r="A365" s="12" t="str">
        <f>IFERROR(__xludf.DUMMYFUNCTION("""COMPUTED_VALUE"""),"")</f>
        <v/>
      </c>
      <c r="B365" s="13" t="str">
        <f>IFERROR(__xludf.DUMMYFUNCTION("""COMPUTED_VALUE"""),"")</f>
        <v/>
      </c>
      <c r="C365" s="14" t="str">
        <f>IFERROR(__xludf.DUMMYFUNCTION("""COMPUTED_VALUE"""),"")</f>
        <v/>
      </c>
      <c r="D365" s="15" t="str">
        <f>IFERROR(__xludf.DUMMYFUNCTION("""COMPUTED_VALUE"""),"")</f>
        <v/>
      </c>
      <c r="E365" s="15" t="str">
        <f>IFERROR(__xludf.DUMMYFUNCTION("""COMPUTED_VALUE"""),"")</f>
        <v/>
      </c>
      <c r="F365" s="15" t="str">
        <f>IFERROR(__xludf.DUMMYFUNCTION("""COMPUTED_VALUE"""),"")</f>
        <v/>
      </c>
      <c r="G365" s="17" t="str">
        <f>IFERROR(__xludf.DUMMYFUNCTION("""COMPUTED_VALUE"""),"")</f>
        <v/>
      </c>
      <c r="H365" s="4"/>
      <c r="I365" s="5" t="s">
        <v>3558</v>
      </c>
      <c r="J365" s="5" t="s">
        <v>3229</v>
      </c>
      <c r="K365" s="5">
        <v>404.0</v>
      </c>
      <c r="L365" s="5">
        <v>-4.968614</v>
      </c>
      <c r="M365" s="5">
        <v>-1.38248</v>
      </c>
      <c r="N365" s="5">
        <v>-6.351094</v>
      </c>
      <c r="O365" s="5">
        <v>-0.555313</v>
      </c>
    </row>
    <row r="366">
      <c r="A366" s="18" t="str">
        <f>IFERROR(__xludf.DUMMYFUNCTION("""COMPUTED_VALUE"""),"")</f>
        <v/>
      </c>
      <c r="B366" s="19" t="str">
        <f>IFERROR(__xludf.DUMMYFUNCTION("""COMPUTED_VALUE"""),"")</f>
        <v/>
      </c>
      <c r="C366" s="20" t="str">
        <f>IFERROR(__xludf.DUMMYFUNCTION("""COMPUTED_VALUE"""),"")</f>
        <v/>
      </c>
      <c r="D366" s="21" t="str">
        <f>IFERROR(__xludf.DUMMYFUNCTION("""COMPUTED_VALUE"""),"")</f>
        <v/>
      </c>
      <c r="E366" s="21" t="str">
        <f>IFERROR(__xludf.DUMMYFUNCTION("""COMPUTED_VALUE"""),"")</f>
        <v/>
      </c>
      <c r="F366" s="21" t="str">
        <f>IFERROR(__xludf.DUMMYFUNCTION("""COMPUTED_VALUE"""),"")</f>
        <v/>
      </c>
      <c r="G366" s="23" t="str">
        <f>IFERROR(__xludf.DUMMYFUNCTION("""COMPUTED_VALUE"""),"")</f>
        <v/>
      </c>
      <c r="H366" s="4"/>
      <c r="I366" s="5" t="s">
        <v>3096</v>
      </c>
      <c r="J366" s="5" t="s">
        <v>3205</v>
      </c>
      <c r="K366" s="5">
        <v>202.0</v>
      </c>
      <c r="L366" s="5">
        <v>-5.569053</v>
      </c>
      <c r="M366" s="5">
        <v>-0.857553</v>
      </c>
      <c r="N366" s="5">
        <v>-6.426606</v>
      </c>
      <c r="O366" s="5">
        <v>-0.27081</v>
      </c>
    </row>
    <row r="367">
      <c r="A367" s="12" t="str">
        <f>IFERROR(__xludf.DUMMYFUNCTION("""COMPUTED_VALUE"""),"")</f>
        <v/>
      </c>
      <c r="B367" s="13" t="str">
        <f>IFERROR(__xludf.DUMMYFUNCTION("""COMPUTED_VALUE"""),"")</f>
        <v/>
      </c>
      <c r="C367" s="14" t="str">
        <f>IFERROR(__xludf.DUMMYFUNCTION("""COMPUTED_VALUE"""),"")</f>
        <v/>
      </c>
      <c r="D367" s="15" t="str">
        <f>IFERROR(__xludf.DUMMYFUNCTION("""COMPUTED_VALUE"""),"")</f>
        <v/>
      </c>
      <c r="E367" s="15" t="str">
        <f>IFERROR(__xludf.DUMMYFUNCTION("""COMPUTED_VALUE"""),"")</f>
        <v/>
      </c>
      <c r="F367" s="15" t="str">
        <f>IFERROR(__xludf.DUMMYFUNCTION("""COMPUTED_VALUE"""),"")</f>
        <v/>
      </c>
      <c r="G367" s="17" t="str">
        <f>IFERROR(__xludf.DUMMYFUNCTION("""COMPUTED_VALUE"""),"")</f>
        <v/>
      </c>
      <c r="H367" s="4"/>
      <c r="I367" s="5" t="s">
        <v>3559</v>
      </c>
      <c r="J367" s="5" t="s">
        <v>3205</v>
      </c>
      <c r="K367" s="5">
        <v>439.0</v>
      </c>
      <c r="L367" s="5">
        <v>-5.368221</v>
      </c>
      <c r="M367" s="5">
        <v>-1.168503</v>
      </c>
      <c r="N367" s="5">
        <v>-6.536724</v>
      </c>
      <c r="O367" s="5">
        <v>-0.604218</v>
      </c>
    </row>
    <row r="368">
      <c r="A368" s="18" t="str">
        <f>IFERROR(__xludf.DUMMYFUNCTION("""COMPUTED_VALUE"""),"")</f>
        <v/>
      </c>
      <c r="B368" s="19" t="str">
        <f>IFERROR(__xludf.DUMMYFUNCTION("""COMPUTED_VALUE"""),"")</f>
        <v/>
      </c>
      <c r="C368" s="20" t="str">
        <f>IFERROR(__xludf.DUMMYFUNCTION("""COMPUTED_VALUE"""),"")</f>
        <v/>
      </c>
      <c r="D368" s="21" t="str">
        <f>IFERROR(__xludf.DUMMYFUNCTION("""COMPUTED_VALUE"""),"")</f>
        <v/>
      </c>
      <c r="E368" s="21" t="str">
        <f>IFERROR(__xludf.DUMMYFUNCTION("""COMPUTED_VALUE"""),"")</f>
        <v/>
      </c>
      <c r="F368" s="21" t="str">
        <f>IFERROR(__xludf.DUMMYFUNCTION("""COMPUTED_VALUE"""),"")</f>
        <v/>
      </c>
      <c r="G368" s="23" t="str">
        <f>IFERROR(__xludf.DUMMYFUNCTION("""COMPUTED_VALUE"""),"")</f>
        <v/>
      </c>
      <c r="H368" s="4"/>
      <c r="I368" s="5" t="s">
        <v>3560</v>
      </c>
      <c r="J368" s="5" t="s">
        <v>3203</v>
      </c>
      <c r="K368" s="5">
        <v>269.0</v>
      </c>
      <c r="L368" s="5">
        <v>-4.064724</v>
      </c>
      <c r="M368" s="5">
        <v>-2.500528</v>
      </c>
      <c r="N368" s="5">
        <v>-6.565251</v>
      </c>
      <c r="O368" s="5">
        <v>-0.37212</v>
      </c>
    </row>
    <row r="369">
      <c r="A369" s="12" t="str">
        <f>IFERROR(__xludf.DUMMYFUNCTION("""COMPUTED_VALUE"""),"")</f>
        <v/>
      </c>
      <c r="B369" s="13" t="str">
        <f>IFERROR(__xludf.DUMMYFUNCTION("""COMPUTED_VALUE"""),"")</f>
        <v/>
      </c>
      <c r="C369" s="14" t="str">
        <f>IFERROR(__xludf.DUMMYFUNCTION("""COMPUTED_VALUE"""),"")</f>
        <v/>
      </c>
      <c r="D369" s="15" t="str">
        <f>IFERROR(__xludf.DUMMYFUNCTION("""COMPUTED_VALUE"""),"")</f>
        <v/>
      </c>
      <c r="E369" s="15" t="str">
        <f>IFERROR(__xludf.DUMMYFUNCTION("""COMPUTED_VALUE"""),"")</f>
        <v/>
      </c>
      <c r="F369" s="15" t="str">
        <f>IFERROR(__xludf.DUMMYFUNCTION("""COMPUTED_VALUE"""),"")</f>
        <v/>
      </c>
      <c r="G369" s="17" t="str">
        <f>IFERROR(__xludf.DUMMYFUNCTION("""COMPUTED_VALUE"""),"")</f>
        <v/>
      </c>
      <c r="H369" s="4"/>
      <c r="I369" s="5" t="s">
        <v>3561</v>
      </c>
      <c r="J369" s="5" t="s">
        <v>3331</v>
      </c>
      <c r="K369" s="5">
        <v>285.0</v>
      </c>
      <c r="L369" s="5">
        <v>-2.194669</v>
      </c>
      <c r="M369" s="5">
        <v>-4.548595</v>
      </c>
      <c r="N369" s="5">
        <v>-6.743264</v>
      </c>
      <c r="O369" s="5">
        <v>-0.410297</v>
      </c>
    </row>
    <row r="370">
      <c r="A370" s="18" t="str">
        <f>IFERROR(__xludf.DUMMYFUNCTION("""COMPUTED_VALUE"""),"")</f>
        <v/>
      </c>
      <c r="B370" s="19" t="str">
        <f>IFERROR(__xludf.DUMMYFUNCTION("""COMPUTED_VALUE"""),"")</f>
        <v/>
      </c>
      <c r="C370" s="20" t="str">
        <f>IFERROR(__xludf.DUMMYFUNCTION("""COMPUTED_VALUE"""),"")</f>
        <v/>
      </c>
      <c r="D370" s="21" t="str">
        <f>IFERROR(__xludf.DUMMYFUNCTION("""COMPUTED_VALUE"""),"")</f>
        <v/>
      </c>
      <c r="E370" s="21" t="str">
        <f>IFERROR(__xludf.DUMMYFUNCTION("""COMPUTED_VALUE"""),"")</f>
        <v/>
      </c>
      <c r="F370" s="21" t="str">
        <f>IFERROR(__xludf.DUMMYFUNCTION("""COMPUTED_VALUE"""),"")</f>
        <v/>
      </c>
      <c r="G370" s="23" t="str">
        <f>IFERROR(__xludf.DUMMYFUNCTION("""COMPUTED_VALUE"""),"")</f>
        <v/>
      </c>
      <c r="H370" s="4"/>
      <c r="I370" s="5" t="s">
        <v>3562</v>
      </c>
      <c r="J370" s="5" t="s">
        <v>3331</v>
      </c>
      <c r="K370" s="5">
        <v>319.0</v>
      </c>
      <c r="L370" s="5">
        <v>-6.866288</v>
      </c>
      <c r="M370" s="5">
        <v>-0.174265</v>
      </c>
      <c r="N370" s="5">
        <v>-7.040553</v>
      </c>
      <c r="O370" s="5">
        <v>-0.487875</v>
      </c>
    </row>
    <row r="371">
      <c r="A371" s="12" t="str">
        <f>IFERROR(__xludf.DUMMYFUNCTION("""COMPUTED_VALUE"""),"")</f>
        <v/>
      </c>
      <c r="B371" s="13" t="str">
        <f>IFERROR(__xludf.DUMMYFUNCTION("""COMPUTED_VALUE"""),"")</f>
        <v/>
      </c>
      <c r="C371" s="14" t="str">
        <f>IFERROR(__xludf.DUMMYFUNCTION("""COMPUTED_VALUE"""),"")</f>
        <v/>
      </c>
      <c r="D371" s="15" t="str">
        <f>IFERROR(__xludf.DUMMYFUNCTION("""COMPUTED_VALUE"""),"")</f>
        <v/>
      </c>
      <c r="E371" s="15" t="str">
        <f>IFERROR(__xludf.DUMMYFUNCTION("""COMPUTED_VALUE"""),"")</f>
        <v/>
      </c>
      <c r="F371" s="15" t="str">
        <f>IFERROR(__xludf.DUMMYFUNCTION("""COMPUTED_VALUE"""),"")</f>
        <v/>
      </c>
      <c r="G371" s="17" t="str">
        <f>IFERROR(__xludf.DUMMYFUNCTION("""COMPUTED_VALUE"""),"")</f>
        <v/>
      </c>
      <c r="H371" s="4"/>
      <c r="I371" s="5" t="s">
        <v>3563</v>
      </c>
      <c r="J371" s="5" t="s">
        <v>3233</v>
      </c>
      <c r="K371" s="5">
        <v>385.0</v>
      </c>
      <c r="L371" s="5">
        <v>-4.702749</v>
      </c>
      <c r="M371" s="5">
        <v>-2.432518</v>
      </c>
      <c r="N371" s="5">
        <v>-7.135266</v>
      </c>
      <c r="O371" s="5">
        <v>-0.584601</v>
      </c>
    </row>
    <row r="372">
      <c r="A372" s="18" t="str">
        <f>IFERROR(__xludf.DUMMYFUNCTION("""COMPUTED_VALUE"""),"")</f>
        <v/>
      </c>
      <c r="B372" s="19" t="str">
        <f>IFERROR(__xludf.DUMMYFUNCTION("""COMPUTED_VALUE"""),"")</f>
        <v/>
      </c>
      <c r="C372" s="20" t="str">
        <f>IFERROR(__xludf.DUMMYFUNCTION("""COMPUTED_VALUE"""),"")</f>
        <v/>
      </c>
      <c r="D372" s="21" t="str">
        <f>IFERROR(__xludf.DUMMYFUNCTION("""COMPUTED_VALUE"""),"")</f>
        <v/>
      </c>
      <c r="E372" s="21" t="str">
        <f>IFERROR(__xludf.DUMMYFUNCTION("""COMPUTED_VALUE"""),"")</f>
        <v/>
      </c>
      <c r="F372" s="21" t="str">
        <f>IFERROR(__xludf.DUMMYFUNCTION("""COMPUTED_VALUE"""),"")</f>
        <v/>
      </c>
      <c r="G372" s="23" t="str">
        <f>IFERROR(__xludf.DUMMYFUNCTION("""COMPUTED_VALUE"""),"")</f>
        <v/>
      </c>
      <c r="H372" s="4"/>
      <c r="I372" s="5" t="s">
        <v>3564</v>
      </c>
      <c r="J372" s="5" t="s">
        <v>3229</v>
      </c>
      <c r="K372" s="5">
        <v>541.0</v>
      </c>
      <c r="L372" s="5">
        <v>-4.882627</v>
      </c>
      <c r="M372" s="5">
        <v>-3.080248</v>
      </c>
      <c r="N372" s="5">
        <v>-7.962875</v>
      </c>
      <c r="O372" s="5">
        <v>-1.020092</v>
      </c>
    </row>
    <row r="373">
      <c r="A373" s="12" t="str">
        <f>IFERROR(__xludf.DUMMYFUNCTION("""COMPUTED_VALUE"""),"")</f>
        <v/>
      </c>
      <c r="B373" s="13" t="str">
        <f>IFERROR(__xludf.DUMMYFUNCTION("""COMPUTED_VALUE"""),"")</f>
        <v/>
      </c>
      <c r="C373" s="14" t="str">
        <f>IFERROR(__xludf.DUMMYFUNCTION("""COMPUTED_VALUE"""),"")</f>
        <v/>
      </c>
      <c r="D373" s="15" t="str">
        <f>IFERROR(__xludf.DUMMYFUNCTION("""COMPUTED_VALUE"""),"")</f>
        <v/>
      </c>
      <c r="E373" s="15" t="str">
        <f>IFERROR(__xludf.DUMMYFUNCTION("""COMPUTED_VALUE"""),"")</f>
        <v/>
      </c>
      <c r="F373" s="15" t="str">
        <f>IFERROR(__xludf.DUMMYFUNCTION("""COMPUTED_VALUE"""),"")</f>
        <v/>
      </c>
      <c r="G373" s="17" t="str">
        <f>IFERROR(__xludf.DUMMYFUNCTION("""COMPUTED_VALUE"""),"")</f>
        <v/>
      </c>
      <c r="H373" s="4"/>
    </row>
    <row r="374">
      <c r="A374" s="18" t="str">
        <f>IFERROR(__xludf.DUMMYFUNCTION("""COMPUTED_VALUE"""),"")</f>
        <v/>
      </c>
      <c r="B374" s="19" t="str">
        <f>IFERROR(__xludf.DUMMYFUNCTION("""COMPUTED_VALUE"""),"")</f>
        <v/>
      </c>
      <c r="C374" s="20" t="str">
        <f>IFERROR(__xludf.DUMMYFUNCTION("""COMPUTED_VALUE"""),"")</f>
        <v/>
      </c>
      <c r="D374" s="21" t="str">
        <f>IFERROR(__xludf.DUMMYFUNCTION("""COMPUTED_VALUE"""),"")</f>
        <v/>
      </c>
      <c r="E374" s="21" t="str">
        <f>IFERROR(__xludf.DUMMYFUNCTION("""COMPUTED_VALUE"""),"")</f>
        <v/>
      </c>
      <c r="F374" s="21" t="str">
        <f>IFERROR(__xludf.DUMMYFUNCTION("""COMPUTED_VALUE"""),"")</f>
        <v/>
      </c>
      <c r="G374" s="23" t="str">
        <f>IFERROR(__xludf.DUMMYFUNCTION("""COMPUTED_VALUE"""),"")</f>
        <v/>
      </c>
      <c r="H374" s="4"/>
    </row>
    <row r="375">
      <c r="A375" s="12" t="str">
        <f>IFERROR(__xludf.DUMMYFUNCTION("""COMPUTED_VALUE"""),"")</f>
        <v/>
      </c>
      <c r="B375" s="13" t="str">
        <f>IFERROR(__xludf.DUMMYFUNCTION("""COMPUTED_VALUE"""),"")</f>
        <v/>
      </c>
      <c r="C375" s="14" t="str">
        <f>IFERROR(__xludf.DUMMYFUNCTION("""COMPUTED_VALUE"""),"")</f>
        <v/>
      </c>
      <c r="D375" s="15" t="str">
        <f>IFERROR(__xludf.DUMMYFUNCTION("""COMPUTED_VALUE"""),"")</f>
        <v/>
      </c>
      <c r="E375" s="15" t="str">
        <f>IFERROR(__xludf.DUMMYFUNCTION("""COMPUTED_VALUE"""),"")</f>
        <v/>
      </c>
      <c r="F375" s="15" t="str">
        <f>IFERROR(__xludf.DUMMYFUNCTION("""COMPUTED_VALUE"""),"")</f>
        <v/>
      </c>
      <c r="G375" s="17" t="str">
        <f>IFERROR(__xludf.DUMMYFUNCTION("""COMPUTED_VALUE"""),"")</f>
        <v/>
      </c>
      <c r="H375" s="4"/>
    </row>
    <row r="376">
      <c r="A376" s="18" t="str">
        <f>IFERROR(__xludf.DUMMYFUNCTION("""COMPUTED_VALUE"""),"")</f>
        <v/>
      </c>
      <c r="B376" s="19" t="str">
        <f>IFERROR(__xludf.DUMMYFUNCTION("""COMPUTED_VALUE"""),"")</f>
        <v/>
      </c>
      <c r="C376" s="20" t="str">
        <f>IFERROR(__xludf.DUMMYFUNCTION("""COMPUTED_VALUE"""),"")</f>
        <v/>
      </c>
      <c r="D376" s="21" t="str">
        <f>IFERROR(__xludf.DUMMYFUNCTION("""COMPUTED_VALUE"""),"")</f>
        <v/>
      </c>
      <c r="E376" s="21" t="str">
        <f>IFERROR(__xludf.DUMMYFUNCTION("""COMPUTED_VALUE"""),"")</f>
        <v/>
      </c>
      <c r="F376" s="21" t="str">
        <f>IFERROR(__xludf.DUMMYFUNCTION("""COMPUTED_VALUE"""),"")</f>
        <v/>
      </c>
      <c r="G376" s="23" t="str">
        <f>IFERROR(__xludf.DUMMYFUNCTION("""COMPUTED_VALUE"""),"")</f>
        <v/>
      </c>
      <c r="H376" s="4"/>
    </row>
    <row r="377">
      <c r="A377" s="12" t="str">
        <f>IFERROR(__xludf.DUMMYFUNCTION("""COMPUTED_VALUE"""),"")</f>
        <v/>
      </c>
      <c r="B377" s="13" t="str">
        <f>IFERROR(__xludf.DUMMYFUNCTION("""COMPUTED_VALUE"""),"")</f>
        <v/>
      </c>
      <c r="C377" s="14" t="str">
        <f>IFERROR(__xludf.DUMMYFUNCTION("""COMPUTED_VALUE"""),"")</f>
        <v/>
      </c>
      <c r="D377" s="15" t="str">
        <f>IFERROR(__xludf.DUMMYFUNCTION("""COMPUTED_VALUE"""),"")</f>
        <v/>
      </c>
      <c r="E377" s="15" t="str">
        <f>IFERROR(__xludf.DUMMYFUNCTION("""COMPUTED_VALUE"""),"")</f>
        <v/>
      </c>
      <c r="F377" s="15" t="str">
        <f>IFERROR(__xludf.DUMMYFUNCTION("""COMPUTED_VALUE"""),"")</f>
        <v/>
      </c>
      <c r="G377" s="17" t="str">
        <f>IFERROR(__xludf.DUMMYFUNCTION("""COMPUTED_VALUE"""),"")</f>
        <v/>
      </c>
      <c r="H377" s="4"/>
    </row>
    <row r="378">
      <c r="A378" s="18" t="str">
        <f>IFERROR(__xludf.DUMMYFUNCTION("""COMPUTED_VALUE"""),"")</f>
        <v/>
      </c>
      <c r="B378" s="19" t="str">
        <f>IFERROR(__xludf.DUMMYFUNCTION("""COMPUTED_VALUE"""),"")</f>
        <v/>
      </c>
      <c r="C378" s="20" t="str">
        <f>IFERROR(__xludf.DUMMYFUNCTION("""COMPUTED_VALUE"""),"")</f>
        <v/>
      </c>
      <c r="D378" s="21" t="str">
        <f>IFERROR(__xludf.DUMMYFUNCTION("""COMPUTED_VALUE"""),"")</f>
        <v/>
      </c>
      <c r="E378" s="21" t="str">
        <f>IFERROR(__xludf.DUMMYFUNCTION("""COMPUTED_VALUE"""),"")</f>
        <v/>
      </c>
      <c r="F378" s="21" t="str">
        <f>IFERROR(__xludf.DUMMYFUNCTION("""COMPUTED_VALUE"""),"")</f>
        <v/>
      </c>
      <c r="G378" s="23" t="str">
        <f>IFERROR(__xludf.DUMMYFUNCTION("""COMPUTED_VALUE"""),"")</f>
        <v/>
      </c>
      <c r="H378" s="4"/>
    </row>
    <row r="379">
      <c r="A379" s="12" t="str">
        <f>IFERROR(__xludf.DUMMYFUNCTION("""COMPUTED_VALUE"""),"")</f>
        <v/>
      </c>
      <c r="B379" s="13" t="str">
        <f>IFERROR(__xludf.DUMMYFUNCTION("""COMPUTED_VALUE"""),"")</f>
        <v/>
      </c>
      <c r="C379" s="14" t="str">
        <f>IFERROR(__xludf.DUMMYFUNCTION("""COMPUTED_VALUE"""),"")</f>
        <v/>
      </c>
      <c r="D379" s="15" t="str">
        <f>IFERROR(__xludf.DUMMYFUNCTION("""COMPUTED_VALUE"""),"")</f>
        <v/>
      </c>
      <c r="E379" s="15" t="str">
        <f>IFERROR(__xludf.DUMMYFUNCTION("""COMPUTED_VALUE"""),"")</f>
        <v/>
      </c>
      <c r="F379" s="15" t="str">
        <f>IFERROR(__xludf.DUMMYFUNCTION("""COMPUTED_VALUE"""),"")</f>
        <v/>
      </c>
      <c r="G379" s="17" t="str">
        <f>IFERROR(__xludf.DUMMYFUNCTION("""COMPUTED_VALUE"""),"")</f>
        <v/>
      </c>
      <c r="H379" s="4"/>
    </row>
    <row r="380">
      <c r="A380" s="18" t="str">
        <f>IFERROR(__xludf.DUMMYFUNCTION("""COMPUTED_VALUE"""),"")</f>
        <v/>
      </c>
      <c r="B380" s="19" t="str">
        <f>IFERROR(__xludf.DUMMYFUNCTION("""COMPUTED_VALUE"""),"")</f>
        <v/>
      </c>
      <c r="C380" s="20" t="str">
        <f>IFERROR(__xludf.DUMMYFUNCTION("""COMPUTED_VALUE"""),"")</f>
        <v/>
      </c>
      <c r="D380" s="21" t="str">
        <f>IFERROR(__xludf.DUMMYFUNCTION("""COMPUTED_VALUE"""),"")</f>
        <v/>
      </c>
      <c r="E380" s="21" t="str">
        <f>IFERROR(__xludf.DUMMYFUNCTION("""COMPUTED_VALUE"""),"")</f>
        <v/>
      </c>
      <c r="F380" s="21" t="str">
        <f>IFERROR(__xludf.DUMMYFUNCTION("""COMPUTED_VALUE"""),"")</f>
        <v/>
      </c>
      <c r="G380" s="23" t="str">
        <f>IFERROR(__xludf.DUMMYFUNCTION("""COMPUTED_VALUE"""),"")</f>
        <v/>
      </c>
      <c r="H380" s="4"/>
    </row>
    <row r="381">
      <c r="A381" s="12" t="str">
        <f>IFERROR(__xludf.DUMMYFUNCTION("""COMPUTED_VALUE"""),"")</f>
        <v/>
      </c>
      <c r="B381" s="13" t="str">
        <f>IFERROR(__xludf.DUMMYFUNCTION("""COMPUTED_VALUE"""),"")</f>
        <v/>
      </c>
      <c r="C381" s="14" t="str">
        <f>IFERROR(__xludf.DUMMYFUNCTION("""COMPUTED_VALUE"""),"")</f>
        <v/>
      </c>
      <c r="D381" s="15" t="str">
        <f>IFERROR(__xludf.DUMMYFUNCTION("""COMPUTED_VALUE"""),"")</f>
        <v/>
      </c>
      <c r="E381" s="15" t="str">
        <f>IFERROR(__xludf.DUMMYFUNCTION("""COMPUTED_VALUE"""),"")</f>
        <v/>
      </c>
      <c r="F381" s="15" t="str">
        <f>IFERROR(__xludf.DUMMYFUNCTION("""COMPUTED_VALUE"""),"")</f>
        <v/>
      </c>
      <c r="G381" s="17" t="str">
        <f>IFERROR(__xludf.DUMMYFUNCTION("""COMPUTED_VALUE"""),"")</f>
        <v/>
      </c>
      <c r="H381" s="4"/>
    </row>
    <row r="382">
      <c r="A382" s="18" t="str">
        <f>IFERROR(__xludf.DUMMYFUNCTION("""COMPUTED_VALUE"""),"")</f>
        <v/>
      </c>
      <c r="B382" s="19" t="str">
        <f>IFERROR(__xludf.DUMMYFUNCTION("""COMPUTED_VALUE"""),"")</f>
        <v/>
      </c>
      <c r="C382" s="20" t="str">
        <f>IFERROR(__xludf.DUMMYFUNCTION("""COMPUTED_VALUE"""),"")</f>
        <v/>
      </c>
      <c r="D382" s="21" t="str">
        <f>IFERROR(__xludf.DUMMYFUNCTION("""COMPUTED_VALUE"""),"")</f>
        <v/>
      </c>
      <c r="E382" s="21" t="str">
        <f>IFERROR(__xludf.DUMMYFUNCTION("""COMPUTED_VALUE"""),"")</f>
        <v/>
      </c>
      <c r="F382" s="21" t="str">
        <f>IFERROR(__xludf.DUMMYFUNCTION("""COMPUTED_VALUE"""),"")</f>
        <v/>
      </c>
      <c r="G382" s="23" t="str">
        <f>IFERROR(__xludf.DUMMYFUNCTION("""COMPUTED_VALUE"""),"")</f>
        <v/>
      </c>
      <c r="H382" s="4"/>
    </row>
    <row r="383">
      <c r="A383" s="12" t="str">
        <f>IFERROR(__xludf.DUMMYFUNCTION("""COMPUTED_VALUE"""),"")</f>
        <v/>
      </c>
      <c r="B383" s="13" t="str">
        <f>IFERROR(__xludf.DUMMYFUNCTION("""COMPUTED_VALUE"""),"")</f>
        <v/>
      </c>
      <c r="C383" s="14" t="str">
        <f>IFERROR(__xludf.DUMMYFUNCTION("""COMPUTED_VALUE"""),"")</f>
        <v/>
      </c>
      <c r="D383" s="15" t="str">
        <f>IFERROR(__xludf.DUMMYFUNCTION("""COMPUTED_VALUE"""),"")</f>
        <v/>
      </c>
      <c r="E383" s="15" t="str">
        <f>IFERROR(__xludf.DUMMYFUNCTION("""COMPUTED_VALUE"""),"")</f>
        <v/>
      </c>
      <c r="F383" s="15" t="str">
        <f>IFERROR(__xludf.DUMMYFUNCTION("""COMPUTED_VALUE"""),"")</f>
        <v/>
      </c>
      <c r="G383" s="17" t="str">
        <f>IFERROR(__xludf.DUMMYFUNCTION("""COMPUTED_VALUE"""),"")</f>
        <v/>
      </c>
      <c r="H383" s="4"/>
    </row>
    <row r="384">
      <c r="A384" s="18" t="str">
        <f>IFERROR(__xludf.DUMMYFUNCTION("""COMPUTED_VALUE"""),"")</f>
        <v/>
      </c>
      <c r="B384" s="19" t="str">
        <f>IFERROR(__xludf.DUMMYFUNCTION("""COMPUTED_VALUE"""),"")</f>
        <v/>
      </c>
      <c r="C384" s="20" t="str">
        <f>IFERROR(__xludf.DUMMYFUNCTION("""COMPUTED_VALUE"""),"")</f>
        <v/>
      </c>
      <c r="D384" s="21" t="str">
        <f>IFERROR(__xludf.DUMMYFUNCTION("""COMPUTED_VALUE"""),"")</f>
        <v/>
      </c>
      <c r="E384" s="21" t="str">
        <f>IFERROR(__xludf.DUMMYFUNCTION("""COMPUTED_VALUE"""),"")</f>
        <v/>
      </c>
      <c r="F384" s="21" t="str">
        <f>IFERROR(__xludf.DUMMYFUNCTION("""COMPUTED_VALUE"""),"")</f>
        <v/>
      </c>
      <c r="G384" s="23" t="str">
        <f>IFERROR(__xludf.DUMMYFUNCTION("""COMPUTED_VALUE"""),"")</f>
        <v/>
      </c>
      <c r="H384" s="4"/>
    </row>
    <row r="385">
      <c r="A385" s="12" t="str">
        <f>IFERROR(__xludf.DUMMYFUNCTION("""COMPUTED_VALUE"""),"")</f>
        <v/>
      </c>
      <c r="B385" s="13" t="str">
        <f>IFERROR(__xludf.DUMMYFUNCTION("""COMPUTED_VALUE"""),"")</f>
        <v/>
      </c>
      <c r="C385" s="14" t="str">
        <f>IFERROR(__xludf.DUMMYFUNCTION("""COMPUTED_VALUE"""),"")</f>
        <v/>
      </c>
      <c r="D385" s="15" t="str">
        <f>IFERROR(__xludf.DUMMYFUNCTION("""COMPUTED_VALUE"""),"")</f>
        <v/>
      </c>
      <c r="E385" s="15" t="str">
        <f>IFERROR(__xludf.DUMMYFUNCTION("""COMPUTED_VALUE"""),"")</f>
        <v/>
      </c>
      <c r="F385" s="15" t="str">
        <f>IFERROR(__xludf.DUMMYFUNCTION("""COMPUTED_VALUE"""),"")</f>
        <v/>
      </c>
      <c r="G385" s="17" t="str">
        <f>IFERROR(__xludf.DUMMYFUNCTION("""COMPUTED_VALUE"""),"")</f>
        <v/>
      </c>
      <c r="H385" s="4"/>
    </row>
    <row r="386">
      <c r="A386" s="18" t="str">
        <f>IFERROR(__xludf.DUMMYFUNCTION("""COMPUTED_VALUE"""),"")</f>
        <v/>
      </c>
      <c r="B386" s="19" t="str">
        <f>IFERROR(__xludf.DUMMYFUNCTION("""COMPUTED_VALUE"""),"")</f>
        <v/>
      </c>
      <c r="C386" s="20" t="str">
        <f>IFERROR(__xludf.DUMMYFUNCTION("""COMPUTED_VALUE"""),"")</f>
        <v/>
      </c>
      <c r="D386" s="21" t="str">
        <f>IFERROR(__xludf.DUMMYFUNCTION("""COMPUTED_VALUE"""),"")</f>
        <v/>
      </c>
      <c r="E386" s="21" t="str">
        <f>IFERROR(__xludf.DUMMYFUNCTION("""COMPUTED_VALUE"""),"")</f>
        <v/>
      </c>
      <c r="F386" s="21" t="str">
        <f>IFERROR(__xludf.DUMMYFUNCTION("""COMPUTED_VALUE"""),"")</f>
        <v/>
      </c>
      <c r="G386" s="23" t="str">
        <f>IFERROR(__xludf.DUMMYFUNCTION("""COMPUTED_VALUE"""),"")</f>
        <v/>
      </c>
      <c r="H386" s="4"/>
    </row>
    <row r="387">
      <c r="A387" s="12" t="str">
        <f>IFERROR(__xludf.DUMMYFUNCTION("""COMPUTED_VALUE"""),"")</f>
        <v/>
      </c>
      <c r="B387" s="13" t="str">
        <f>IFERROR(__xludf.DUMMYFUNCTION("""COMPUTED_VALUE"""),"")</f>
        <v/>
      </c>
      <c r="C387" s="14" t="str">
        <f>IFERROR(__xludf.DUMMYFUNCTION("""COMPUTED_VALUE"""),"")</f>
        <v/>
      </c>
      <c r="D387" s="15" t="str">
        <f>IFERROR(__xludf.DUMMYFUNCTION("""COMPUTED_VALUE"""),"")</f>
        <v/>
      </c>
      <c r="E387" s="15" t="str">
        <f>IFERROR(__xludf.DUMMYFUNCTION("""COMPUTED_VALUE"""),"")</f>
        <v/>
      </c>
      <c r="F387" s="15" t="str">
        <f>IFERROR(__xludf.DUMMYFUNCTION("""COMPUTED_VALUE"""),"")</f>
        <v/>
      </c>
      <c r="G387" s="17" t="str">
        <f>IFERROR(__xludf.DUMMYFUNCTION("""COMPUTED_VALUE"""),"")</f>
        <v/>
      </c>
      <c r="H387" s="4"/>
    </row>
    <row r="388">
      <c r="A388" s="18" t="str">
        <f>IFERROR(__xludf.DUMMYFUNCTION("""COMPUTED_VALUE"""),"")</f>
        <v/>
      </c>
      <c r="B388" s="19" t="str">
        <f>IFERROR(__xludf.DUMMYFUNCTION("""COMPUTED_VALUE"""),"")</f>
        <v/>
      </c>
      <c r="C388" s="20" t="str">
        <f>IFERROR(__xludf.DUMMYFUNCTION("""COMPUTED_VALUE"""),"")</f>
        <v/>
      </c>
      <c r="D388" s="21" t="str">
        <f>IFERROR(__xludf.DUMMYFUNCTION("""COMPUTED_VALUE"""),"")</f>
        <v/>
      </c>
      <c r="E388" s="21" t="str">
        <f>IFERROR(__xludf.DUMMYFUNCTION("""COMPUTED_VALUE"""),"")</f>
        <v/>
      </c>
      <c r="F388" s="21" t="str">
        <f>IFERROR(__xludf.DUMMYFUNCTION("""COMPUTED_VALUE"""),"")</f>
        <v/>
      </c>
      <c r="G388" s="23" t="str">
        <f>IFERROR(__xludf.DUMMYFUNCTION("""COMPUTED_VALUE"""),"")</f>
        <v/>
      </c>
      <c r="H388" s="4"/>
    </row>
    <row r="389">
      <c r="A389" s="12" t="str">
        <f>IFERROR(__xludf.DUMMYFUNCTION("""COMPUTED_VALUE"""),"")</f>
        <v/>
      </c>
      <c r="B389" s="13" t="str">
        <f>IFERROR(__xludf.DUMMYFUNCTION("""COMPUTED_VALUE"""),"")</f>
        <v/>
      </c>
      <c r="C389" s="14" t="str">
        <f>IFERROR(__xludf.DUMMYFUNCTION("""COMPUTED_VALUE"""),"")</f>
        <v/>
      </c>
      <c r="D389" s="15" t="str">
        <f>IFERROR(__xludf.DUMMYFUNCTION("""COMPUTED_VALUE"""),"")</f>
        <v/>
      </c>
      <c r="E389" s="15" t="str">
        <f>IFERROR(__xludf.DUMMYFUNCTION("""COMPUTED_VALUE"""),"")</f>
        <v/>
      </c>
      <c r="F389" s="15" t="str">
        <f>IFERROR(__xludf.DUMMYFUNCTION("""COMPUTED_VALUE"""),"")</f>
        <v/>
      </c>
      <c r="G389" s="17" t="str">
        <f>IFERROR(__xludf.DUMMYFUNCTION("""COMPUTED_VALUE"""),"")</f>
        <v/>
      </c>
      <c r="H389" s="4"/>
    </row>
    <row r="390">
      <c r="A390" s="18" t="str">
        <f>IFERROR(__xludf.DUMMYFUNCTION("""COMPUTED_VALUE"""),"")</f>
        <v/>
      </c>
      <c r="B390" s="19" t="str">
        <f>IFERROR(__xludf.DUMMYFUNCTION("""COMPUTED_VALUE"""),"")</f>
        <v/>
      </c>
      <c r="C390" s="20" t="str">
        <f>IFERROR(__xludf.DUMMYFUNCTION("""COMPUTED_VALUE"""),"")</f>
        <v/>
      </c>
      <c r="D390" s="21" t="str">
        <f>IFERROR(__xludf.DUMMYFUNCTION("""COMPUTED_VALUE"""),"")</f>
        <v/>
      </c>
      <c r="E390" s="21" t="str">
        <f>IFERROR(__xludf.DUMMYFUNCTION("""COMPUTED_VALUE"""),"")</f>
        <v/>
      </c>
      <c r="F390" s="21" t="str">
        <f>IFERROR(__xludf.DUMMYFUNCTION("""COMPUTED_VALUE"""),"")</f>
        <v/>
      </c>
      <c r="G390" s="23" t="str">
        <f>IFERROR(__xludf.DUMMYFUNCTION("""COMPUTED_VALUE"""),"")</f>
        <v/>
      </c>
      <c r="H390" s="4"/>
    </row>
    <row r="391">
      <c r="A391" s="12" t="str">
        <f>IFERROR(__xludf.DUMMYFUNCTION("""COMPUTED_VALUE"""),"")</f>
        <v/>
      </c>
      <c r="B391" s="13" t="str">
        <f>IFERROR(__xludf.DUMMYFUNCTION("""COMPUTED_VALUE"""),"")</f>
        <v/>
      </c>
      <c r="C391" s="14" t="str">
        <f>IFERROR(__xludf.DUMMYFUNCTION("""COMPUTED_VALUE"""),"")</f>
        <v/>
      </c>
      <c r="D391" s="15" t="str">
        <f>IFERROR(__xludf.DUMMYFUNCTION("""COMPUTED_VALUE"""),"")</f>
        <v/>
      </c>
      <c r="E391" s="15" t="str">
        <f>IFERROR(__xludf.DUMMYFUNCTION("""COMPUTED_VALUE"""),"")</f>
        <v/>
      </c>
      <c r="F391" s="15" t="str">
        <f>IFERROR(__xludf.DUMMYFUNCTION("""COMPUTED_VALUE"""),"")</f>
        <v/>
      </c>
      <c r="G391" s="17" t="str">
        <f>IFERROR(__xludf.DUMMYFUNCTION("""COMPUTED_VALUE"""),"")</f>
        <v/>
      </c>
      <c r="H391" s="4"/>
    </row>
    <row r="392">
      <c r="A392" s="18" t="str">
        <f>IFERROR(__xludf.DUMMYFUNCTION("""COMPUTED_VALUE"""),"")</f>
        <v/>
      </c>
      <c r="B392" s="19" t="str">
        <f>IFERROR(__xludf.DUMMYFUNCTION("""COMPUTED_VALUE"""),"")</f>
        <v/>
      </c>
      <c r="C392" s="20" t="str">
        <f>IFERROR(__xludf.DUMMYFUNCTION("""COMPUTED_VALUE"""),"")</f>
        <v/>
      </c>
      <c r="D392" s="21" t="str">
        <f>IFERROR(__xludf.DUMMYFUNCTION("""COMPUTED_VALUE"""),"")</f>
        <v/>
      </c>
      <c r="E392" s="21" t="str">
        <f>IFERROR(__xludf.DUMMYFUNCTION("""COMPUTED_VALUE"""),"")</f>
        <v/>
      </c>
      <c r="F392" s="21" t="str">
        <f>IFERROR(__xludf.DUMMYFUNCTION("""COMPUTED_VALUE"""),"")</f>
        <v/>
      </c>
      <c r="G392" s="23" t="str">
        <f>IFERROR(__xludf.DUMMYFUNCTION("""COMPUTED_VALUE"""),"")</f>
        <v/>
      </c>
      <c r="H392" s="4"/>
    </row>
    <row r="393">
      <c r="A393" s="12" t="str">
        <f>IFERROR(__xludf.DUMMYFUNCTION("""COMPUTED_VALUE"""),"")</f>
        <v/>
      </c>
      <c r="B393" s="13" t="str">
        <f>IFERROR(__xludf.DUMMYFUNCTION("""COMPUTED_VALUE"""),"")</f>
        <v/>
      </c>
      <c r="C393" s="14" t="str">
        <f>IFERROR(__xludf.DUMMYFUNCTION("""COMPUTED_VALUE"""),"")</f>
        <v/>
      </c>
      <c r="D393" s="15" t="str">
        <f>IFERROR(__xludf.DUMMYFUNCTION("""COMPUTED_VALUE"""),"")</f>
        <v/>
      </c>
      <c r="E393" s="15" t="str">
        <f>IFERROR(__xludf.DUMMYFUNCTION("""COMPUTED_VALUE"""),"")</f>
        <v/>
      </c>
      <c r="F393" s="15" t="str">
        <f>IFERROR(__xludf.DUMMYFUNCTION("""COMPUTED_VALUE"""),"")</f>
        <v/>
      </c>
      <c r="G393" s="17" t="str">
        <f>IFERROR(__xludf.DUMMYFUNCTION("""COMPUTED_VALUE"""),"")</f>
        <v/>
      </c>
      <c r="H393" s="4"/>
    </row>
    <row r="394">
      <c r="A394" s="18" t="str">
        <f>IFERROR(__xludf.DUMMYFUNCTION("""COMPUTED_VALUE"""),"")</f>
        <v/>
      </c>
      <c r="B394" s="19" t="str">
        <f>IFERROR(__xludf.DUMMYFUNCTION("""COMPUTED_VALUE"""),"")</f>
        <v/>
      </c>
      <c r="C394" s="20" t="str">
        <f>IFERROR(__xludf.DUMMYFUNCTION("""COMPUTED_VALUE"""),"")</f>
        <v/>
      </c>
      <c r="D394" s="21" t="str">
        <f>IFERROR(__xludf.DUMMYFUNCTION("""COMPUTED_VALUE"""),"")</f>
        <v/>
      </c>
      <c r="E394" s="21" t="str">
        <f>IFERROR(__xludf.DUMMYFUNCTION("""COMPUTED_VALUE"""),"")</f>
        <v/>
      </c>
      <c r="F394" s="21" t="str">
        <f>IFERROR(__xludf.DUMMYFUNCTION("""COMPUTED_VALUE"""),"")</f>
        <v/>
      </c>
      <c r="G394" s="23" t="str">
        <f>IFERROR(__xludf.DUMMYFUNCTION("""COMPUTED_VALUE"""),"")</f>
        <v/>
      </c>
      <c r="H394" s="4"/>
    </row>
    <row r="395">
      <c r="A395" s="12" t="str">
        <f>IFERROR(__xludf.DUMMYFUNCTION("""COMPUTED_VALUE"""),"")</f>
        <v/>
      </c>
      <c r="B395" s="13" t="str">
        <f>IFERROR(__xludf.DUMMYFUNCTION("""COMPUTED_VALUE"""),"")</f>
        <v/>
      </c>
      <c r="C395" s="14" t="str">
        <f>IFERROR(__xludf.DUMMYFUNCTION("""COMPUTED_VALUE"""),"")</f>
        <v/>
      </c>
      <c r="D395" s="15" t="str">
        <f>IFERROR(__xludf.DUMMYFUNCTION("""COMPUTED_VALUE"""),"")</f>
        <v/>
      </c>
      <c r="E395" s="15" t="str">
        <f>IFERROR(__xludf.DUMMYFUNCTION("""COMPUTED_VALUE"""),"")</f>
        <v/>
      </c>
      <c r="F395" s="15" t="str">
        <f>IFERROR(__xludf.DUMMYFUNCTION("""COMPUTED_VALUE"""),"")</f>
        <v/>
      </c>
      <c r="G395" s="17" t="str">
        <f>IFERROR(__xludf.DUMMYFUNCTION("""COMPUTED_VALUE"""),"")</f>
        <v/>
      </c>
      <c r="H395" s="4"/>
    </row>
    <row r="396">
      <c r="A396" s="18" t="str">
        <f>IFERROR(__xludf.DUMMYFUNCTION("""COMPUTED_VALUE"""),"")</f>
        <v/>
      </c>
      <c r="B396" s="19" t="str">
        <f>IFERROR(__xludf.DUMMYFUNCTION("""COMPUTED_VALUE"""),"")</f>
        <v/>
      </c>
      <c r="C396" s="20" t="str">
        <f>IFERROR(__xludf.DUMMYFUNCTION("""COMPUTED_VALUE"""),"")</f>
        <v/>
      </c>
      <c r="D396" s="21" t="str">
        <f>IFERROR(__xludf.DUMMYFUNCTION("""COMPUTED_VALUE"""),"")</f>
        <v/>
      </c>
      <c r="E396" s="21" t="str">
        <f>IFERROR(__xludf.DUMMYFUNCTION("""COMPUTED_VALUE"""),"")</f>
        <v/>
      </c>
      <c r="F396" s="21" t="str">
        <f>IFERROR(__xludf.DUMMYFUNCTION("""COMPUTED_VALUE"""),"")</f>
        <v/>
      </c>
      <c r="G396" s="23" t="str">
        <f>IFERROR(__xludf.DUMMYFUNCTION("""COMPUTED_VALUE"""),"")</f>
        <v/>
      </c>
      <c r="H396" s="4"/>
    </row>
    <row r="397">
      <c r="A397" s="12" t="str">
        <f>IFERROR(__xludf.DUMMYFUNCTION("""COMPUTED_VALUE"""),"")</f>
        <v/>
      </c>
      <c r="B397" s="13" t="str">
        <f>IFERROR(__xludf.DUMMYFUNCTION("""COMPUTED_VALUE"""),"")</f>
        <v/>
      </c>
      <c r="C397" s="14" t="str">
        <f>IFERROR(__xludf.DUMMYFUNCTION("""COMPUTED_VALUE"""),"")</f>
        <v/>
      </c>
      <c r="D397" s="15" t="str">
        <f>IFERROR(__xludf.DUMMYFUNCTION("""COMPUTED_VALUE"""),"")</f>
        <v/>
      </c>
      <c r="E397" s="15" t="str">
        <f>IFERROR(__xludf.DUMMYFUNCTION("""COMPUTED_VALUE"""),"")</f>
        <v/>
      </c>
      <c r="F397" s="15" t="str">
        <f>IFERROR(__xludf.DUMMYFUNCTION("""COMPUTED_VALUE"""),"")</f>
        <v/>
      </c>
      <c r="G397" s="17" t="str">
        <f>IFERROR(__xludf.DUMMYFUNCTION("""COMPUTED_VALUE"""),"")</f>
        <v/>
      </c>
      <c r="H397" s="4"/>
    </row>
    <row r="398">
      <c r="A398" s="18" t="str">
        <f>IFERROR(__xludf.DUMMYFUNCTION("""COMPUTED_VALUE"""),"")</f>
        <v/>
      </c>
      <c r="B398" s="19" t="str">
        <f>IFERROR(__xludf.DUMMYFUNCTION("""COMPUTED_VALUE"""),"")</f>
        <v/>
      </c>
      <c r="C398" s="20" t="str">
        <f>IFERROR(__xludf.DUMMYFUNCTION("""COMPUTED_VALUE"""),"")</f>
        <v/>
      </c>
      <c r="D398" s="21" t="str">
        <f>IFERROR(__xludf.DUMMYFUNCTION("""COMPUTED_VALUE"""),"")</f>
        <v/>
      </c>
      <c r="E398" s="21" t="str">
        <f>IFERROR(__xludf.DUMMYFUNCTION("""COMPUTED_VALUE"""),"")</f>
        <v/>
      </c>
      <c r="F398" s="21" t="str">
        <f>IFERROR(__xludf.DUMMYFUNCTION("""COMPUTED_VALUE"""),"")</f>
        <v/>
      </c>
      <c r="G398" s="23" t="str">
        <f>IFERROR(__xludf.DUMMYFUNCTION("""COMPUTED_VALUE"""),"")</f>
        <v/>
      </c>
      <c r="H398" s="4"/>
    </row>
    <row r="399">
      <c r="A399" s="12" t="str">
        <f>IFERROR(__xludf.DUMMYFUNCTION("""COMPUTED_VALUE"""),"")</f>
        <v/>
      </c>
      <c r="B399" s="13" t="str">
        <f>IFERROR(__xludf.DUMMYFUNCTION("""COMPUTED_VALUE"""),"")</f>
        <v/>
      </c>
      <c r="C399" s="14" t="str">
        <f>IFERROR(__xludf.DUMMYFUNCTION("""COMPUTED_VALUE"""),"")</f>
        <v/>
      </c>
      <c r="D399" s="15" t="str">
        <f>IFERROR(__xludf.DUMMYFUNCTION("""COMPUTED_VALUE"""),"")</f>
        <v/>
      </c>
      <c r="E399" s="15" t="str">
        <f>IFERROR(__xludf.DUMMYFUNCTION("""COMPUTED_VALUE"""),"")</f>
        <v/>
      </c>
      <c r="F399" s="15" t="str">
        <f>IFERROR(__xludf.DUMMYFUNCTION("""COMPUTED_VALUE"""),"")</f>
        <v/>
      </c>
      <c r="G399" s="17" t="str">
        <f>IFERROR(__xludf.DUMMYFUNCTION("""COMPUTED_VALUE"""),"")</f>
        <v/>
      </c>
      <c r="H399" s="4"/>
    </row>
    <row r="400">
      <c r="A400" s="18" t="str">
        <f>IFERROR(__xludf.DUMMYFUNCTION("""COMPUTED_VALUE"""),"")</f>
        <v/>
      </c>
      <c r="B400" s="19" t="str">
        <f>IFERROR(__xludf.DUMMYFUNCTION("""COMPUTED_VALUE"""),"")</f>
        <v/>
      </c>
      <c r="C400" s="20" t="str">
        <f>IFERROR(__xludf.DUMMYFUNCTION("""COMPUTED_VALUE"""),"")</f>
        <v/>
      </c>
      <c r="D400" s="21" t="str">
        <f>IFERROR(__xludf.DUMMYFUNCTION("""COMPUTED_VALUE"""),"")</f>
        <v/>
      </c>
      <c r="E400" s="21" t="str">
        <f>IFERROR(__xludf.DUMMYFUNCTION("""COMPUTED_VALUE"""),"")</f>
        <v/>
      </c>
      <c r="F400" s="21" t="str">
        <f>IFERROR(__xludf.DUMMYFUNCTION("""COMPUTED_VALUE"""),"")</f>
        <v/>
      </c>
      <c r="G400" s="23" t="str">
        <f>IFERROR(__xludf.DUMMYFUNCTION("""COMPUTED_VALUE"""),"")</f>
        <v/>
      </c>
      <c r="H400" s="4"/>
    </row>
    <row r="401">
      <c r="A401" s="12" t="str">
        <f>IFERROR(__xludf.DUMMYFUNCTION("""COMPUTED_VALUE"""),"")</f>
        <v/>
      </c>
      <c r="B401" s="13" t="str">
        <f>IFERROR(__xludf.DUMMYFUNCTION("""COMPUTED_VALUE"""),"")</f>
        <v/>
      </c>
      <c r="C401" s="14" t="str">
        <f>IFERROR(__xludf.DUMMYFUNCTION("""COMPUTED_VALUE"""),"")</f>
        <v/>
      </c>
      <c r="D401" s="15" t="str">
        <f>IFERROR(__xludf.DUMMYFUNCTION("""COMPUTED_VALUE"""),"")</f>
        <v/>
      </c>
      <c r="E401" s="15" t="str">
        <f>IFERROR(__xludf.DUMMYFUNCTION("""COMPUTED_VALUE"""),"")</f>
        <v/>
      </c>
      <c r="F401" s="15" t="str">
        <f>IFERROR(__xludf.DUMMYFUNCTION("""COMPUTED_VALUE"""),"")</f>
        <v/>
      </c>
      <c r="G401" s="17" t="str">
        <f>IFERROR(__xludf.DUMMYFUNCTION("""COMPUTED_VALUE"""),"")</f>
        <v/>
      </c>
      <c r="H401" s="4"/>
    </row>
    <row r="402">
      <c r="A402" s="18" t="str">
        <f>IFERROR(__xludf.DUMMYFUNCTION("""COMPUTED_VALUE"""),"")</f>
        <v/>
      </c>
      <c r="B402" s="19" t="str">
        <f>IFERROR(__xludf.DUMMYFUNCTION("""COMPUTED_VALUE"""),"")</f>
        <v/>
      </c>
      <c r="C402" s="20" t="str">
        <f>IFERROR(__xludf.DUMMYFUNCTION("""COMPUTED_VALUE"""),"")</f>
        <v/>
      </c>
      <c r="D402" s="21" t="str">
        <f>IFERROR(__xludf.DUMMYFUNCTION("""COMPUTED_VALUE"""),"")</f>
        <v/>
      </c>
      <c r="E402" s="21" t="str">
        <f>IFERROR(__xludf.DUMMYFUNCTION("""COMPUTED_VALUE"""),"")</f>
        <v/>
      </c>
      <c r="F402" s="21" t="str">
        <f>IFERROR(__xludf.DUMMYFUNCTION("""COMPUTED_VALUE"""),"")</f>
        <v/>
      </c>
      <c r="G402" s="23" t="str">
        <f>IFERROR(__xludf.DUMMYFUNCTION("""COMPUTED_VALUE"""),"")</f>
        <v/>
      </c>
      <c r="H402" s="4"/>
    </row>
    <row r="403">
      <c r="A403" s="12" t="str">
        <f>IFERROR(__xludf.DUMMYFUNCTION("""COMPUTED_VALUE"""),"")</f>
        <v/>
      </c>
      <c r="B403" s="13" t="str">
        <f>IFERROR(__xludf.DUMMYFUNCTION("""COMPUTED_VALUE"""),"")</f>
        <v/>
      </c>
      <c r="C403" s="14" t="str">
        <f>IFERROR(__xludf.DUMMYFUNCTION("""COMPUTED_VALUE"""),"")</f>
        <v/>
      </c>
      <c r="D403" s="15" t="str">
        <f>IFERROR(__xludf.DUMMYFUNCTION("""COMPUTED_VALUE"""),"")</f>
        <v/>
      </c>
      <c r="E403" s="15" t="str">
        <f>IFERROR(__xludf.DUMMYFUNCTION("""COMPUTED_VALUE"""),"")</f>
        <v/>
      </c>
      <c r="F403" s="15" t="str">
        <f>IFERROR(__xludf.DUMMYFUNCTION("""COMPUTED_VALUE"""),"")</f>
        <v/>
      </c>
      <c r="G403" s="17" t="str">
        <f>IFERROR(__xludf.DUMMYFUNCTION("""COMPUTED_VALUE"""),"")</f>
        <v/>
      </c>
      <c r="H403" s="4"/>
    </row>
    <row r="404">
      <c r="A404" s="18" t="str">
        <f>IFERROR(__xludf.DUMMYFUNCTION("""COMPUTED_VALUE"""),"")</f>
        <v/>
      </c>
      <c r="B404" s="19" t="str">
        <f>IFERROR(__xludf.DUMMYFUNCTION("""COMPUTED_VALUE"""),"")</f>
        <v/>
      </c>
      <c r="C404" s="20" t="str">
        <f>IFERROR(__xludf.DUMMYFUNCTION("""COMPUTED_VALUE"""),"")</f>
        <v/>
      </c>
      <c r="D404" s="21" t="str">
        <f>IFERROR(__xludf.DUMMYFUNCTION("""COMPUTED_VALUE"""),"")</f>
        <v/>
      </c>
      <c r="E404" s="21" t="str">
        <f>IFERROR(__xludf.DUMMYFUNCTION("""COMPUTED_VALUE"""),"")</f>
        <v/>
      </c>
      <c r="F404" s="21" t="str">
        <f>IFERROR(__xludf.DUMMYFUNCTION("""COMPUTED_VALUE"""),"")</f>
        <v/>
      </c>
      <c r="G404" s="23" t="str">
        <f>IFERROR(__xludf.DUMMYFUNCTION("""COMPUTED_VALUE"""),"")</f>
        <v/>
      </c>
      <c r="H404" s="4"/>
    </row>
    <row r="405">
      <c r="A405" s="12" t="str">
        <f>IFERROR(__xludf.DUMMYFUNCTION("""COMPUTED_VALUE"""),"")</f>
        <v/>
      </c>
      <c r="B405" s="13" t="str">
        <f>IFERROR(__xludf.DUMMYFUNCTION("""COMPUTED_VALUE"""),"")</f>
        <v/>
      </c>
      <c r="C405" s="14" t="str">
        <f>IFERROR(__xludf.DUMMYFUNCTION("""COMPUTED_VALUE"""),"")</f>
        <v/>
      </c>
      <c r="D405" s="15" t="str">
        <f>IFERROR(__xludf.DUMMYFUNCTION("""COMPUTED_VALUE"""),"")</f>
        <v/>
      </c>
      <c r="E405" s="15" t="str">
        <f>IFERROR(__xludf.DUMMYFUNCTION("""COMPUTED_VALUE"""),"")</f>
        <v/>
      </c>
      <c r="F405" s="15" t="str">
        <f>IFERROR(__xludf.DUMMYFUNCTION("""COMPUTED_VALUE"""),"")</f>
        <v/>
      </c>
      <c r="G405" s="17" t="str">
        <f>IFERROR(__xludf.DUMMYFUNCTION("""COMPUTED_VALUE"""),"")</f>
        <v/>
      </c>
      <c r="H405" s="4"/>
    </row>
    <row r="406">
      <c r="A406" s="18" t="str">
        <f>IFERROR(__xludf.DUMMYFUNCTION("""COMPUTED_VALUE"""),"")</f>
        <v/>
      </c>
      <c r="B406" s="19" t="str">
        <f>IFERROR(__xludf.DUMMYFUNCTION("""COMPUTED_VALUE"""),"")</f>
        <v/>
      </c>
      <c r="C406" s="20" t="str">
        <f>IFERROR(__xludf.DUMMYFUNCTION("""COMPUTED_VALUE"""),"")</f>
        <v/>
      </c>
      <c r="D406" s="21" t="str">
        <f>IFERROR(__xludf.DUMMYFUNCTION("""COMPUTED_VALUE"""),"")</f>
        <v/>
      </c>
      <c r="E406" s="21" t="str">
        <f>IFERROR(__xludf.DUMMYFUNCTION("""COMPUTED_VALUE"""),"")</f>
        <v/>
      </c>
      <c r="F406" s="21" t="str">
        <f>IFERROR(__xludf.DUMMYFUNCTION("""COMPUTED_VALUE"""),"")</f>
        <v/>
      </c>
      <c r="G406" s="23" t="str">
        <f>IFERROR(__xludf.DUMMYFUNCTION("""COMPUTED_VALUE"""),"")</f>
        <v/>
      </c>
      <c r="H406" s="4"/>
    </row>
    <row r="407">
      <c r="A407" s="12" t="str">
        <f>IFERROR(__xludf.DUMMYFUNCTION("""COMPUTED_VALUE"""),"")</f>
        <v/>
      </c>
      <c r="B407" s="13" t="str">
        <f>IFERROR(__xludf.DUMMYFUNCTION("""COMPUTED_VALUE"""),"")</f>
        <v/>
      </c>
      <c r="C407" s="14" t="str">
        <f>IFERROR(__xludf.DUMMYFUNCTION("""COMPUTED_VALUE"""),"")</f>
        <v/>
      </c>
      <c r="D407" s="15" t="str">
        <f>IFERROR(__xludf.DUMMYFUNCTION("""COMPUTED_VALUE"""),"")</f>
        <v/>
      </c>
      <c r="E407" s="15" t="str">
        <f>IFERROR(__xludf.DUMMYFUNCTION("""COMPUTED_VALUE"""),"")</f>
        <v/>
      </c>
      <c r="F407" s="15" t="str">
        <f>IFERROR(__xludf.DUMMYFUNCTION("""COMPUTED_VALUE"""),"")</f>
        <v/>
      </c>
      <c r="G407" s="17" t="str">
        <f>IFERROR(__xludf.DUMMYFUNCTION("""COMPUTED_VALUE"""),"")</f>
        <v/>
      </c>
      <c r="H407" s="4"/>
    </row>
    <row r="408">
      <c r="A408" s="18" t="str">
        <f>IFERROR(__xludf.DUMMYFUNCTION("""COMPUTED_VALUE"""),"")</f>
        <v/>
      </c>
      <c r="B408" s="19" t="str">
        <f>IFERROR(__xludf.DUMMYFUNCTION("""COMPUTED_VALUE"""),"")</f>
        <v/>
      </c>
      <c r="C408" s="20" t="str">
        <f>IFERROR(__xludf.DUMMYFUNCTION("""COMPUTED_VALUE"""),"")</f>
        <v/>
      </c>
      <c r="D408" s="21" t="str">
        <f>IFERROR(__xludf.DUMMYFUNCTION("""COMPUTED_VALUE"""),"")</f>
        <v/>
      </c>
      <c r="E408" s="21" t="str">
        <f>IFERROR(__xludf.DUMMYFUNCTION("""COMPUTED_VALUE"""),"")</f>
        <v/>
      </c>
      <c r="F408" s="21" t="str">
        <f>IFERROR(__xludf.DUMMYFUNCTION("""COMPUTED_VALUE"""),"")</f>
        <v/>
      </c>
      <c r="G408" s="23" t="str">
        <f>IFERROR(__xludf.DUMMYFUNCTION("""COMPUTED_VALUE"""),"")</f>
        <v/>
      </c>
      <c r="H408" s="4"/>
    </row>
    <row r="409">
      <c r="A409" s="12" t="str">
        <f>IFERROR(__xludf.DUMMYFUNCTION("""COMPUTED_VALUE"""),"")</f>
        <v/>
      </c>
      <c r="B409" s="13" t="str">
        <f>IFERROR(__xludf.DUMMYFUNCTION("""COMPUTED_VALUE"""),"")</f>
        <v/>
      </c>
      <c r="C409" s="14" t="str">
        <f>IFERROR(__xludf.DUMMYFUNCTION("""COMPUTED_VALUE"""),"")</f>
        <v/>
      </c>
      <c r="D409" s="15" t="str">
        <f>IFERROR(__xludf.DUMMYFUNCTION("""COMPUTED_VALUE"""),"")</f>
        <v/>
      </c>
      <c r="E409" s="15" t="str">
        <f>IFERROR(__xludf.DUMMYFUNCTION("""COMPUTED_VALUE"""),"")</f>
        <v/>
      </c>
      <c r="F409" s="15" t="str">
        <f>IFERROR(__xludf.DUMMYFUNCTION("""COMPUTED_VALUE"""),"")</f>
        <v/>
      </c>
      <c r="G409" s="17" t="str">
        <f>IFERROR(__xludf.DUMMYFUNCTION("""COMPUTED_VALUE"""),"")</f>
        <v/>
      </c>
      <c r="H409" s="4"/>
    </row>
    <row r="410">
      <c r="A410" s="18" t="str">
        <f>IFERROR(__xludf.DUMMYFUNCTION("""COMPUTED_VALUE"""),"")</f>
        <v/>
      </c>
      <c r="B410" s="19" t="str">
        <f>IFERROR(__xludf.DUMMYFUNCTION("""COMPUTED_VALUE"""),"")</f>
        <v/>
      </c>
      <c r="C410" s="20" t="str">
        <f>IFERROR(__xludf.DUMMYFUNCTION("""COMPUTED_VALUE"""),"")</f>
        <v/>
      </c>
      <c r="D410" s="21" t="str">
        <f>IFERROR(__xludf.DUMMYFUNCTION("""COMPUTED_VALUE"""),"")</f>
        <v/>
      </c>
      <c r="E410" s="21" t="str">
        <f>IFERROR(__xludf.DUMMYFUNCTION("""COMPUTED_VALUE"""),"")</f>
        <v/>
      </c>
      <c r="F410" s="21" t="str">
        <f>IFERROR(__xludf.DUMMYFUNCTION("""COMPUTED_VALUE"""),"")</f>
        <v/>
      </c>
      <c r="G410" s="23" t="str">
        <f>IFERROR(__xludf.DUMMYFUNCTION("""COMPUTED_VALUE"""),"")</f>
        <v/>
      </c>
      <c r="H410" s="4"/>
    </row>
    <row r="411">
      <c r="A411" s="12" t="str">
        <f>IFERROR(__xludf.DUMMYFUNCTION("""COMPUTED_VALUE"""),"")</f>
        <v/>
      </c>
      <c r="B411" s="13" t="str">
        <f>IFERROR(__xludf.DUMMYFUNCTION("""COMPUTED_VALUE"""),"")</f>
        <v/>
      </c>
      <c r="C411" s="14" t="str">
        <f>IFERROR(__xludf.DUMMYFUNCTION("""COMPUTED_VALUE"""),"")</f>
        <v/>
      </c>
      <c r="D411" s="15" t="str">
        <f>IFERROR(__xludf.DUMMYFUNCTION("""COMPUTED_VALUE"""),"")</f>
        <v/>
      </c>
      <c r="E411" s="15" t="str">
        <f>IFERROR(__xludf.DUMMYFUNCTION("""COMPUTED_VALUE"""),"")</f>
        <v/>
      </c>
      <c r="F411" s="15" t="str">
        <f>IFERROR(__xludf.DUMMYFUNCTION("""COMPUTED_VALUE"""),"")</f>
        <v/>
      </c>
      <c r="G411" s="17" t="str">
        <f>IFERROR(__xludf.DUMMYFUNCTION("""COMPUTED_VALUE"""),"")</f>
        <v/>
      </c>
      <c r="H411" s="4"/>
    </row>
    <row r="412">
      <c r="A412" s="18" t="str">
        <f>IFERROR(__xludf.DUMMYFUNCTION("""COMPUTED_VALUE"""),"")</f>
        <v/>
      </c>
      <c r="B412" s="19" t="str">
        <f>IFERROR(__xludf.DUMMYFUNCTION("""COMPUTED_VALUE"""),"")</f>
        <v/>
      </c>
      <c r="C412" s="20" t="str">
        <f>IFERROR(__xludf.DUMMYFUNCTION("""COMPUTED_VALUE"""),"")</f>
        <v/>
      </c>
      <c r="D412" s="21" t="str">
        <f>IFERROR(__xludf.DUMMYFUNCTION("""COMPUTED_VALUE"""),"")</f>
        <v/>
      </c>
      <c r="E412" s="21" t="str">
        <f>IFERROR(__xludf.DUMMYFUNCTION("""COMPUTED_VALUE"""),"")</f>
        <v/>
      </c>
      <c r="F412" s="21" t="str">
        <f>IFERROR(__xludf.DUMMYFUNCTION("""COMPUTED_VALUE"""),"")</f>
        <v/>
      </c>
      <c r="G412" s="23" t="str">
        <f>IFERROR(__xludf.DUMMYFUNCTION("""COMPUTED_VALUE"""),"")</f>
        <v/>
      </c>
      <c r="H412" s="4"/>
    </row>
    <row r="413">
      <c r="A413" s="12" t="str">
        <f>IFERROR(__xludf.DUMMYFUNCTION("""COMPUTED_VALUE"""),"")</f>
        <v/>
      </c>
      <c r="B413" s="13" t="str">
        <f>IFERROR(__xludf.DUMMYFUNCTION("""COMPUTED_VALUE"""),"")</f>
        <v/>
      </c>
      <c r="C413" s="14" t="str">
        <f>IFERROR(__xludf.DUMMYFUNCTION("""COMPUTED_VALUE"""),"")</f>
        <v/>
      </c>
      <c r="D413" s="15" t="str">
        <f>IFERROR(__xludf.DUMMYFUNCTION("""COMPUTED_VALUE"""),"")</f>
        <v/>
      </c>
      <c r="E413" s="15" t="str">
        <f>IFERROR(__xludf.DUMMYFUNCTION("""COMPUTED_VALUE"""),"")</f>
        <v/>
      </c>
      <c r="F413" s="15" t="str">
        <f>IFERROR(__xludf.DUMMYFUNCTION("""COMPUTED_VALUE"""),"")</f>
        <v/>
      </c>
      <c r="G413" s="17" t="str">
        <f>IFERROR(__xludf.DUMMYFUNCTION("""COMPUTED_VALUE"""),"")</f>
        <v/>
      </c>
      <c r="H413" s="4"/>
    </row>
    <row r="414">
      <c r="A414" s="18" t="str">
        <f>IFERROR(__xludf.DUMMYFUNCTION("""COMPUTED_VALUE"""),"")</f>
        <v/>
      </c>
      <c r="B414" s="19" t="str">
        <f>IFERROR(__xludf.DUMMYFUNCTION("""COMPUTED_VALUE"""),"")</f>
        <v/>
      </c>
      <c r="C414" s="20" t="str">
        <f>IFERROR(__xludf.DUMMYFUNCTION("""COMPUTED_VALUE"""),"")</f>
        <v/>
      </c>
      <c r="D414" s="21" t="str">
        <f>IFERROR(__xludf.DUMMYFUNCTION("""COMPUTED_VALUE"""),"")</f>
        <v/>
      </c>
      <c r="E414" s="21" t="str">
        <f>IFERROR(__xludf.DUMMYFUNCTION("""COMPUTED_VALUE"""),"")</f>
        <v/>
      </c>
      <c r="F414" s="21" t="str">
        <f>IFERROR(__xludf.DUMMYFUNCTION("""COMPUTED_VALUE"""),"")</f>
        <v/>
      </c>
      <c r="G414" s="23" t="str">
        <f>IFERROR(__xludf.DUMMYFUNCTION("""COMPUTED_VALUE"""),"")</f>
        <v/>
      </c>
      <c r="H414" s="4"/>
    </row>
    <row r="415">
      <c r="A415" s="12" t="str">
        <f>IFERROR(__xludf.DUMMYFUNCTION("""COMPUTED_VALUE"""),"")</f>
        <v/>
      </c>
      <c r="B415" s="13" t="str">
        <f>IFERROR(__xludf.DUMMYFUNCTION("""COMPUTED_VALUE"""),"")</f>
        <v/>
      </c>
      <c r="C415" s="14" t="str">
        <f>IFERROR(__xludf.DUMMYFUNCTION("""COMPUTED_VALUE"""),"")</f>
        <v/>
      </c>
      <c r="D415" s="15" t="str">
        <f>IFERROR(__xludf.DUMMYFUNCTION("""COMPUTED_VALUE"""),"")</f>
        <v/>
      </c>
      <c r="E415" s="15" t="str">
        <f>IFERROR(__xludf.DUMMYFUNCTION("""COMPUTED_VALUE"""),"")</f>
        <v/>
      </c>
      <c r="F415" s="15" t="str">
        <f>IFERROR(__xludf.DUMMYFUNCTION("""COMPUTED_VALUE"""),"")</f>
        <v/>
      </c>
      <c r="G415" s="17" t="str">
        <f>IFERROR(__xludf.DUMMYFUNCTION("""COMPUTED_VALUE"""),"")</f>
        <v/>
      </c>
      <c r="H415" s="4"/>
    </row>
    <row r="416">
      <c r="A416" s="18" t="str">
        <f>IFERROR(__xludf.DUMMYFUNCTION("""COMPUTED_VALUE"""),"")</f>
        <v/>
      </c>
      <c r="B416" s="19" t="str">
        <f>IFERROR(__xludf.DUMMYFUNCTION("""COMPUTED_VALUE"""),"")</f>
        <v/>
      </c>
      <c r="C416" s="20" t="str">
        <f>IFERROR(__xludf.DUMMYFUNCTION("""COMPUTED_VALUE"""),"")</f>
        <v/>
      </c>
      <c r="D416" s="21" t="str">
        <f>IFERROR(__xludf.DUMMYFUNCTION("""COMPUTED_VALUE"""),"")</f>
        <v/>
      </c>
      <c r="E416" s="21" t="str">
        <f>IFERROR(__xludf.DUMMYFUNCTION("""COMPUTED_VALUE"""),"")</f>
        <v/>
      </c>
      <c r="F416" s="21" t="str">
        <f>IFERROR(__xludf.DUMMYFUNCTION("""COMPUTED_VALUE"""),"")</f>
        <v/>
      </c>
      <c r="G416" s="23" t="str">
        <f>IFERROR(__xludf.DUMMYFUNCTION("""COMPUTED_VALUE"""),"")</f>
        <v/>
      </c>
      <c r="H416" s="4"/>
    </row>
    <row r="417">
      <c r="A417" s="12" t="str">
        <f>IFERROR(__xludf.DUMMYFUNCTION("""COMPUTED_VALUE"""),"")</f>
        <v/>
      </c>
      <c r="B417" s="13" t="str">
        <f>IFERROR(__xludf.DUMMYFUNCTION("""COMPUTED_VALUE"""),"")</f>
        <v/>
      </c>
      <c r="C417" s="14" t="str">
        <f>IFERROR(__xludf.DUMMYFUNCTION("""COMPUTED_VALUE"""),"")</f>
        <v/>
      </c>
      <c r="D417" s="15" t="str">
        <f>IFERROR(__xludf.DUMMYFUNCTION("""COMPUTED_VALUE"""),"")</f>
        <v/>
      </c>
      <c r="E417" s="15" t="str">
        <f>IFERROR(__xludf.DUMMYFUNCTION("""COMPUTED_VALUE"""),"")</f>
        <v/>
      </c>
      <c r="F417" s="15" t="str">
        <f>IFERROR(__xludf.DUMMYFUNCTION("""COMPUTED_VALUE"""),"")</f>
        <v/>
      </c>
      <c r="G417" s="17" t="str">
        <f>IFERROR(__xludf.DUMMYFUNCTION("""COMPUTED_VALUE"""),"")</f>
        <v/>
      </c>
      <c r="H417" s="4"/>
    </row>
    <row r="418">
      <c r="A418" s="18" t="str">
        <f>IFERROR(__xludf.DUMMYFUNCTION("""COMPUTED_VALUE"""),"")</f>
        <v/>
      </c>
      <c r="B418" s="19" t="str">
        <f>IFERROR(__xludf.DUMMYFUNCTION("""COMPUTED_VALUE"""),"")</f>
        <v/>
      </c>
      <c r="C418" s="20" t="str">
        <f>IFERROR(__xludf.DUMMYFUNCTION("""COMPUTED_VALUE"""),"")</f>
        <v/>
      </c>
      <c r="D418" s="21" t="str">
        <f>IFERROR(__xludf.DUMMYFUNCTION("""COMPUTED_VALUE"""),"")</f>
        <v/>
      </c>
      <c r="E418" s="21" t="str">
        <f>IFERROR(__xludf.DUMMYFUNCTION("""COMPUTED_VALUE"""),"")</f>
        <v/>
      </c>
      <c r="F418" s="21" t="str">
        <f>IFERROR(__xludf.DUMMYFUNCTION("""COMPUTED_VALUE"""),"")</f>
        <v/>
      </c>
      <c r="G418" s="23" t="str">
        <f>IFERROR(__xludf.DUMMYFUNCTION("""COMPUTED_VALUE"""),"")</f>
        <v/>
      </c>
      <c r="H418" s="4"/>
    </row>
    <row r="419">
      <c r="A419" s="12" t="str">
        <f>IFERROR(__xludf.DUMMYFUNCTION("""COMPUTED_VALUE"""),"")</f>
        <v/>
      </c>
      <c r="B419" s="13" t="str">
        <f>IFERROR(__xludf.DUMMYFUNCTION("""COMPUTED_VALUE"""),"")</f>
        <v/>
      </c>
      <c r="C419" s="14" t="str">
        <f>IFERROR(__xludf.DUMMYFUNCTION("""COMPUTED_VALUE"""),"")</f>
        <v/>
      </c>
      <c r="D419" s="15" t="str">
        <f>IFERROR(__xludf.DUMMYFUNCTION("""COMPUTED_VALUE"""),"")</f>
        <v/>
      </c>
      <c r="E419" s="15" t="str">
        <f>IFERROR(__xludf.DUMMYFUNCTION("""COMPUTED_VALUE"""),"")</f>
        <v/>
      </c>
      <c r="F419" s="15" t="str">
        <f>IFERROR(__xludf.DUMMYFUNCTION("""COMPUTED_VALUE"""),"")</f>
        <v/>
      </c>
      <c r="G419" s="17" t="str">
        <f>IFERROR(__xludf.DUMMYFUNCTION("""COMPUTED_VALUE"""),"")</f>
        <v/>
      </c>
      <c r="H419" s="4"/>
    </row>
    <row r="420">
      <c r="A420" s="18" t="str">
        <f>IFERROR(__xludf.DUMMYFUNCTION("""COMPUTED_VALUE"""),"")</f>
        <v/>
      </c>
      <c r="B420" s="19" t="str">
        <f>IFERROR(__xludf.DUMMYFUNCTION("""COMPUTED_VALUE"""),"")</f>
        <v/>
      </c>
      <c r="C420" s="20" t="str">
        <f>IFERROR(__xludf.DUMMYFUNCTION("""COMPUTED_VALUE"""),"")</f>
        <v/>
      </c>
      <c r="D420" s="21" t="str">
        <f>IFERROR(__xludf.DUMMYFUNCTION("""COMPUTED_VALUE"""),"")</f>
        <v/>
      </c>
      <c r="E420" s="21" t="str">
        <f>IFERROR(__xludf.DUMMYFUNCTION("""COMPUTED_VALUE"""),"")</f>
        <v/>
      </c>
      <c r="F420" s="21" t="str">
        <f>IFERROR(__xludf.DUMMYFUNCTION("""COMPUTED_VALUE"""),"")</f>
        <v/>
      </c>
      <c r="G420" s="23" t="str">
        <f>IFERROR(__xludf.DUMMYFUNCTION("""COMPUTED_VALUE"""),"")</f>
        <v/>
      </c>
      <c r="H420" s="4"/>
    </row>
    <row r="421">
      <c r="A421" s="12" t="str">
        <f>IFERROR(__xludf.DUMMYFUNCTION("""COMPUTED_VALUE"""),"")</f>
        <v/>
      </c>
      <c r="B421" s="13" t="str">
        <f>IFERROR(__xludf.DUMMYFUNCTION("""COMPUTED_VALUE"""),"")</f>
        <v/>
      </c>
      <c r="C421" s="14" t="str">
        <f>IFERROR(__xludf.DUMMYFUNCTION("""COMPUTED_VALUE"""),"")</f>
        <v/>
      </c>
      <c r="D421" s="15" t="str">
        <f>IFERROR(__xludf.DUMMYFUNCTION("""COMPUTED_VALUE"""),"")</f>
        <v/>
      </c>
      <c r="E421" s="15" t="str">
        <f>IFERROR(__xludf.DUMMYFUNCTION("""COMPUTED_VALUE"""),"")</f>
        <v/>
      </c>
      <c r="F421" s="15" t="str">
        <f>IFERROR(__xludf.DUMMYFUNCTION("""COMPUTED_VALUE"""),"")</f>
        <v/>
      </c>
      <c r="G421" s="17" t="str">
        <f>IFERROR(__xludf.DUMMYFUNCTION("""COMPUTED_VALUE"""),"")</f>
        <v/>
      </c>
      <c r="H421" s="4"/>
    </row>
    <row r="422">
      <c r="A422" s="18" t="str">
        <f>IFERROR(__xludf.DUMMYFUNCTION("""COMPUTED_VALUE"""),"")</f>
        <v/>
      </c>
      <c r="B422" s="19" t="str">
        <f>IFERROR(__xludf.DUMMYFUNCTION("""COMPUTED_VALUE"""),"")</f>
        <v/>
      </c>
      <c r="C422" s="20" t="str">
        <f>IFERROR(__xludf.DUMMYFUNCTION("""COMPUTED_VALUE"""),"")</f>
        <v/>
      </c>
      <c r="D422" s="21" t="str">
        <f>IFERROR(__xludf.DUMMYFUNCTION("""COMPUTED_VALUE"""),"")</f>
        <v/>
      </c>
      <c r="E422" s="21" t="str">
        <f>IFERROR(__xludf.DUMMYFUNCTION("""COMPUTED_VALUE"""),"")</f>
        <v/>
      </c>
      <c r="F422" s="21" t="str">
        <f>IFERROR(__xludf.DUMMYFUNCTION("""COMPUTED_VALUE"""),"")</f>
        <v/>
      </c>
      <c r="G422" s="23" t="str">
        <f>IFERROR(__xludf.DUMMYFUNCTION("""COMPUTED_VALUE"""),"")</f>
        <v/>
      </c>
      <c r="H422" s="4"/>
    </row>
    <row r="423">
      <c r="A423" s="12" t="str">
        <f>IFERROR(__xludf.DUMMYFUNCTION("""COMPUTED_VALUE"""),"")</f>
        <v/>
      </c>
      <c r="B423" s="13" t="str">
        <f>IFERROR(__xludf.DUMMYFUNCTION("""COMPUTED_VALUE"""),"")</f>
        <v/>
      </c>
      <c r="C423" s="14" t="str">
        <f>IFERROR(__xludf.DUMMYFUNCTION("""COMPUTED_VALUE"""),"")</f>
        <v/>
      </c>
      <c r="D423" s="15" t="str">
        <f>IFERROR(__xludf.DUMMYFUNCTION("""COMPUTED_VALUE"""),"")</f>
        <v/>
      </c>
      <c r="E423" s="15" t="str">
        <f>IFERROR(__xludf.DUMMYFUNCTION("""COMPUTED_VALUE"""),"")</f>
        <v/>
      </c>
      <c r="F423" s="15" t="str">
        <f>IFERROR(__xludf.DUMMYFUNCTION("""COMPUTED_VALUE"""),"")</f>
        <v/>
      </c>
      <c r="G423" s="17" t="str">
        <f>IFERROR(__xludf.DUMMYFUNCTION("""COMPUTED_VALUE"""),"")</f>
        <v/>
      </c>
      <c r="H423" s="4"/>
    </row>
    <row r="424">
      <c r="A424" s="18" t="str">
        <f>IFERROR(__xludf.DUMMYFUNCTION("""COMPUTED_VALUE"""),"")</f>
        <v/>
      </c>
      <c r="B424" s="19" t="str">
        <f>IFERROR(__xludf.DUMMYFUNCTION("""COMPUTED_VALUE"""),"")</f>
        <v/>
      </c>
      <c r="C424" s="20" t="str">
        <f>IFERROR(__xludf.DUMMYFUNCTION("""COMPUTED_VALUE"""),"")</f>
        <v/>
      </c>
      <c r="D424" s="21" t="str">
        <f>IFERROR(__xludf.DUMMYFUNCTION("""COMPUTED_VALUE"""),"")</f>
        <v/>
      </c>
      <c r="E424" s="21" t="str">
        <f>IFERROR(__xludf.DUMMYFUNCTION("""COMPUTED_VALUE"""),"")</f>
        <v/>
      </c>
      <c r="F424" s="21" t="str">
        <f>IFERROR(__xludf.DUMMYFUNCTION("""COMPUTED_VALUE"""),"")</f>
        <v/>
      </c>
      <c r="G424" s="23" t="str">
        <f>IFERROR(__xludf.DUMMYFUNCTION("""COMPUTED_VALUE"""),"")</f>
        <v/>
      </c>
      <c r="H424" s="4"/>
    </row>
    <row r="425">
      <c r="A425" s="12" t="str">
        <f>IFERROR(__xludf.DUMMYFUNCTION("""COMPUTED_VALUE"""),"")</f>
        <v/>
      </c>
      <c r="B425" s="13" t="str">
        <f>IFERROR(__xludf.DUMMYFUNCTION("""COMPUTED_VALUE"""),"")</f>
        <v/>
      </c>
      <c r="C425" s="14" t="str">
        <f>IFERROR(__xludf.DUMMYFUNCTION("""COMPUTED_VALUE"""),"")</f>
        <v/>
      </c>
      <c r="D425" s="15" t="str">
        <f>IFERROR(__xludf.DUMMYFUNCTION("""COMPUTED_VALUE"""),"")</f>
        <v/>
      </c>
      <c r="E425" s="15" t="str">
        <f>IFERROR(__xludf.DUMMYFUNCTION("""COMPUTED_VALUE"""),"")</f>
        <v/>
      </c>
      <c r="F425" s="15" t="str">
        <f>IFERROR(__xludf.DUMMYFUNCTION("""COMPUTED_VALUE"""),"")</f>
        <v/>
      </c>
      <c r="G425" s="17" t="str">
        <f>IFERROR(__xludf.DUMMYFUNCTION("""COMPUTED_VALUE"""),"")</f>
        <v/>
      </c>
      <c r="H425" s="4"/>
    </row>
    <row r="426">
      <c r="A426" s="18" t="str">
        <f>IFERROR(__xludf.DUMMYFUNCTION("""COMPUTED_VALUE"""),"")</f>
        <v/>
      </c>
      <c r="B426" s="19" t="str">
        <f>IFERROR(__xludf.DUMMYFUNCTION("""COMPUTED_VALUE"""),"")</f>
        <v/>
      </c>
      <c r="C426" s="20" t="str">
        <f>IFERROR(__xludf.DUMMYFUNCTION("""COMPUTED_VALUE"""),"")</f>
        <v/>
      </c>
      <c r="D426" s="21" t="str">
        <f>IFERROR(__xludf.DUMMYFUNCTION("""COMPUTED_VALUE"""),"")</f>
        <v/>
      </c>
      <c r="E426" s="21" t="str">
        <f>IFERROR(__xludf.DUMMYFUNCTION("""COMPUTED_VALUE"""),"")</f>
        <v/>
      </c>
      <c r="F426" s="21" t="str">
        <f>IFERROR(__xludf.DUMMYFUNCTION("""COMPUTED_VALUE"""),"")</f>
        <v/>
      </c>
      <c r="G426" s="23" t="str">
        <f>IFERROR(__xludf.DUMMYFUNCTION("""COMPUTED_VALUE"""),"")</f>
        <v/>
      </c>
      <c r="H426" s="4"/>
    </row>
    <row r="427">
      <c r="A427" s="12" t="str">
        <f>IFERROR(__xludf.DUMMYFUNCTION("""COMPUTED_VALUE"""),"")</f>
        <v/>
      </c>
      <c r="B427" s="13" t="str">
        <f>IFERROR(__xludf.DUMMYFUNCTION("""COMPUTED_VALUE"""),"")</f>
        <v/>
      </c>
      <c r="C427" s="14" t="str">
        <f>IFERROR(__xludf.DUMMYFUNCTION("""COMPUTED_VALUE"""),"")</f>
        <v/>
      </c>
      <c r="D427" s="15" t="str">
        <f>IFERROR(__xludf.DUMMYFUNCTION("""COMPUTED_VALUE"""),"")</f>
        <v/>
      </c>
      <c r="E427" s="15" t="str">
        <f>IFERROR(__xludf.DUMMYFUNCTION("""COMPUTED_VALUE"""),"")</f>
        <v/>
      </c>
      <c r="F427" s="15" t="str">
        <f>IFERROR(__xludf.DUMMYFUNCTION("""COMPUTED_VALUE"""),"")</f>
        <v/>
      </c>
      <c r="G427" s="17" t="str">
        <f>IFERROR(__xludf.DUMMYFUNCTION("""COMPUTED_VALUE"""),"")</f>
        <v/>
      </c>
      <c r="H427" s="4"/>
    </row>
    <row r="428">
      <c r="A428" s="18" t="str">
        <f>IFERROR(__xludf.DUMMYFUNCTION("""COMPUTED_VALUE"""),"")</f>
        <v/>
      </c>
      <c r="B428" s="19" t="str">
        <f>IFERROR(__xludf.DUMMYFUNCTION("""COMPUTED_VALUE"""),"")</f>
        <v/>
      </c>
      <c r="C428" s="20" t="str">
        <f>IFERROR(__xludf.DUMMYFUNCTION("""COMPUTED_VALUE"""),"")</f>
        <v/>
      </c>
      <c r="D428" s="21" t="str">
        <f>IFERROR(__xludf.DUMMYFUNCTION("""COMPUTED_VALUE"""),"")</f>
        <v/>
      </c>
      <c r="E428" s="21" t="str">
        <f>IFERROR(__xludf.DUMMYFUNCTION("""COMPUTED_VALUE"""),"")</f>
        <v/>
      </c>
      <c r="F428" s="21" t="str">
        <f>IFERROR(__xludf.DUMMYFUNCTION("""COMPUTED_VALUE"""),"")</f>
        <v/>
      </c>
      <c r="G428" s="23" t="str">
        <f>IFERROR(__xludf.DUMMYFUNCTION("""COMPUTED_VALUE"""),"")</f>
        <v/>
      </c>
      <c r="H428" s="4"/>
    </row>
    <row r="429">
      <c r="A429" s="12" t="str">
        <f>IFERROR(__xludf.DUMMYFUNCTION("""COMPUTED_VALUE"""),"")</f>
        <v/>
      </c>
      <c r="B429" s="13" t="str">
        <f>IFERROR(__xludf.DUMMYFUNCTION("""COMPUTED_VALUE"""),"")</f>
        <v/>
      </c>
      <c r="C429" s="14" t="str">
        <f>IFERROR(__xludf.DUMMYFUNCTION("""COMPUTED_VALUE"""),"")</f>
        <v/>
      </c>
      <c r="D429" s="15" t="str">
        <f>IFERROR(__xludf.DUMMYFUNCTION("""COMPUTED_VALUE"""),"")</f>
        <v/>
      </c>
      <c r="E429" s="15" t="str">
        <f>IFERROR(__xludf.DUMMYFUNCTION("""COMPUTED_VALUE"""),"")</f>
        <v/>
      </c>
      <c r="F429" s="15" t="str">
        <f>IFERROR(__xludf.DUMMYFUNCTION("""COMPUTED_VALUE"""),"")</f>
        <v/>
      </c>
      <c r="G429" s="17" t="str">
        <f>IFERROR(__xludf.DUMMYFUNCTION("""COMPUTED_VALUE"""),"")</f>
        <v/>
      </c>
      <c r="H429" s="4"/>
    </row>
    <row r="430">
      <c r="A430" s="18" t="str">
        <f>IFERROR(__xludf.DUMMYFUNCTION("""COMPUTED_VALUE"""),"")</f>
        <v/>
      </c>
      <c r="B430" s="19" t="str">
        <f>IFERROR(__xludf.DUMMYFUNCTION("""COMPUTED_VALUE"""),"")</f>
        <v/>
      </c>
      <c r="C430" s="20" t="str">
        <f>IFERROR(__xludf.DUMMYFUNCTION("""COMPUTED_VALUE"""),"")</f>
        <v/>
      </c>
      <c r="D430" s="21" t="str">
        <f>IFERROR(__xludf.DUMMYFUNCTION("""COMPUTED_VALUE"""),"")</f>
        <v/>
      </c>
      <c r="E430" s="21" t="str">
        <f>IFERROR(__xludf.DUMMYFUNCTION("""COMPUTED_VALUE"""),"")</f>
        <v/>
      </c>
      <c r="F430" s="21" t="str">
        <f>IFERROR(__xludf.DUMMYFUNCTION("""COMPUTED_VALUE"""),"")</f>
        <v/>
      </c>
      <c r="G430" s="23" t="str">
        <f>IFERROR(__xludf.DUMMYFUNCTION("""COMPUTED_VALUE"""),"")</f>
        <v/>
      </c>
      <c r="H430" s="4"/>
    </row>
    <row r="431">
      <c r="A431" s="12" t="str">
        <f>IFERROR(__xludf.DUMMYFUNCTION("""COMPUTED_VALUE"""),"")</f>
        <v/>
      </c>
      <c r="B431" s="13" t="str">
        <f>IFERROR(__xludf.DUMMYFUNCTION("""COMPUTED_VALUE"""),"")</f>
        <v/>
      </c>
      <c r="C431" s="14" t="str">
        <f>IFERROR(__xludf.DUMMYFUNCTION("""COMPUTED_VALUE"""),"")</f>
        <v/>
      </c>
      <c r="D431" s="15" t="str">
        <f>IFERROR(__xludf.DUMMYFUNCTION("""COMPUTED_VALUE"""),"")</f>
        <v/>
      </c>
      <c r="E431" s="15" t="str">
        <f>IFERROR(__xludf.DUMMYFUNCTION("""COMPUTED_VALUE"""),"")</f>
        <v/>
      </c>
      <c r="F431" s="15" t="str">
        <f>IFERROR(__xludf.DUMMYFUNCTION("""COMPUTED_VALUE"""),"")</f>
        <v/>
      </c>
      <c r="G431" s="17" t="str">
        <f>IFERROR(__xludf.DUMMYFUNCTION("""COMPUTED_VALUE"""),"")</f>
        <v/>
      </c>
      <c r="H431" s="4"/>
    </row>
    <row r="432">
      <c r="A432" s="18" t="str">
        <f>IFERROR(__xludf.DUMMYFUNCTION("""COMPUTED_VALUE"""),"")</f>
        <v/>
      </c>
      <c r="B432" s="19" t="str">
        <f>IFERROR(__xludf.DUMMYFUNCTION("""COMPUTED_VALUE"""),"")</f>
        <v/>
      </c>
      <c r="C432" s="20" t="str">
        <f>IFERROR(__xludf.DUMMYFUNCTION("""COMPUTED_VALUE"""),"")</f>
        <v/>
      </c>
      <c r="D432" s="21" t="str">
        <f>IFERROR(__xludf.DUMMYFUNCTION("""COMPUTED_VALUE"""),"")</f>
        <v/>
      </c>
      <c r="E432" s="21" t="str">
        <f>IFERROR(__xludf.DUMMYFUNCTION("""COMPUTED_VALUE"""),"")</f>
        <v/>
      </c>
      <c r="F432" s="21" t="str">
        <f>IFERROR(__xludf.DUMMYFUNCTION("""COMPUTED_VALUE"""),"")</f>
        <v/>
      </c>
      <c r="G432" s="23" t="str">
        <f>IFERROR(__xludf.DUMMYFUNCTION("""COMPUTED_VALUE"""),"")</f>
        <v/>
      </c>
      <c r="H432" s="4"/>
    </row>
    <row r="433">
      <c r="A433" s="12" t="str">
        <f>IFERROR(__xludf.DUMMYFUNCTION("""COMPUTED_VALUE"""),"")</f>
        <v/>
      </c>
      <c r="B433" s="13" t="str">
        <f>IFERROR(__xludf.DUMMYFUNCTION("""COMPUTED_VALUE"""),"")</f>
        <v/>
      </c>
      <c r="C433" s="14" t="str">
        <f>IFERROR(__xludf.DUMMYFUNCTION("""COMPUTED_VALUE"""),"")</f>
        <v/>
      </c>
      <c r="D433" s="15" t="str">
        <f>IFERROR(__xludf.DUMMYFUNCTION("""COMPUTED_VALUE"""),"")</f>
        <v/>
      </c>
      <c r="E433" s="15" t="str">
        <f>IFERROR(__xludf.DUMMYFUNCTION("""COMPUTED_VALUE"""),"")</f>
        <v/>
      </c>
      <c r="F433" s="15" t="str">
        <f>IFERROR(__xludf.DUMMYFUNCTION("""COMPUTED_VALUE"""),"")</f>
        <v/>
      </c>
      <c r="G433" s="17" t="str">
        <f>IFERROR(__xludf.DUMMYFUNCTION("""COMPUTED_VALUE"""),"")</f>
        <v/>
      </c>
      <c r="H433" s="4"/>
    </row>
    <row r="434">
      <c r="A434" s="18" t="str">
        <f>IFERROR(__xludf.DUMMYFUNCTION("""COMPUTED_VALUE"""),"")</f>
        <v/>
      </c>
      <c r="B434" s="19" t="str">
        <f>IFERROR(__xludf.DUMMYFUNCTION("""COMPUTED_VALUE"""),"")</f>
        <v/>
      </c>
      <c r="C434" s="20" t="str">
        <f>IFERROR(__xludf.DUMMYFUNCTION("""COMPUTED_VALUE"""),"")</f>
        <v/>
      </c>
      <c r="D434" s="21" t="str">
        <f>IFERROR(__xludf.DUMMYFUNCTION("""COMPUTED_VALUE"""),"")</f>
        <v/>
      </c>
      <c r="E434" s="21" t="str">
        <f>IFERROR(__xludf.DUMMYFUNCTION("""COMPUTED_VALUE"""),"")</f>
        <v/>
      </c>
      <c r="F434" s="21" t="str">
        <f>IFERROR(__xludf.DUMMYFUNCTION("""COMPUTED_VALUE"""),"")</f>
        <v/>
      </c>
      <c r="G434" s="23" t="str">
        <f>IFERROR(__xludf.DUMMYFUNCTION("""COMPUTED_VALUE"""),"")</f>
        <v/>
      </c>
      <c r="H434" s="4"/>
    </row>
    <row r="435">
      <c r="A435" s="12" t="str">
        <f>IFERROR(__xludf.DUMMYFUNCTION("""COMPUTED_VALUE"""),"")</f>
        <v/>
      </c>
      <c r="B435" s="13" t="str">
        <f>IFERROR(__xludf.DUMMYFUNCTION("""COMPUTED_VALUE"""),"")</f>
        <v/>
      </c>
      <c r="C435" s="14" t="str">
        <f>IFERROR(__xludf.DUMMYFUNCTION("""COMPUTED_VALUE"""),"")</f>
        <v/>
      </c>
      <c r="D435" s="15" t="str">
        <f>IFERROR(__xludf.DUMMYFUNCTION("""COMPUTED_VALUE"""),"")</f>
        <v/>
      </c>
      <c r="E435" s="15" t="str">
        <f>IFERROR(__xludf.DUMMYFUNCTION("""COMPUTED_VALUE"""),"")</f>
        <v/>
      </c>
      <c r="F435" s="15" t="str">
        <f>IFERROR(__xludf.DUMMYFUNCTION("""COMPUTED_VALUE"""),"")</f>
        <v/>
      </c>
      <c r="G435" s="17" t="str">
        <f>IFERROR(__xludf.DUMMYFUNCTION("""COMPUTED_VALUE"""),"")</f>
        <v/>
      </c>
      <c r="H435" s="4"/>
    </row>
    <row r="436">
      <c r="A436" s="18" t="str">
        <f>IFERROR(__xludf.DUMMYFUNCTION("""COMPUTED_VALUE"""),"")</f>
        <v/>
      </c>
      <c r="B436" s="19" t="str">
        <f>IFERROR(__xludf.DUMMYFUNCTION("""COMPUTED_VALUE"""),"")</f>
        <v/>
      </c>
      <c r="C436" s="20" t="str">
        <f>IFERROR(__xludf.DUMMYFUNCTION("""COMPUTED_VALUE"""),"")</f>
        <v/>
      </c>
      <c r="D436" s="21" t="str">
        <f>IFERROR(__xludf.DUMMYFUNCTION("""COMPUTED_VALUE"""),"")</f>
        <v/>
      </c>
      <c r="E436" s="21" t="str">
        <f>IFERROR(__xludf.DUMMYFUNCTION("""COMPUTED_VALUE"""),"")</f>
        <v/>
      </c>
      <c r="F436" s="21" t="str">
        <f>IFERROR(__xludf.DUMMYFUNCTION("""COMPUTED_VALUE"""),"")</f>
        <v/>
      </c>
      <c r="G436" s="23" t="str">
        <f>IFERROR(__xludf.DUMMYFUNCTION("""COMPUTED_VALUE"""),"")</f>
        <v/>
      </c>
      <c r="H436" s="4"/>
    </row>
    <row r="437">
      <c r="A437" s="12" t="str">
        <f>IFERROR(__xludf.DUMMYFUNCTION("""COMPUTED_VALUE"""),"")</f>
        <v/>
      </c>
      <c r="B437" s="13" t="str">
        <f>IFERROR(__xludf.DUMMYFUNCTION("""COMPUTED_VALUE"""),"")</f>
        <v/>
      </c>
      <c r="C437" s="14" t="str">
        <f>IFERROR(__xludf.DUMMYFUNCTION("""COMPUTED_VALUE"""),"")</f>
        <v/>
      </c>
      <c r="D437" s="15" t="str">
        <f>IFERROR(__xludf.DUMMYFUNCTION("""COMPUTED_VALUE"""),"")</f>
        <v/>
      </c>
      <c r="E437" s="15" t="str">
        <f>IFERROR(__xludf.DUMMYFUNCTION("""COMPUTED_VALUE"""),"")</f>
        <v/>
      </c>
      <c r="F437" s="15" t="str">
        <f>IFERROR(__xludf.DUMMYFUNCTION("""COMPUTED_VALUE"""),"")</f>
        <v/>
      </c>
      <c r="G437" s="17" t="str">
        <f>IFERROR(__xludf.DUMMYFUNCTION("""COMPUTED_VALUE"""),"")</f>
        <v/>
      </c>
      <c r="H437" s="4"/>
    </row>
    <row r="438">
      <c r="A438" s="18" t="str">
        <f>IFERROR(__xludf.DUMMYFUNCTION("""COMPUTED_VALUE"""),"")</f>
        <v/>
      </c>
      <c r="B438" s="19" t="str">
        <f>IFERROR(__xludf.DUMMYFUNCTION("""COMPUTED_VALUE"""),"")</f>
        <v/>
      </c>
      <c r="C438" s="20" t="str">
        <f>IFERROR(__xludf.DUMMYFUNCTION("""COMPUTED_VALUE"""),"")</f>
        <v/>
      </c>
      <c r="D438" s="21" t="str">
        <f>IFERROR(__xludf.DUMMYFUNCTION("""COMPUTED_VALUE"""),"")</f>
        <v/>
      </c>
      <c r="E438" s="21" t="str">
        <f>IFERROR(__xludf.DUMMYFUNCTION("""COMPUTED_VALUE"""),"")</f>
        <v/>
      </c>
      <c r="F438" s="21" t="str">
        <f>IFERROR(__xludf.DUMMYFUNCTION("""COMPUTED_VALUE"""),"")</f>
        <v/>
      </c>
      <c r="G438" s="23" t="str">
        <f>IFERROR(__xludf.DUMMYFUNCTION("""COMPUTED_VALUE"""),"")</f>
        <v/>
      </c>
      <c r="H438" s="4"/>
    </row>
    <row r="439">
      <c r="A439" s="12" t="str">
        <f>IFERROR(__xludf.DUMMYFUNCTION("""COMPUTED_VALUE"""),"")</f>
        <v/>
      </c>
      <c r="B439" s="13" t="str">
        <f>IFERROR(__xludf.DUMMYFUNCTION("""COMPUTED_VALUE"""),"")</f>
        <v/>
      </c>
      <c r="C439" s="14" t="str">
        <f>IFERROR(__xludf.DUMMYFUNCTION("""COMPUTED_VALUE"""),"")</f>
        <v/>
      </c>
      <c r="D439" s="15" t="str">
        <f>IFERROR(__xludf.DUMMYFUNCTION("""COMPUTED_VALUE"""),"")</f>
        <v/>
      </c>
      <c r="E439" s="15" t="str">
        <f>IFERROR(__xludf.DUMMYFUNCTION("""COMPUTED_VALUE"""),"")</f>
        <v/>
      </c>
      <c r="F439" s="15" t="str">
        <f>IFERROR(__xludf.DUMMYFUNCTION("""COMPUTED_VALUE"""),"")</f>
        <v/>
      </c>
      <c r="G439" s="17" t="str">
        <f>IFERROR(__xludf.DUMMYFUNCTION("""COMPUTED_VALUE"""),"")</f>
        <v/>
      </c>
      <c r="H439" s="4"/>
    </row>
    <row r="440">
      <c r="A440" s="18" t="str">
        <f>IFERROR(__xludf.DUMMYFUNCTION("""COMPUTED_VALUE"""),"")</f>
        <v/>
      </c>
      <c r="B440" s="19" t="str">
        <f>IFERROR(__xludf.DUMMYFUNCTION("""COMPUTED_VALUE"""),"")</f>
        <v/>
      </c>
      <c r="C440" s="20" t="str">
        <f>IFERROR(__xludf.DUMMYFUNCTION("""COMPUTED_VALUE"""),"")</f>
        <v/>
      </c>
      <c r="D440" s="21" t="str">
        <f>IFERROR(__xludf.DUMMYFUNCTION("""COMPUTED_VALUE"""),"")</f>
        <v/>
      </c>
      <c r="E440" s="21" t="str">
        <f>IFERROR(__xludf.DUMMYFUNCTION("""COMPUTED_VALUE"""),"")</f>
        <v/>
      </c>
      <c r="F440" s="21" t="str">
        <f>IFERROR(__xludf.DUMMYFUNCTION("""COMPUTED_VALUE"""),"")</f>
        <v/>
      </c>
      <c r="G440" s="23" t="str">
        <f>IFERROR(__xludf.DUMMYFUNCTION("""COMPUTED_VALUE"""),"")</f>
        <v/>
      </c>
      <c r="H440" s="4"/>
    </row>
    <row r="441">
      <c r="A441" s="12" t="str">
        <f>IFERROR(__xludf.DUMMYFUNCTION("""COMPUTED_VALUE"""),"")</f>
        <v/>
      </c>
      <c r="B441" s="13" t="str">
        <f>IFERROR(__xludf.DUMMYFUNCTION("""COMPUTED_VALUE"""),"")</f>
        <v/>
      </c>
      <c r="C441" s="14" t="str">
        <f>IFERROR(__xludf.DUMMYFUNCTION("""COMPUTED_VALUE"""),"")</f>
        <v/>
      </c>
      <c r="D441" s="15" t="str">
        <f>IFERROR(__xludf.DUMMYFUNCTION("""COMPUTED_VALUE"""),"")</f>
        <v/>
      </c>
      <c r="E441" s="15" t="str">
        <f>IFERROR(__xludf.DUMMYFUNCTION("""COMPUTED_VALUE"""),"")</f>
        <v/>
      </c>
      <c r="F441" s="15" t="str">
        <f>IFERROR(__xludf.DUMMYFUNCTION("""COMPUTED_VALUE"""),"")</f>
        <v/>
      </c>
      <c r="G441" s="17" t="str">
        <f>IFERROR(__xludf.DUMMYFUNCTION("""COMPUTED_VALUE"""),"")</f>
        <v/>
      </c>
      <c r="H441" s="4"/>
    </row>
    <row r="442">
      <c r="A442" s="18" t="str">
        <f>IFERROR(__xludf.DUMMYFUNCTION("""COMPUTED_VALUE"""),"")</f>
        <v/>
      </c>
      <c r="B442" s="19" t="str">
        <f>IFERROR(__xludf.DUMMYFUNCTION("""COMPUTED_VALUE"""),"")</f>
        <v/>
      </c>
      <c r="C442" s="20" t="str">
        <f>IFERROR(__xludf.DUMMYFUNCTION("""COMPUTED_VALUE"""),"")</f>
        <v/>
      </c>
      <c r="D442" s="21" t="str">
        <f>IFERROR(__xludf.DUMMYFUNCTION("""COMPUTED_VALUE"""),"")</f>
        <v/>
      </c>
      <c r="E442" s="21" t="str">
        <f>IFERROR(__xludf.DUMMYFUNCTION("""COMPUTED_VALUE"""),"")</f>
        <v/>
      </c>
      <c r="F442" s="21" t="str">
        <f>IFERROR(__xludf.DUMMYFUNCTION("""COMPUTED_VALUE"""),"")</f>
        <v/>
      </c>
      <c r="G442" s="23" t="str">
        <f>IFERROR(__xludf.DUMMYFUNCTION("""COMPUTED_VALUE"""),"")</f>
        <v/>
      </c>
      <c r="H442" s="4"/>
    </row>
    <row r="443">
      <c r="A443" s="12" t="str">
        <f>IFERROR(__xludf.DUMMYFUNCTION("""COMPUTED_VALUE"""),"")</f>
        <v/>
      </c>
      <c r="B443" s="13" t="str">
        <f>IFERROR(__xludf.DUMMYFUNCTION("""COMPUTED_VALUE"""),"")</f>
        <v/>
      </c>
      <c r="C443" s="14" t="str">
        <f>IFERROR(__xludf.DUMMYFUNCTION("""COMPUTED_VALUE"""),"")</f>
        <v/>
      </c>
      <c r="D443" s="15" t="str">
        <f>IFERROR(__xludf.DUMMYFUNCTION("""COMPUTED_VALUE"""),"")</f>
        <v/>
      </c>
      <c r="E443" s="15" t="str">
        <f>IFERROR(__xludf.DUMMYFUNCTION("""COMPUTED_VALUE"""),"")</f>
        <v/>
      </c>
      <c r="F443" s="15" t="str">
        <f>IFERROR(__xludf.DUMMYFUNCTION("""COMPUTED_VALUE"""),"")</f>
        <v/>
      </c>
      <c r="G443" s="17" t="str">
        <f>IFERROR(__xludf.DUMMYFUNCTION("""COMPUTED_VALUE"""),"")</f>
        <v/>
      </c>
      <c r="H443" s="4"/>
    </row>
    <row r="444">
      <c r="A444" s="18" t="str">
        <f>IFERROR(__xludf.DUMMYFUNCTION("""COMPUTED_VALUE"""),"")</f>
        <v/>
      </c>
      <c r="B444" s="19" t="str">
        <f>IFERROR(__xludf.DUMMYFUNCTION("""COMPUTED_VALUE"""),"")</f>
        <v/>
      </c>
      <c r="C444" s="20" t="str">
        <f>IFERROR(__xludf.DUMMYFUNCTION("""COMPUTED_VALUE"""),"")</f>
        <v/>
      </c>
      <c r="D444" s="21" t="str">
        <f>IFERROR(__xludf.DUMMYFUNCTION("""COMPUTED_VALUE"""),"")</f>
        <v/>
      </c>
      <c r="E444" s="21" t="str">
        <f>IFERROR(__xludf.DUMMYFUNCTION("""COMPUTED_VALUE"""),"")</f>
        <v/>
      </c>
      <c r="F444" s="21" t="str">
        <f>IFERROR(__xludf.DUMMYFUNCTION("""COMPUTED_VALUE"""),"")</f>
        <v/>
      </c>
      <c r="G444" s="23" t="str">
        <f>IFERROR(__xludf.DUMMYFUNCTION("""COMPUTED_VALUE"""),"")</f>
        <v/>
      </c>
      <c r="H444" s="4"/>
    </row>
    <row r="445">
      <c r="A445" s="12" t="str">
        <f>IFERROR(__xludf.DUMMYFUNCTION("""COMPUTED_VALUE"""),"")</f>
        <v/>
      </c>
      <c r="B445" s="13" t="str">
        <f>IFERROR(__xludf.DUMMYFUNCTION("""COMPUTED_VALUE"""),"")</f>
        <v/>
      </c>
      <c r="C445" s="14" t="str">
        <f>IFERROR(__xludf.DUMMYFUNCTION("""COMPUTED_VALUE"""),"")</f>
        <v/>
      </c>
      <c r="D445" s="15" t="str">
        <f>IFERROR(__xludf.DUMMYFUNCTION("""COMPUTED_VALUE"""),"")</f>
        <v/>
      </c>
      <c r="E445" s="15" t="str">
        <f>IFERROR(__xludf.DUMMYFUNCTION("""COMPUTED_VALUE"""),"")</f>
        <v/>
      </c>
      <c r="F445" s="15" t="str">
        <f>IFERROR(__xludf.DUMMYFUNCTION("""COMPUTED_VALUE"""),"")</f>
        <v/>
      </c>
      <c r="G445" s="17" t="str">
        <f>IFERROR(__xludf.DUMMYFUNCTION("""COMPUTED_VALUE"""),"")</f>
        <v/>
      </c>
      <c r="H445" s="4"/>
    </row>
    <row r="446">
      <c r="A446" s="18" t="str">
        <f>IFERROR(__xludf.DUMMYFUNCTION("""COMPUTED_VALUE"""),"")</f>
        <v/>
      </c>
      <c r="B446" s="19" t="str">
        <f>IFERROR(__xludf.DUMMYFUNCTION("""COMPUTED_VALUE"""),"")</f>
        <v/>
      </c>
      <c r="C446" s="20" t="str">
        <f>IFERROR(__xludf.DUMMYFUNCTION("""COMPUTED_VALUE"""),"")</f>
        <v/>
      </c>
      <c r="D446" s="21" t="str">
        <f>IFERROR(__xludf.DUMMYFUNCTION("""COMPUTED_VALUE"""),"")</f>
        <v/>
      </c>
      <c r="E446" s="21" t="str">
        <f>IFERROR(__xludf.DUMMYFUNCTION("""COMPUTED_VALUE"""),"")</f>
        <v/>
      </c>
      <c r="F446" s="21" t="str">
        <f>IFERROR(__xludf.DUMMYFUNCTION("""COMPUTED_VALUE"""),"")</f>
        <v/>
      </c>
      <c r="G446" s="23" t="str">
        <f>IFERROR(__xludf.DUMMYFUNCTION("""COMPUTED_VALUE"""),"")</f>
        <v/>
      </c>
      <c r="H446" s="4"/>
    </row>
    <row r="447">
      <c r="A447" s="12" t="str">
        <f>IFERROR(__xludf.DUMMYFUNCTION("""COMPUTED_VALUE"""),"")</f>
        <v/>
      </c>
      <c r="B447" s="13" t="str">
        <f>IFERROR(__xludf.DUMMYFUNCTION("""COMPUTED_VALUE"""),"")</f>
        <v/>
      </c>
      <c r="C447" s="14" t="str">
        <f>IFERROR(__xludf.DUMMYFUNCTION("""COMPUTED_VALUE"""),"")</f>
        <v/>
      </c>
      <c r="D447" s="15" t="str">
        <f>IFERROR(__xludf.DUMMYFUNCTION("""COMPUTED_VALUE"""),"")</f>
        <v/>
      </c>
      <c r="E447" s="15" t="str">
        <f>IFERROR(__xludf.DUMMYFUNCTION("""COMPUTED_VALUE"""),"")</f>
        <v/>
      </c>
      <c r="F447" s="15" t="str">
        <f>IFERROR(__xludf.DUMMYFUNCTION("""COMPUTED_VALUE"""),"")</f>
        <v/>
      </c>
      <c r="G447" s="17" t="str">
        <f>IFERROR(__xludf.DUMMYFUNCTION("""COMPUTED_VALUE"""),"")</f>
        <v/>
      </c>
      <c r="H447" s="4"/>
    </row>
    <row r="448">
      <c r="A448" s="18" t="str">
        <f>IFERROR(__xludf.DUMMYFUNCTION("""COMPUTED_VALUE"""),"")</f>
        <v/>
      </c>
      <c r="B448" s="19" t="str">
        <f>IFERROR(__xludf.DUMMYFUNCTION("""COMPUTED_VALUE"""),"")</f>
        <v/>
      </c>
      <c r="C448" s="20" t="str">
        <f>IFERROR(__xludf.DUMMYFUNCTION("""COMPUTED_VALUE"""),"")</f>
        <v/>
      </c>
      <c r="D448" s="21" t="str">
        <f>IFERROR(__xludf.DUMMYFUNCTION("""COMPUTED_VALUE"""),"")</f>
        <v/>
      </c>
      <c r="E448" s="21" t="str">
        <f>IFERROR(__xludf.DUMMYFUNCTION("""COMPUTED_VALUE"""),"")</f>
        <v/>
      </c>
      <c r="F448" s="21" t="str">
        <f>IFERROR(__xludf.DUMMYFUNCTION("""COMPUTED_VALUE"""),"")</f>
        <v/>
      </c>
      <c r="G448" s="23" t="str">
        <f>IFERROR(__xludf.DUMMYFUNCTION("""COMPUTED_VALUE"""),"")</f>
        <v/>
      </c>
      <c r="H448" s="4"/>
    </row>
    <row r="449">
      <c r="A449" s="12" t="str">
        <f>IFERROR(__xludf.DUMMYFUNCTION("""COMPUTED_VALUE"""),"")</f>
        <v/>
      </c>
      <c r="B449" s="13" t="str">
        <f>IFERROR(__xludf.DUMMYFUNCTION("""COMPUTED_VALUE"""),"")</f>
        <v/>
      </c>
      <c r="C449" s="14" t="str">
        <f>IFERROR(__xludf.DUMMYFUNCTION("""COMPUTED_VALUE"""),"")</f>
        <v/>
      </c>
      <c r="D449" s="15" t="str">
        <f>IFERROR(__xludf.DUMMYFUNCTION("""COMPUTED_VALUE"""),"")</f>
        <v/>
      </c>
      <c r="E449" s="15" t="str">
        <f>IFERROR(__xludf.DUMMYFUNCTION("""COMPUTED_VALUE"""),"")</f>
        <v/>
      </c>
      <c r="F449" s="15" t="str">
        <f>IFERROR(__xludf.DUMMYFUNCTION("""COMPUTED_VALUE"""),"")</f>
        <v/>
      </c>
      <c r="G449" s="17" t="str">
        <f>IFERROR(__xludf.DUMMYFUNCTION("""COMPUTED_VALUE"""),"")</f>
        <v/>
      </c>
      <c r="H449" s="4"/>
    </row>
    <row r="450">
      <c r="A450" s="18" t="str">
        <f>IFERROR(__xludf.DUMMYFUNCTION("""COMPUTED_VALUE"""),"")</f>
        <v/>
      </c>
      <c r="B450" s="19" t="str">
        <f>IFERROR(__xludf.DUMMYFUNCTION("""COMPUTED_VALUE"""),"")</f>
        <v/>
      </c>
      <c r="C450" s="20" t="str">
        <f>IFERROR(__xludf.DUMMYFUNCTION("""COMPUTED_VALUE"""),"")</f>
        <v/>
      </c>
      <c r="D450" s="21" t="str">
        <f>IFERROR(__xludf.DUMMYFUNCTION("""COMPUTED_VALUE"""),"")</f>
        <v/>
      </c>
      <c r="E450" s="21" t="str">
        <f>IFERROR(__xludf.DUMMYFUNCTION("""COMPUTED_VALUE"""),"")</f>
        <v/>
      </c>
      <c r="F450" s="21" t="str">
        <f>IFERROR(__xludf.DUMMYFUNCTION("""COMPUTED_VALUE"""),"")</f>
        <v/>
      </c>
      <c r="G450" s="23" t="str">
        <f>IFERROR(__xludf.DUMMYFUNCTION("""COMPUTED_VALUE"""),"")</f>
        <v/>
      </c>
      <c r="H450" s="4"/>
    </row>
    <row r="451">
      <c r="A451" s="12" t="str">
        <f>IFERROR(__xludf.DUMMYFUNCTION("""COMPUTED_VALUE"""),"")</f>
        <v/>
      </c>
      <c r="B451" s="13" t="str">
        <f>IFERROR(__xludf.DUMMYFUNCTION("""COMPUTED_VALUE"""),"")</f>
        <v/>
      </c>
      <c r="C451" s="14" t="str">
        <f>IFERROR(__xludf.DUMMYFUNCTION("""COMPUTED_VALUE"""),"")</f>
        <v/>
      </c>
      <c r="D451" s="15" t="str">
        <f>IFERROR(__xludf.DUMMYFUNCTION("""COMPUTED_VALUE"""),"")</f>
        <v/>
      </c>
      <c r="E451" s="15" t="str">
        <f>IFERROR(__xludf.DUMMYFUNCTION("""COMPUTED_VALUE"""),"")</f>
        <v/>
      </c>
      <c r="F451" s="15" t="str">
        <f>IFERROR(__xludf.DUMMYFUNCTION("""COMPUTED_VALUE"""),"")</f>
        <v/>
      </c>
      <c r="G451" s="17" t="str">
        <f>IFERROR(__xludf.DUMMYFUNCTION("""COMPUTED_VALUE"""),"")</f>
        <v/>
      </c>
      <c r="H451" s="4"/>
    </row>
    <row r="452">
      <c r="A452" s="18" t="str">
        <f>IFERROR(__xludf.DUMMYFUNCTION("""COMPUTED_VALUE"""),"")</f>
        <v/>
      </c>
      <c r="B452" s="19" t="str">
        <f>IFERROR(__xludf.DUMMYFUNCTION("""COMPUTED_VALUE"""),"")</f>
        <v/>
      </c>
      <c r="C452" s="20" t="str">
        <f>IFERROR(__xludf.DUMMYFUNCTION("""COMPUTED_VALUE"""),"")</f>
        <v/>
      </c>
      <c r="D452" s="21" t="str">
        <f>IFERROR(__xludf.DUMMYFUNCTION("""COMPUTED_VALUE"""),"")</f>
        <v/>
      </c>
      <c r="E452" s="21" t="str">
        <f>IFERROR(__xludf.DUMMYFUNCTION("""COMPUTED_VALUE"""),"")</f>
        <v/>
      </c>
      <c r="F452" s="21" t="str">
        <f>IFERROR(__xludf.DUMMYFUNCTION("""COMPUTED_VALUE"""),"")</f>
        <v/>
      </c>
      <c r="G452" s="23" t="str">
        <f>IFERROR(__xludf.DUMMYFUNCTION("""COMPUTED_VALUE"""),"")</f>
        <v/>
      </c>
      <c r="H452" s="4"/>
    </row>
    <row r="453">
      <c r="A453" s="12" t="str">
        <f>IFERROR(__xludf.DUMMYFUNCTION("""COMPUTED_VALUE"""),"")</f>
        <v/>
      </c>
      <c r="B453" s="13" t="str">
        <f>IFERROR(__xludf.DUMMYFUNCTION("""COMPUTED_VALUE"""),"")</f>
        <v/>
      </c>
      <c r="C453" s="14" t="str">
        <f>IFERROR(__xludf.DUMMYFUNCTION("""COMPUTED_VALUE"""),"")</f>
        <v/>
      </c>
      <c r="D453" s="15" t="str">
        <f>IFERROR(__xludf.DUMMYFUNCTION("""COMPUTED_VALUE"""),"")</f>
        <v/>
      </c>
      <c r="E453" s="15" t="str">
        <f>IFERROR(__xludf.DUMMYFUNCTION("""COMPUTED_VALUE"""),"")</f>
        <v/>
      </c>
      <c r="F453" s="15" t="str">
        <f>IFERROR(__xludf.DUMMYFUNCTION("""COMPUTED_VALUE"""),"")</f>
        <v/>
      </c>
      <c r="G453" s="17" t="str">
        <f>IFERROR(__xludf.DUMMYFUNCTION("""COMPUTED_VALUE"""),"")</f>
        <v/>
      </c>
      <c r="H453" s="4"/>
    </row>
    <row r="454">
      <c r="A454" s="18" t="str">
        <f>IFERROR(__xludf.DUMMYFUNCTION("""COMPUTED_VALUE"""),"")</f>
        <v/>
      </c>
      <c r="B454" s="19" t="str">
        <f>IFERROR(__xludf.DUMMYFUNCTION("""COMPUTED_VALUE"""),"")</f>
        <v/>
      </c>
      <c r="C454" s="20" t="str">
        <f>IFERROR(__xludf.DUMMYFUNCTION("""COMPUTED_VALUE"""),"")</f>
        <v/>
      </c>
      <c r="D454" s="21" t="str">
        <f>IFERROR(__xludf.DUMMYFUNCTION("""COMPUTED_VALUE"""),"")</f>
        <v/>
      </c>
      <c r="E454" s="21" t="str">
        <f>IFERROR(__xludf.DUMMYFUNCTION("""COMPUTED_VALUE"""),"")</f>
        <v/>
      </c>
      <c r="F454" s="21" t="str">
        <f>IFERROR(__xludf.DUMMYFUNCTION("""COMPUTED_VALUE"""),"")</f>
        <v/>
      </c>
      <c r="G454" s="23" t="str">
        <f>IFERROR(__xludf.DUMMYFUNCTION("""COMPUTED_VALUE"""),"")</f>
        <v/>
      </c>
      <c r="H454" s="4"/>
    </row>
    <row r="455">
      <c r="A455" s="12" t="str">
        <f>IFERROR(__xludf.DUMMYFUNCTION("""COMPUTED_VALUE"""),"")</f>
        <v/>
      </c>
      <c r="B455" s="13" t="str">
        <f>IFERROR(__xludf.DUMMYFUNCTION("""COMPUTED_VALUE"""),"")</f>
        <v/>
      </c>
      <c r="C455" s="14" t="str">
        <f>IFERROR(__xludf.DUMMYFUNCTION("""COMPUTED_VALUE"""),"")</f>
        <v/>
      </c>
      <c r="D455" s="15" t="str">
        <f>IFERROR(__xludf.DUMMYFUNCTION("""COMPUTED_VALUE"""),"")</f>
        <v/>
      </c>
      <c r="E455" s="15" t="str">
        <f>IFERROR(__xludf.DUMMYFUNCTION("""COMPUTED_VALUE"""),"")</f>
        <v/>
      </c>
      <c r="F455" s="15" t="str">
        <f>IFERROR(__xludf.DUMMYFUNCTION("""COMPUTED_VALUE"""),"")</f>
        <v/>
      </c>
      <c r="G455" s="17" t="str">
        <f>IFERROR(__xludf.DUMMYFUNCTION("""COMPUTED_VALUE"""),"")</f>
        <v/>
      </c>
      <c r="H455" s="4"/>
    </row>
    <row r="456">
      <c r="A456" s="18" t="str">
        <f>IFERROR(__xludf.DUMMYFUNCTION("""COMPUTED_VALUE"""),"")</f>
        <v/>
      </c>
      <c r="B456" s="19" t="str">
        <f>IFERROR(__xludf.DUMMYFUNCTION("""COMPUTED_VALUE"""),"")</f>
        <v/>
      </c>
      <c r="C456" s="20" t="str">
        <f>IFERROR(__xludf.DUMMYFUNCTION("""COMPUTED_VALUE"""),"")</f>
        <v/>
      </c>
      <c r="D456" s="21" t="str">
        <f>IFERROR(__xludf.DUMMYFUNCTION("""COMPUTED_VALUE"""),"")</f>
        <v/>
      </c>
      <c r="E456" s="21" t="str">
        <f>IFERROR(__xludf.DUMMYFUNCTION("""COMPUTED_VALUE"""),"")</f>
        <v/>
      </c>
      <c r="F456" s="21" t="str">
        <f>IFERROR(__xludf.DUMMYFUNCTION("""COMPUTED_VALUE"""),"")</f>
        <v/>
      </c>
      <c r="G456" s="23" t="str">
        <f>IFERROR(__xludf.DUMMYFUNCTION("""COMPUTED_VALUE"""),"")</f>
        <v/>
      </c>
      <c r="H456" s="4"/>
    </row>
    <row r="457">
      <c r="A457" s="12" t="str">
        <f>IFERROR(__xludf.DUMMYFUNCTION("""COMPUTED_VALUE"""),"")</f>
        <v/>
      </c>
      <c r="B457" s="13" t="str">
        <f>IFERROR(__xludf.DUMMYFUNCTION("""COMPUTED_VALUE"""),"")</f>
        <v/>
      </c>
      <c r="C457" s="14" t="str">
        <f>IFERROR(__xludf.DUMMYFUNCTION("""COMPUTED_VALUE"""),"")</f>
        <v/>
      </c>
      <c r="D457" s="15" t="str">
        <f>IFERROR(__xludf.DUMMYFUNCTION("""COMPUTED_VALUE"""),"")</f>
        <v/>
      </c>
      <c r="E457" s="15" t="str">
        <f>IFERROR(__xludf.DUMMYFUNCTION("""COMPUTED_VALUE"""),"")</f>
        <v/>
      </c>
      <c r="F457" s="15" t="str">
        <f>IFERROR(__xludf.DUMMYFUNCTION("""COMPUTED_VALUE"""),"")</f>
        <v/>
      </c>
      <c r="G457" s="17" t="str">
        <f>IFERROR(__xludf.DUMMYFUNCTION("""COMPUTED_VALUE"""),"")</f>
        <v/>
      </c>
      <c r="H457" s="4"/>
    </row>
    <row r="458">
      <c r="A458" s="18" t="str">
        <f>IFERROR(__xludf.DUMMYFUNCTION("""COMPUTED_VALUE"""),"")</f>
        <v/>
      </c>
      <c r="B458" s="19" t="str">
        <f>IFERROR(__xludf.DUMMYFUNCTION("""COMPUTED_VALUE"""),"")</f>
        <v/>
      </c>
      <c r="C458" s="20" t="str">
        <f>IFERROR(__xludf.DUMMYFUNCTION("""COMPUTED_VALUE"""),"")</f>
        <v/>
      </c>
      <c r="D458" s="21" t="str">
        <f>IFERROR(__xludf.DUMMYFUNCTION("""COMPUTED_VALUE"""),"")</f>
        <v/>
      </c>
      <c r="E458" s="21" t="str">
        <f>IFERROR(__xludf.DUMMYFUNCTION("""COMPUTED_VALUE"""),"")</f>
        <v/>
      </c>
      <c r="F458" s="21" t="str">
        <f>IFERROR(__xludf.DUMMYFUNCTION("""COMPUTED_VALUE"""),"")</f>
        <v/>
      </c>
      <c r="G458" s="23" t="str">
        <f>IFERROR(__xludf.DUMMYFUNCTION("""COMPUTED_VALUE"""),"")</f>
        <v/>
      </c>
      <c r="H458" s="4"/>
    </row>
    <row r="459">
      <c r="A459" s="12" t="str">
        <f>IFERROR(__xludf.DUMMYFUNCTION("""COMPUTED_VALUE"""),"")</f>
        <v/>
      </c>
      <c r="B459" s="13" t="str">
        <f>IFERROR(__xludf.DUMMYFUNCTION("""COMPUTED_VALUE"""),"")</f>
        <v/>
      </c>
      <c r="C459" s="14" t="str">
        <f>IFERROR(__xludf.DUMMYFUNCTION("""COMPUTED_VALUE"""),"")</f>
        <v/>
      </c>
      <c r="D459" s="15" t="str">
        <f>IFERROR(__xludf.DUMMYFUNCTION("""COMPUTED_VALUE"""),"")</f>
        <v/>
      </c>
      <c r="E459" s="15" t="str">
        <f>IFERROR(__xludf.DUMMYFUNCTION("""COMPUTED_VALUE"""),"")</f>
        <v/>
      </c>
      <c r="F459" s="15" t="str">
        <f>IFERROR(__xludf.DUMMYFUNCTION("""COMPUTED_VALUE"""),"")</f>
        <v/>
      </c>
      <c r="G459" s="17" t="str">
        <f>IFERROR(__xludf.DUMMYFUNCTION("""COMPUTED_VALUE"""),"")</f>
        <v/>
      </c>
      <c r="H459" s="4"/>
    </row>
    <row r="460">
      <c r="A460" s="18" t="str">
        <f>IFERROR(__xludf.DUMMYFUNCTION("""COMPUTED_VALUE"""),"")</f>
        <v/>
      </c>
      <c r="B460" s="19" t="str">
        <f>IFERROR(__xludf.DUMMYFUNCTION("""COMPUTED_VALUE"""),"")</f>
        <v/>
      </c>
      <c r="C460" s="20" t="str">
        <f>IFERROR(__xludf.DUMMYFUNCTION("""COMPUTED_VALUE"""),"")</f>
        <v/>
      </c>
      <c r="D460" s="21" t="str">
        <f>IFERROR(__xludf.DUMMYFUNCTION("""COMPUTED_VALUE"""),"")</f>
        <v/>
      </c>
      <c r="E460" s="21" t="str">
        <f>IFERROR(__xludf.DUMMYFUNCTION("""COMPUTED_VALUE"""),"")</f>
        <v/>
      </c>
      <c r="F460" s="21" t="str">
        <f>IFERROR(__xludf.DUMMYFUNCTION("""COMPUTED_VALUE"""),"")</f>
        <v/>
      </c>
      <c r="G460" s="23" t="str">
        <f>IFERROR(__xludf.DUMMYFUNCTION("""COMPUTED_VALUE"""),"")</f>
        <v/>
      </c>
      <c r="H460" s="4"/>
    </row>
    <row r="461">
      <c r="A461" s="12" t="str">
        <f>IFERROR(__xludf.DUMMYFUNCTION("""COMPUTED_VALUE"""),"")</f>
        <v/>
      </c>
      <c r="B461" s="13" t="str">
        <f>IFERROR(__xludf.DUMMYFUNCTION("""COMPUTED_VALUE"""),"")</f>
        <v/>
      </c>
      <c r="C461" s="14" t="str">
        <f>IFERROR(__xludf.DUMMYFUNCTION("""COMPUTED_VALUE"""),"")</f>
        <v/>
      </c>
      <c r="D461" s="15" t="str">
        <f>IFERROR(__xludf.DUMMYFUNCTION("""COMPUTED_VALUE"""),"")</f>
        <v/>
      </c>
      <c r="E461" s="15" t="str">
        <f>IFERROR(__xludf.DUMMYFUNCTION("""COMPUTED_VALUE"""),"")</f>
        <v/>
      </c>
      <c r="F461" s="15" t="str">
        <f>IFERROR(__xludf.DUMMYFUNCTION("""COMPUTED_VALUE"""),"")</f>
        <v/>
      </c>
      <c r="G461" s="17" t="str">
        <f>IFERROR(__xludf.DUMMYFUNCTION("""COMPUTED_VALUE"""),"")</f>
        <v/>
      </c>
      <c r="H461" s="4"/>
    </row>
    <row r="462">
      <c r="A462" s="18" t="str">
        <f>IFERROR(__xludf.DUMMYFUNCTION("""COMPUTED_VALUE"""),"")</f>
        <v/>
      </c>
      <c r="B462" s="19" t="str">
        <f>IFERROR(__xludf.DUMMYFUNCTION("""COMPUTED_VALUE"""),"")</f>
        <v/>
      </c>
      <c r="C462" s="20" t="str">
        <f>IFERROR(__xludf.DUMMYFUNCTION("""COMPUTED_VALUE"""),"")</f>
        <v/>
      </c>
      <c r="D462" s="21" t="str">
        <f>IFERROR(__xludf.DUMMYFUNCTION("""COMPUTED_VALUE"""),"")</f>
        <v/>
      </c>
      <c r="E462" s="21" t="str">
        <f>IFERROR(__xludf.DUMMYFUNCTION("""COMPUTED_VALUE"""),"")</f>
        <v/>
      </c>
      <c r="F462" s="21" t="str">
        <f>IFERROR(__xludf.DUMMYFUNCTION("""COMPUTED_VALUE"""),"")</f>
        <v/>
      </c>
      <c r="G462" s="23" t="str">
        <f>IFERROR(__xludf.DUMMYFUNCTION("""COMPUTED_VALUE"""),"")</f>
        <v/>
      </c>
      <c r="H462" s="4"/>
    </row>
    <row r="463">
      <c r="A463" s="12" t="str">
        <f>IFERROR(__xludf.DUMMYFUNCTION("""COMPUTED_VALUE"""),"")</f>
        <v/>
      </c>
      <c r="B463" s="13" t="str">
        <f>IFERROR(__xludf.DUMMYFUNCTION("""COMPUTED_VALUE"""),"")</f>
        <v/>
      </c>
      <c r="C463" s="14" t="str">
        <f>IFERROR(__xludf.DUMMYFUNCTION("""COMPUTED_VALUE"""),"")</f>
        <v/>
      </c>
      <c r="D463" s="15" t="str">
        <f>IFERROR(__xludf.DUMMYFUNCTION("""COMPUTED_VALUE"""),"")</f>
        <v/>
      </c>
      <c r="E463" s="15" t="str">
        <f>IFERROR(__xludf.DUMMYFUNCTION("""COMPUTED_VALUE"""),"")</f>
        <v/>
      </c>
      <c r="F463" s="15" t="str">
        <f>IFERROR(__xludf.DUMMYFUNCTION("""COMPUTED_VALUE"""),"")</f>
        <v/>
      </c>
      <c r="G463" s="17" t="str">
        <f>IFERROR(__xludf.DUMMYFUNCTION("""COMPUTED_VALUE"""),"")</f>
        <v/>
      </c>
      <c r="H463" s="4"/>
    </row>
    <row r="464">
      <c r="A464" s="18" t="str">
        <f>IFERROR(__xludf.DUMMYFUNCTION("""COMPUTED_VALUE"""),"")</f>
        <v/>
      </c>
      <c r="B464" s="19" t="str">
        <f>IFERROR(__xludf.DUMMYFUNCTION("""COMPUTED_VALUE"""),"")</f>
        <v/>
      </c>
      <c r="C464" s="20" t="str">
        <f>IFERROR(__xludf.DUMMYFUNCTION("""COMPUTED_VALUE"""),"")</f>
        <v/>
      </c>
      <c r="D464" s="21" t="str">
        <f>IFERROR(__xludf.DUMMYFUNCTION("""COMPUTED_VALUE"""),"")</f>
        <v/>
      </c>
      <c r="E464" s="21" t="str">
        <f>IFERROR(__xludf.DUMMYFUNCTION("""COMPUTED_VALUE"""),"")</f>
        <v/>
      </c>
      <c r="F464" s="21" t="str">
        <f>IFERROR(__xludf.DUMMYFUNCTION("""COMPUTED_VALUE"""),"")</f>
        <v/>
      </c>
      <c r="G464" s="23" t="str">
        <f>IFERROR(__xludf.DUMMYFUNCTION("""COMPUTED_VALUE"""),"")</f>
        <v/>
      </c>
      <c r="H464" s="4"/>
    </row>
    <row r="465">
      <c r="A465" s="12" t="str">
        <f>IFERROR(__xludf.DUMMYFUNCTION("""COMPUTED_VALUE"""),"")</f>
        <v/>
      </c>
      <c r="B465" s="13" t="str">
        <f>IFERROR(__xludf.DUMMYFUNCTION("""COMPUTED_VALUE"""),"")</f>
        <v/>
      </c>
      <c r="C465" s="14" t="str">
        <f>IFERROR(__xludf.DUMMYFUNCTION("""COMPUTED_VALUE"""),"")</f>
        <v/>
      </c>
      <c r="D465" s="15" t="str">
        <f>IFERROR(__xludf.DUMMYFUNCTION("""COMPUTED_VALUE"""),"")</f>
        <v/>
      </c>
      <c r="E465" s="15" t="str">
        <f>IFERROR(__xludf.DUMMYFUNCTION("""COMPUTED_VALUE"""),"")</f>
        <v/>
      </c>
      <c r="F465" s="15" t="str">
        <f>IFERROR(__xludf.DUMMYFUNCTION("""COMPUTED_VALUE"""),"")</f>
        <v/>
      </c>
      <c r="G465" s="17" t="str">
        <f>IFERROR(__xludf.DUMMYFUNCTION("""COMPUTED_VALUE"""),"")</f>
        <v/>
      </c>
      <c r="H465" s="4"/>
    </row>
    <row r="466">
      <c r="A466" s="18" t="str">
        <f>IFERROR(__xludf.DUMMYFUNCTION("""COMPUTED_VALUE"""),"")</f>
        <v/>
      </c>
      <c r="B466" s="19" t="str">
        <f>IFERROR(__xludf.DUMMYFUNCTION("""COMPUTED_VALUE"""),"")</f>
        <v/>
      </c>
      <c r="C466" s="20" t="str">
        <f>IFERROR(__xludf.DUMMYFUNCTION("""COMPUTED_VALUE"""),"")</f>
        <v/>
      </c>
      <c r="D466" s="21" t="str">
        <f>IFERROR(__xludf.DUMMYFUNCTION("""COMPUTED_VALUE"""),"")</f>
        <v/>
      </c>
      <c r="E466" s="21" t="str">
        <f>IFERROR(__xludf.DUMMYFUNCTION("""COMPUTED_VALUE"""),"")</f>
        <v/>
      </c>
      <c r="F466" s="21" t="str">
        <f>IFERROR(__xludf.DUMMYFUNCTION("""COMPUTED_VALUE"""),"")</f>
        <v/>
      </c>
      <c r="G466" s="23" t="str">
        <f>IFERROR(__xludf.DUMMYFUNCTION("""COMPUTED_VALUE"""),"")</f>
        <v/>
      </c>
      <c r="H466" s="4"/>
    </row>
    <row r="467">
      <c r="A467" s="12" t="str">
        <f>IFERROR(__xludf.DUMMYFUNCTION("""COMPUTED_VALUE"""),"")</f>
        <v/>
      </c>
      <c r="B467" s="13" t="str">
        <f>IFERROR(__xludf.DUMMYFUNCTION("""COMPUTED_VALUE"""),"")</f>
        <v/>
      </c>
      <c r="C467" s="14" t="str">
        <f>IFERROR(__xludf.DUMMYFUNCTION("""COMPUTED_VALUE"""),"")</f>
        <v/>
      </c>
      <c r="D467" s="15" t="str">
        <f>IFERROR(__xludf.DUMMYFUNCTION("""COMPUTED_VALUE"""),"")</f>
        <v/>
      </c>
      <c r="E467" s="15" t="str">
        <f>IFERROR(__xludf.DUMMYFUNCTION("""COMPUTED_VALUE"""),"")</f>
        <v/>
      </c>
      <c r="F467" s="15" t="str">
        <f>IFERROR(__xludf.DUMMYFUNCTION("""COMPUTED_VALUE"""),"")</f>
        <v/>
      </c>
      <c r="G467" s="17" t="str">
        <f>IFERROR(__xludf.DUMMYFUNCTION("""COMPUTED_VALUE"""),"")</f>
        <v/>
      </c>
      <c r="H467" s="4"/>
    </row>
    <row r="468">
      <c r="A468" s="18" t="str">
        <f>IFERROR(__xludf.DUMMYFUNCTION("""COMPUTED_VALUE"""),"")</f>
        <v/>
      </c>
      <c r="B468" s="19" t="str">
        <f>IFERROR(__xludf.DUMMYFUNCTION("""COMPUTED_VALUE"""),"")</f>
        <v/>
      </c>
      <c r="C468" s="20" t="str">
        <f>IFERROR(__xludf.DUMMYFUNCTION("""COMPUTED_VALUE"""),"")</f>
        <v/>
      </c>
      <c r="D468" s="21" t="str">
        <f>IFERROR(__xludf.DUMMYFUNCTION("""COMPUTED_VALUE"""),"")</f>
        <v/>
      </c>
      <c r="E468" s="21" t="str">
        <f>IFERROR(__xludf.DUMMYFUNCTION("""COMPUTED_VALUE"""),"")</f>
        <v/>
      </c>
      <c r="F468" s="21" t="str">
        <f>IFERROR(__xludf.DUMMYFUNCTION("""COMPUTED_VALUE"""),"")</f>
        <v/>
      </c>
      <c r="G468" s="23" t="str">
        <f>IFERROR(__xludf.DUMMYFUNCTION("""COMPUTED_VALUE"""),"")</f>
        <v/>
      </c>
      <c r="H468" s="4"/>
    </row>
    <row r="469">
      <c r="A469" s="12" t="str">
        <f>IFERROR(__xludf.DUMMYFUNCTION("""COMPUTED_VALUE"""),"")</f>
        <v/>
      </c>
      <c r="B469" s="13" t="str">
        <f>IFERROR(__xludf.DUMMYFUNCTION("""COMPUTED_VALUE"""),"")</f>
        <v/>
      </c>
      <c r="C469" s="14" t="str">
        <f>IFERROR(__xludf.DUMMYFUNCTION("""COMPUTED_VALUE"""),"")</f>
        <v/>
      </c>
      <c r="D469" s="15" t="str">
        <f>IFERROR(__xludf.DUMMYFUNCTION("""COMPUTED_VALUE"""),"")</f>
        <v/>
      </c>
      <c r="E469" s="15" t="str">
        <f>IFERROR(__xludf.DUMMYFUNCTION("""COMPUTED_VALUE"""),"")</f>
        <v/>
      </c>
      <c r="F469" s="15" t="str">
        <f>IFERROR(__xludf.DUMMYFUNCTION("""COMPUTED_VALUE"""),"")</f>
        <v/>
      </c>
      <c r="G469" s="17" t="str">
        <f>IFERROR(__xludf.DUMMYFUNCTION("""COMPUTED_VALUE"""),"")</f>
        <v/>
      </c>
      <c r="H469" s="4"/>
    </row>
    <row r="470">
      <c r="A470" s="18" t="str">
        <f>IFERROR(__xludf.DUMMYFUNCTION("""COMPUTED_VALUE"""),"")</f>
        <v/>
      </c>
      <c r="B470" s="19" t="str">
        <f>IFERROR(__xludf.DUMMYFUNCTION("""COMPUTED_VALUE"""),"")</f>
        <v/>
      </c>
      <c r="C470" s="20" t="str">
        <f>IFERROR(__xludf.DUMMYFUNCTION("""COMPUTED_VALUE"""),"")</f>
        <v/>
      </c>
      <c r="D470" s="21" t="str">
        <f>IFERROR(__xludf.DUMMYFUNCTION("""COMPUTED_VALUE"""),"")</f>
        <v/>
      </c>
      <c r="E470" s="21" t="str">
        <f>IFERROR(__xludf.DUMMYFUNCTION("""COMPUTED_VALUE"""),"")</f>
        <v/>
      </c>
      <c r="F470" s="21" t="str">
        <f>IFERROR(__xludf.DUMMYFUNCTION("""COMPUTED_VALUE"""),"")</f>
        <v/>
      </c>
      <c r="G470" s="23" t="str">
        <f>IFERROR(__xludf.DUMMYFUNCTION("""COMPUTED_VALUE"""),"")</f>
        <v/>
      </c>
      <c r="H470" s="4"/>
    </row>
    <row r="471">
      <c r="A471" s="12" t="str">
        <f>IFERROR(__xludf.DUMMYFUNCTION("""COMPUTED_VALUE"""),"")</f>
        <v/>
      </c>
      <c r="B471" s="13" t="str">
        <f>IFERROR(__xludf.DUMMYFUNCTION("""COMPUTED_VALUE"""),"")</f>
        <v/>
      </c>
      <c r="C471" s="14" t="str">
        <f>IFERROR(__xludf.DUMMYFUNCTION("""COMPUTED_VALUE"""),"")</f>
        <v/>
      </c>
      <c r="D471" s="15" t="str">
        <f>IFERROR(__xludf.DUMMYFUNCTION("""COMPUTED_VALUE"""),"")</f>
        <v/>
      </c>
      <c r="E471" s="15" t="str">
        <f>IFERROR(__xludf.DUMMYFUNCTION("""COMPUTED_VALUE"""),"")</f>
        <v/>
      </c>
      <c r="F471" s="15" t="str">
        <f>IFERROR(__xludf.DUMMYFUNCTION("""COMPUTED_VALUE"""),"")</f>
        <v/>
      </c>
      <c r="G471" s="17" t="str">
        <f>IFERROR(__xludf.DUMMYFUNCTION("""COMPUTED_VALUE"""),"")</f>
        <v/>
      </c>
      <c r="H471" s="4"/>
    </row>
    <row r="472">
      <c r="A472" s="18" t="str">
        <f>IFERROR(__xludf.DUMMYFUNCTION("""COMPUTED_VALUE"""),"")</f>
        <v/>
      </c>
      <c r="B472" s="19" t="str">
        <f>IFERROR(__xludf.DUMMYFUNCTION("""COMPUTED_VALUE"""),"")</f>
        <v/>
      </c>
      <c r="C472" s="20" t="str">
        <f>IFERROR(__xludf.DUMMYFUNCTION("""COMPUTED_VALUE"""),"")</f>
        <v/>
      </c>
      <c r="D472" s="21" t="str">
        <f>IFERROR(__xludf.DUMMYFUNCTION("""COMPUTED_VALUE"""),"")</f>
        <v/>
      </c>
      <c r="E472" s="21" t="str">
        <f>IFERROR(__xludf.DUMMYFUNCTION("""COMPUTED_VALUE"""),"")</f>
        <v/>
      </c>
      <c r="F472" s="21" t="str">
        <f>IFERROR(__xludf.DUMMYFUNCTION("""COMPUTED_VALUE"""),"")</f>
        <v/>
      </c>
      <c r="G472" s="23" t="str">
        <f>IFERROR(__xludf.DUMMYFUNCTION("""COMPUTED_VALUE"""),"")</f>
        <v/>
      </c>
      <c r="H472" s="4"/>
    </row>
    <row r="473">
      <c r="A473" s="12" t="str">
        <f>IFERROR(__xludf.DUMMYFUNCTION("""COMPUTED_VALUE"""),"")</f>
        <v/>
      </c>
      <c r="B473" s="13" t="str">
        <f>IFERROR(__xludf.DUMMYFUNCTION("""COMPUTED_VALUE"""),"")</f>
        <v/>
      </c>
      <c r="C473" s="14" t="str">
        <f>IFERROR(__xludf.DUMMYFUNCTION("""COMPUTED_VALUE"""),"")</f>
        <v/>
      </c>
      <c r="D473" s="15" t="str">
        <f>IFERROR(__xludf.DUMMYFUNCTION("""COMPUTED_VALUE"""),"")</f>
        <v/>
      </c>
      <c r="E473" s="15" t="str">
        <f>IFERROR(__xludf.DUMMYFUNCTION("""COMPUTED_VALUE"""),"")</f>
        <v/>
      </c>
      <c r="F473" s="15" t="str">
        <f>IFERROR(__xludf.DUMMYFUNCTION("""COMPUTED_VALUE"""),"")</f>
        <v/>
      </c>
      <c r="G473" s="17" t="str">
        <f>IFERROR(__xludf.DUMMYFUNCTION("""COMPUTED_VALUE"""),"")</f>
        <v/>
      </c>
      <c r="H473" s="4"/>
    </row>
    <row r="474">
      <c r="A474" s="18" t="str">
        <f>IFERROR(__xludf.DUMMYFUNCTION("""COMPUTED_VALUE"""),"")</f>
        <v/>
      </c>
      <c r="B474" s="19" t="str">
        <f>IFERROR(__xludf.DUMMYFUNCTION("""COMPUTED_VALUE"""),"")</f>
        <v/>
      </c>
      <c r="C474" s="20" t="str">
        <f>IFERROR(__xludf.DUMMYFUNCTION("""COMPUTED_VALUE"""),"")</f>
        <v/>
      </c>
      <c r="D474" s="21" t="str">
        <f>IFERROR(__xludf.DUMMYFUNCTION("""COMPUTED_VALUE"""),"")</f>
        <v/>
      </c>
      <c r="E474" s="21" t="str">
        <f>IFERROR(__xludf.DUMMYFUNCTION("""COMPUTED_VALUE"""),"")</f>
        <v/>
      </c>
      <c r="F474" s="21" t="str">
        <f>IFERROR(__xludf.DUMMYFUNCTION("""COMPUTED_VALUE"""),"")</f>
        <v/>
      </c>
      <c r="G474" s="23" t="str">
        <f>IFERROR(__xludf.DUMMYFUNCTION("""COMPUTED_VALUE"""),"")</f>
        <v/>
      </c>
      <c r="H474" s="4"/>
    </row>
    <row r="475">
      <c r="A475" s="12" t="str">
        <f>IFERROR(__xludf.DUMMYFUNCTION("""COMPUTED_VALUE"""),"")</f>
        <v/>
      </c>
      <c r="B475" s="13" t="str">
        <f>IFERROR(__xludf.DUMMYFUNCTION("""COMPUTED_VALUE"""),"")</f>
        <v/>
      </c>
      <c r="C475" s="14" t="str">
        <f>IFERROR(__xludf.DUMMYFUNCTION("""COMPUTED_VALUE"""),"")</f>
        <v/>
      </c>
      <c r="D475" s="15" t="str">
        <f>IFERROR(__xludf.DUMMYFUNCTION("""COMPUTED_VALUE"""),"")</f>
        <v/>
      </c>
      <c r="E475" s="15" t="str">
        <f>IFERROR(__xludf.DUMMYFUNCTION("""COMPUTED_VALUE"""),"")</f>
        <v/>
      </c>
      <c r="F475" s="15" t="str">
        <f>IFERROR(__xludf.DUMMYFUNCTION("""COMPUTED_VALUE"""),"")</f>
        <v/>
      </c>
      <c r="G475" s="17" t="str">
        <f>IFERROR(__xludf.DUMMYFUNCTION("""COMPUTED_VALUE"""),"")</f>
        <v/>
      </c>
      <c r="H475" s="4"/>
    </row>
    <row r="476">
      <c r="A476" s="18" t="str">
        <f>IFERROR(__xludf.DUMMYFUNCTION("""COMPUTED_VALUE"""),"")</f>
        <v/>
      </c>
      <c r="B476" s="19" t="str">
        <f>IFERROR(__xludf.DUMMYFUNCTION("""COMPUTED_VALUE"""),"")</f>
        <v/>
      </c>
      <c r="C476" s="20" t="str">
        <f>IFERROR(__xludf.DUMMYFUNCTION("""COMPUTED_VALUE"""),"")</f>
        <v/>
      </c>
      <c r="D476" s="21" t="str">
        <f>IFERROR(__xludf.DUMMYFUNCTION("""COMPUTED_VALUE"""),"")</f>
        <v/>
      </c>
      <c r="E476" s="21" t="str">
        <f>IFERROR(__xludf.DUMMYFUNCTION("""COMPUTED_VALUE"""),"")</f>
        <v/>
      </c>
      <c r="F476" s="21" t="str">
        <f>IFERROR(__xludf.DUMMYFUNCTION("""COMPUTED_VALUE"""),"")</f>
        <v/>
      </c>
      <c r="G476" s="23" t="str">
        <f>IFERROR(__xludf.DUMMYFUNCTION("""COMPUTED_VALUE"""),"")</f>
        <v/>
      </c>
      <c r="H476" s="4"/>
    </row>
    <row r="477">
      <c r="A477" s="12" t="str">
        <f>IFERROR(__xludf.DUMMYFUNCTION("""COMPUTED_VALUE"""),"")</f>
        <v/>
      </c>
      <c r="B477" s="13" t="str">
        <f>IFERROR(__xludf.DUMMYFUNCTION("""COMPUTED_VALUE"""),"")</f>
        <v/>
      </c>
      <c r="C477" s="14" t="str">
        <f>IFERROR(__xludf.DUMMYFUNCTION("""COMPUTED_VALUE"""),"")</f>
        <v/>
      </c>
      <c r="D477" s="15" t="str">
        <f>IFERROR(__xludf.DUMMYFUNCTION("""COMPUTED_VALUE"""),"")</f>
        <v/>
      </c>
      <c r="E477" s="15" t="str">
        <f>IFERROR(__xludf.DUMMYFUNCTION("""COMPUTED_VALUE"""),"")</f>
        <v/>
      </c>
      <c r="F477" s="15" t="str">
        <f>IFERROR(__xludf.DUMMYFUNCTION("""COMPUTED_VALUE"""),"")</f>
        <v/>
      </c>
      <c r="G477" s="17" t="str">
        <f>IFERROR(__xludf.DUMMYFUNCTION("""COMPUTED_VALUE"""),"")</f>
        <v/>
      </c>
      <c r="H477" s="4"/>
    </row>
    <row r="478">
      <c r="A478" s="18" t="str">
        <f>IFERROR(__xludf.DUMMYFUNCTION("""COMPUTED_VALUE"""),"")</f>
        <v/>
      </c>
      <c r="B478" s="19" t="str">
        <f>IFERROR(__xludf.DUMMYFUNCTION("""COMPUTED_VALUE"""),"")</f>
        <v/>
      </c>
      <c r="C478" s="20" t="str">
        <f>IFERROR(__xludf.DUMMYFUNCTION("""COMPUTED_VALUE"""),"")</f>
        <v/>
      </c>
      <c r="D478" s="21" t="str">
        <f>IFERROR(__xludf.DUMMYFUNCTION("""COMPUTED_VALUE"""),"")</f>
        <v/>
      </c>
      <c r="E478" s="21" t="str">
        <f>IFERROR(__xludf.DUMMYFUNCTION("""COMPUTED_VALUE"""),"")</f>
        <v/>
      </c>
      <c r="F478" s="21" t="str">
        <f>IFERROR(__xludf.DUMMYFUNCTION("""COMPUTED_VALUE"""),"")</f>
        <v/>
      </c>
      <c r="G478" s="23" t="str">
        <f>IFERROR(__xludf.DUMMYFUNCTION("""COMPUTED_VALUE"""),"")</f>
        <v/>
      </c>
      <c r="H478" s="4"/>
    </row>
    <row r="479">
      <c r="A479" s="12" t="str">
        <f>IFERROR(__xludf.DUMMYFUNCTION("""COMPUTED_VALUE"""),"")</f>
        <v/>
      </c>
      <c r="B479" s="13" t="str">
        <f>IFERROR(__xludf.DUMMYFUNCTION("""COMPUTED_VALUE"""),"")</f>
        <v/>
      </c>
      <c r="C479" s="14" t="str">
        <f>IFERROR(__xludf.DUMMYFUNCTION("""COMPUTED_VALUE"""),"")</f>
        <v/>
      </c>
      <c r="D479" s="15" t="str">
        <f>IFERROR(__xludf.DUMMYFUNCTION("""COMPUTED_VALUE"""),"")</f>
        <v/>
      </c>
      <c r="E479" s="15" t="str">
        <f>IFERROR(__xludf.DUMMYFUNCTION("""COMPUTED_VALUE"""),"")</f>
        <v/>
      </c>
      <c r="F479" s="15" t="str">
        <f>IFERROR(__xludf.DUMMYFUNCTION("""COMPUTED_VALUE"""),"")</f>
        <v/>
      </c>
      <c r="G479" s="17" t="str">
        <f>IFERROR(__xludf.DUMMYFUNCTION("""COMPUTED_VALUE"""),"")</f>
        <v/>
      </c>
      <c r="H479" s="4"/>
    </row>
    <row r="480">
      <c r="A480" s="18" t="str">
        <f>IFERROR(__xludf.DUMMYFUNCTION("""COMPUTED_VALUE"""),"")</f>
        <v/>
      </c>
      <c r="B480" s="19" t="str">
        <f>IFERROR(__xludf.DUMMYFUNCTION("""COMPUTED_VALUE"""),"")</f>
        <v/>
      </c>
      <c r="C480" s="20" t="str">
        <f>IFERROR(__xludf.DUMMYFUNCTION("""COMPUTED_VALUE"""),"")</f>
        <v/>
      </c>
      <c r="D480" s="21" t="str">
        <f>IFERROR(__xludf.DUMMYFUNCTION("""COMPUTED_VALUE"""),"")</f>
        <v/>
      </c>
      <c r="E480" s="21" t="str">
        <f>IFERROR(__xludf.DUMMYFUNCTION("""COMPUTED_VALUE"""),"")</f>
        <v/>
      </c>
      <c r="F480" s="21" t="str">
        <f>IFERROR(__xludf.DUMMYFUNCTION("""COMPUTED_VALUE"""),"")</f>
        <v/>
      </c>
      <c r="G480" s="23" t="str">
        <f>IFERROR(__xludf.DUMMYFUNCTION("""COMPUTED_VALUE"""),"")</f>
        <v/>
      </c>
      <c r="H480" s="4"/>
    </row>
    <row r="481">
      <c r="A481" s="12" t="str">
        <f>IFERROR(__xludf.DUMMYFUNCTION("""COMPUTED_VALUE"""),"")</f>
        <v/>
      </c>
      <c r="B481" s="13" t="str">
        <f>IFERROR(__xludf.DUMMYFUNCTION("""COMPUTED_VALUE"""),"")</f>
        <v/>
      </c>
      <c r="C481" s="14" t="str">
        <f>IFERROR(__xludf.DUMMYFUNCTION("""COMPUTED_VALUE"""),"")</f>
        <v/>
      </c>
      <c r="D481" s="15" t="str">
        <f>IFERROR(__xludf.DUMMYFUNCTION("""COMPUTED_VALUE"""),"")</f>
        <v/>
      </c>
      <c r="E481" s="15" t="str">
        <f>IFERROR(__xludf.DUMMYFUNCTION("""COMPUTED_VALUE"""),"")</f>
        <v/>
      </c>
      <c r="F481" s="15" t="str">
        <f>IFERROR(__xludf.DUMMYFUNCTION("""COMPUTED_VALUE"""),"")</f>
        <v/>
      </c>
      <c r="G481" s="17" t="str">
        <f>IFERROR(__xludf.DUMMYFUNCTION("""COMPUTED_VALUE"""),"")</f>
        <v/>
      </c>
      <c r="H481" s="4"/>
    </row>
    <row r="482">
      <c r="A482" s="18" t="str">
        <f>IFERROR(__xludf.DUMMYFUNCTION("""COMPUTED_VALUE"""),"")</f>
        <v/>
      </c>
      <c r="B482" s="19" t="str">
        <f>IFERROR(__xludf.DUMMYFUNCTION("""COMPUTED_VALUE"""),"")</f>
        <v/>
      </c>
      <c r="C482" s="20" t="str">
        <f>IFERROR(__xludf.DUMMYFUNCTION("""COMPUTED_VALUE"""),"")</f>
        <v/>
      </c>
      <c r="D482" s="21" t="str">
        <f>IFERROR(__xludf.DUMMYFUNCTION("""COMPUTED_VALUE"""),"")</f>
        <v/>
      </c>
      <c r="E482" s="21" t="str">
        <f>IFERROR(__xludf.DUMMYFUNCTION("""COMPUTED_VALUE"""),"")</f>
        <v/>
      </c>
      <c r="F482" s="21" t="str">
        <f>IFERROR(__xludf.DUMMYFUNCTION("""COMPUTED_VALUE"""),"")</f>
        <v/>
      </c>
      <c r="G482" s="23" t="str">
        <f>IFERROR(__xludf.DUMMYFUNCTION("""COMPUTED_VALUE"""),"")</f>
        <v/>
      </c>
      <c r="H482" s="4"/>
    </row>
    <row r="483">
      <c r="A483" s="12" t="str">
        <f>IFERROR(__xludf.DUMMYFUNCTION("""COMPUTED_VALUE"""),"")</f>
        <v/>
      </c>
      <c r="B483" s="13" t="str">
        <f>IFERROR(__xludf.DUMMYFUNCTION("""COMPUTED_VALUE"""),"")</f>
        <v/>
      </c>
      <c r="C483" s="14" t="str">
        <f>IFERROR(__xludf.DUMMYFUNCTION("""COMPUTED_VALUE"""),"")</f>
        <v/>
      </c>
      <c r="D483" s="15" t="str">
        <f>IFERROR(__xludf.DUMMYFUNCTION("""COMPUTED_VALUE"""),"")</f>
        <v/>
      </c>
      <c r="E483" s="15" t="str">
        <f>IFERROR(__xludf.DUMMYFUNCTION("""COMPUTED_VALUE"""),"")</f>
        <v/>
      </c>
      <c r="F483" s="15" t="str">
        <f>IFERROR(__xludf.DUMMYFUNCTION("""COMPUTED_VALUE"""),"")</f>
        <v/>
      </c>
      <c r="G483" s="17" t="str">
        <f>IFERROR(__xludf.DUMMYFUNCTION("""COMPUTED_VALUE"""),"")</f>
        <v/>
      </c>
      <c r="H483" s="4"/>
    </row>
    <row r="484">
      <c r="A484" s="18" t="str">
        <f>IFERROR(__xludf.DUMMYFUNCTION("""COMPUTED_VALUE"""),"")</f>
        <v/>
      </c>
      <c r="B484" s="19" t="str">
        <f>IFERROR(__xludf.DUMMYFUNCTION("""COMPUTED_VALUE"""),"")</f>
        <v/>
      </c>
      <c r="C484" s="20" t="str">
        <f>IFERROR(__xludf.DUMMYFUNCTION("""COMPUTED_VALUE"""),"")</f>
        <v/>
      </c>
      <c r="D484" s="21" t="str">
        <f>IFERROR(__xludf.DUMMYFUNCTION("""COMPUTED_VALUE"""),"")</f>
        <v/>
      </c>
      <c r="E484" s="21" t="str">
        <f>IFERROR(__xludf.DUMMYFUNCTION("""COMPUTED_VALUE"""),"")</f>
        <v/>
      </c>
      <c r="F484" s="21" t="str">
        <f>IFERROR(__xludf.DUMMYFUNCTION("""COMPUTED_VALUE"""),"")</f>
        <v/>
      </c>
      <c r="G484" s="23" t="str">
        <f>IFERROR(__xludf.DUMMYFUNCTION("""COMPUTED_VALUE"""),"")</f>
        <v/>
      </c>
      <c r="H484" s="4"/>
    </row>
    <row r="485">
      <c r="A485" s="12" t="str">
        <f>IFERROR(__xludf.DUMMYFUNCTION("""COMPUTED_VALUE"""),"")</f>
        <v/>
      </c>
      <c r="B485" s="13" t="str">
        <f>IFERROR(__xludf.DUMMYFUNCTION("""COMPUTED_VALUE"""),"")</f>
        <v/>
      </c>
      <c r="C485" s="14" t="str">
        <f>IFERROR(__xludf.DUMMYFUNCTION("""COMPUTED_VALUE"""),"")</f>
        <v/>
      </c>
      <c r="D485" s="15" t="str">
        <f>IFERROR(__xludf.DUMMYFUNCTION("""COMPUTED_VALUE"""),"")</f>
        <v/>
      </c>
      <c r="E485" s="15" t="str">
        <f>IFERROR(__xludf.DUMMYFUNCTION("""COMPUTED_VALUE"""),"")</f>
        <v/>
      </c>
      <c r="F485" s="15" t="str">
        <f>IFERROR(__xludf.DUMMYFUNCTION("""COMPUTED_VALUE"""),"")</f>
        <v/>
      </c>
      <c r="G485" s="17" t="str">
        <f>IFERROR(__xludf.DUMMYFUNCTION("""COMPUTED_VALUE"""),"")</f>
        <v/>
      </c>
      <c r="H485" s="4"/>
    </row>
    <row r="486">
      <c r="A486" s="18" t="str">
        <f>IFERROR(__xludf.DUMMYFUNCTION("""COMPUTED_VALUE"""),"")</f>
        <v/>
      </c>
      <c r="B486" s="19" t="str">
        <f>IFERROR(__xludf.DUMMYFUNCTION("""COMPUTED_VALUE"""),"")</f>
        <v/>
      </c>
      <c r="C486" s="20" t="str">
        <f>IFERROR(__xludf.DUMMYFUNCTION("""COMPUTED_VALUE"""),"")</f>
        <v/>
      </c>
      <c r="D486" s="21" t="str">
        <f>IFERROR(__xludf.DUMMYFUNCTION("""COMPUTED_VALUE"""),"")</f>
        <v/>
      </c>
      <c r="E486" s="21" t="str">
        <f>IFERROR(__xludf.DUMMYFUNCTION("""COMPUTED_VALUE"""),"")</f>
        <v/>
      </c>
      <c r="F486" s="21" t="str">
        <f>IFERROR(__xludf.DUMMYFUNCTION("""COMPUTED_VALUE"""),"")</f>
        <v/>
      </c>
      <c r="G486" s="23" t="str">
        <f>IFERROR(__xludf.DUMMYFUNCTION("""COMPUTED_VALUE"""),"")</f>
        <v/>
      </c>
      <c r="H486" s="4"/>
    </row>
    <row r="487">
      <c r="A487" s="12" t="str">
        <f>IFERROR(__xludf.DUMMYFUNCTION("""COMPUTED_VALUE"""),"")</f>
        <v/>
      </c>
      <c r="B487" s="13" t="str">
        <f>IFERROR(__xludf.DUMMYFUNCTION("""COMPUTED_VALUE"""),"")</f>
        <v/>
      </c>
      <c r="C487" s="14" t="str">
        <f>IFERROR(__xludf.DUMMYFUNCTION("""COMPUTED_VALUE"""),"")</f>
        <v/>
      </c>
      <c r="D487" s="15" t="str">
        <f>IFERROR(__xludf.DUMMYFUNCTION("""COMPUTED_VALUE"""),"")</f>
        <v/>
      </c>
      <c r="E487" s="15" t="str">
        <f>IFERROR(__xludf.DUMMYFUNCTION("""COMPUTED_VALUE"""),"")</f>
        <v/>
      </c>
      <c r="F487" s="15" t="str">
        <f>IFERROR(__xludf.DUMMYFUNCTION("""COMPUTED_VALUE"""),"")</f>
        <v/>
      </c>
      <c r="G487" s="17" t="str">
        <f>IFERROR(__xludf.DUMMYFUNCTION("""COMPUTED_VALUE"""),"")</f>
        <v/>
      </c>
      <c r="H487" s="4"/>
    </row>
    <row r="488">
      <c r="A488" s="18" t="str">
        <f>IFERROR(__xludf.DUMMYFUNCTION("""COMPUTED_VALUE"""),"")</f>
        <v/>
      </c>
      <c r="B488" s="19" t="str">
        <f>IFERROR(__xludf.DUMMYFUNCTION("""COMPUTED_VALUE"""),"")</f>
        <v/>
      </c>
      <c r="C488" s="20" t="str">
        <f>IFERROR(__xludf.DUMMYFUNCTION("""COMPUTED_VALUE"""),"")</f>
        <v/>
      </c>
      <c r="D488" s="21" t="str">
        <f>IFERROR(__xludf.DUMMYFUNCTION("""COMPUTED_VALUE"""),"")</f>
        <v/>
      </c>
      <c r="E488" s="21" t="str">
        <f>IFERROR(__xludf.DUMMYFUNCTION("""COMPUTED_VALUE"""),"")</f>
        <v/>
      </c>
      <c r="F488" s="21" t="str">
        <f>IFERROR(__xludf.DUMMYFUNCTION("""COMPUTED_VALUE"""),"")</f>
        <v/>
      </c>
      <c r="G488" s="23" t="str">
        <f>IFERROR(__xludf.DUMMYFUNCTION("""COMPUTED_VALUE"""),"")</f>
        <v/>
      </c>
      <c r="H488" s="4"/>
    </row>
    <row r="489">
      <c r="A489" s="12" t="str">
        <f>IFERROR(__xludf.DUMMYFUNCTION("""COMPUTED_VALUE"""),"")</f>
        <v/>
      </c>
      <c r="B489" s="13" t="str">
        <f>IFERROR(__xludf.DUMMYFUNCTION("""COMPUTED_VALUE"""),"")</f>
        <v/>
      </c>
      <c r="C489" s="14" t="str">
        <f>IFERROR(__xludf.DUMMYFUNCTION("""COMPUTED_VALUE"""),"")</f>
        <v/>
      </c>
      <c r="D489" s="15" t="str">
        <f>IFERROR(__xludf.DUMMYFUNCTION("""COMPUTED_VALUE"""),"")</f>
        <v/>
      </c>
      <c r="E489" s="15" t="str">
        <f>IFERROR(__xludf.DUMMYFUNCTION("""COMPUTED_VALUE"""),"")</f>
        <v/>
      </c>
      <c r="F489" s="15" t="str">
        <f>IFERROR(__xludf.DUMMYFUNCTION("""COMPUTED_VALUE"""),"")</f>
        <v/>
      </c>
      <c r="G489" s="17" t="str">
        <f>IFERROR(__xludf.DUMMYFUNCTION("""COMPUTED_VALUE"""),"")</f>
        <v/>
      </c>
      <c r="H489" s="4"/>
    </row>
    <row r="490">
      <c r="A490" s="18" t="str">
        <f>IFERROR(__xludf.DUMMYFUNCTION("""COMPUTED_VALUE"""),"")</f>
        <v/>
      </c>
      <c r="B490" s="19" t="str">
        <f>IFERROR(__xludf.DUMMYFUNCTION("""COMPUTED_VALUE"""),"")</f>
        <v/>
      </c>
      <c r="C490" s="20" t="str">
        <f>IFERROR(__xludf.DUMMYFUNCTION("""COMPUTED_VALUE"""),"")</f>
        <v/>
      </c>
      <c r="D490" s="21" t="str">
        <f>IFERROR(__xludf.DUMMYFUNCTION("""COMPUTED_VALUE"""),"")</f>
        <v/>
      </c>
      <c r="E490" s="21" t="str">
        <f>IFERROR(__xludf.DUMMYFUNCTION("""COMPUTED_VALUE"""),"")</f>
        <v/>
      </c>
      <c r="F490" s="21" t="str">
        <f>IFERROR(__xludf.DUMMYFUNCTION("""COMPUTED_VALUE"""),"")</f>
        <v/>
      </c>
      <c r="G490" s="23" t="str">
        <f>IFERROR(__xludf.DUMMYFUNCTION("""COMPUTED_VALUE"""),"")</f>
        <v/>
      </c>
      <c r="H490" s="4"/>
    </row>
    <row r="491">
      <c r="A491" s="12" t="str">
        <f>IFERROR(__xludf.DUMMYFUNCTION("""COMPUTED_VALUE"""),"")</f>
        <v/>
      </c>
      <c r="B491" s="13" t="str">
        <f>IFERROR(__xludf.DUMMYFUNCTION("""COMPUTED_VALUE"""),"")</f>
        <v/>
      </c>
      <c r="C491" s="14" t="str">
        <f>IFERROR(__xludf.DUMMYFUNCTION("""COMPUTED_VALUE"""),"")</f>
        <v/>
      </c>
      <c r="D491" s="15" t="str">
        <f>IFERROR(__xludf.DUMMYFUNCTION("""COMPUTED_VALUE"""),"")</f>
        <v/>
      </c>
      <c r="E491" s="15" t="str">
        <f>IFERROR(__xludf.DUMMYFUNCTION("""COMPUTED_VALUE"""),"")</f>
        <v/>
      </c>
      <c r="F491" s="15" t="str">
        <f>IFERROR(__xludf.DUMMYFUNCTION("""COMPUTED_VALUE"""),"")</f>
        <v/>
      </c>
      <c r="G491" s="17" t="str">
        <f>IFERROR(__xludf.DUMMYFUNCTION("""COMPUTED_VALUE"""),"")</f>
        <v/>
      </c>
      <c r="H491" s="4"/>
    </row>
    <row r="492">
      <c r="A492" s="18" t="str">
        <f>IFERROR(__xludf.DUMMYFUNCTION("""COMPUTED_VALUE"""),"")</f>
        <v/>
      </c>
      <c r="B492" s="19" t="str">
        <f>IFERROR(__xludf.DUMMYFUNCTION("""COMPUTED_VALUE"""),"")</f>
        <v/>
      </c>
      <c r="C492" s="20" t="str">
        <f>IFERROR(__xludf.DUMMYFUNCTION("""COMPUTED_VALUE"""),"")</f>
        <v/>
      </c>
      <c r="D492" s="21" t="str">
        <f>IFERROR(__xludf.DUMMYFUNCTION("""COMPUTED_VALUE"""),"")</f>
        <v/>
      </c>
      <c r="E492" s="21" t="str">
        <f>IFERROR(__xludf.DUMMYFUNCTION("""COMPUTED_VALUE"""),"")</f>
        <v/>
      </c>
      <c r="F492" s="21" t="str">
        <f>IFERROR(__xludf.DUMMYFUNCTION("""COMPUTED_VALUE"""),"")</f>
        <v/>
      </c>
      <c r="G492" s="23" t="str">
        <f>IFERROR(__xludf.DUMMYFUNCTION("""COMPUTED_VALUE"""),"")</f>
        <v/>
      </c>
      <c r="H492" s="4"/>
    </row>
    <row r="493">
      <c r="A493" s="12" t="str">
        <f>IFERROR(__xludf.DUMMYFUNCTION("""COMPUTED_VALUE"""),"")</f>
        <v/>
      </c>
      <c r="B493" s="13" t="str">
        <f>IFERROR(__xludf.DUMMYFUNCTION("""COMPUTED_VALUE"""),"")</f>
        <v/>
      </c>
      <c r="C493" s="14" t="str">
        <f>IFERROR(__xludf.DUMMYFUNCTION("""COMPUTED_VALUE"""),"")</f>
        <v/>
      </c>
      <c r="D493" s="15" t="str">
        <f>IFERROR(__xludf.DUMMYFUNCTION("""COMPUTED_VALUE"""),"")</f>
        <v/>
      </c>
      <c r="E493" s="15" t="str">
        <f>IFERROR(__xludf.DUMMYFUNCTION("""COMPUTED_VALUE"""),"")</f>
        <v/>
      </c>
      <c r="F493" s="15" t="str">
        <f>IFERROR(__xludf.DUMMYFUNCTION("""COMPUTED_VALUE"""),"")</f>
        <v/>
      </c>
      <c r="G493" s="17" t="str">
        <f>IFERROR(__xludf.DUMMYFUNCTION("""COMPUTED_VALUE"""),"")</f>
        <v/>
      </c>
      <c r="H493" s="4"/>
    </row>
    <row r="494">
      <c r="A494" s="18" t="str">
        <f>IFERROR(__xludf.DUMMYFUNCTION("""COMPUTED_VALUE"""),"")</f>
        <v/>
      </c>
      <c r="B494" s="19" t="str">
        <f>IFERROR(__xludf.DUMMYFUNCTION("""COMPUTED_VALUE"""),"")</f>
        <v/>
      </c>
      <c r="C494" s="20" t="str">
        <f>IFERROR(__xludf.DUMMYFUNCTION("""COMPUTED_VALUE"""),"")</f>
        <v/>
      </c>
      <c r="D494" s="21" t="str">
        <f>IFERROR(__xludf.DUMMYFUNCTION("""COMPUTED_VALUE"""),"")</f>
        <v/>
      </c>
      <c r="E494" s="21" t="str">
        <f>IFERROR(__xludf.DUMMYFUNCTION("""COMPUTED_VALUE"""),"")</f>
        <v/>
      </c>
      <c r="F494" s="21" t="str">
        <f>IFERROR(__xludf.DUMMYFUNCTION("""COMPUTED_VALUE"""),"")</f>
        <v/>
      </c>
      <c r="G494" s="23" t="str">
        <f>IFERROR(__xludf.DUMMYFUNCTION("""COMPUTED_VALUE"""),"")</f>
        <v/>
      </c>
      <c r="H494" s="4"/>
    </row>
    <row r="495">
      <c r="A495" s="12" t="str">
        <f>IFERROR(__xludf.DUMMYFUNCTION("""COMPUTED_VALUE"""),"")</f>
        <v/>
      </c>
      <c r="B495" s="13" t="str">
        <f>IFERROR(__xludf.DUMMYFUNCTION("""COMPUTED_VALUE"""),"")</f>
        <v/>
      </c>
      <c r="C495" s="14" t="str">
        <f>IFERROR(__xludf.DUMMYFUNCTION("""COMPUTED_VALUE"""),"")</f>
        <v/>
      </c>
      <c r="D495" s="15" t="str">
        <f>IFERROR(__xludf.DUMMYFUNCTION("""COMPUTED_VALUE"""),"")</f>
        <v/>
      </c>
      <c r="E495" s="15" t="str">
        <f>IFERROR(__xludf.DUMMYFUNCTION("""COMPUTED_VALUE"""),"")</f>
        <v/>
      </c>
      <c r="F495" s="15" t="str">
        <f>IFERROR(__xludf.DUMMYFUNCTION("""COMPUTED_VALUE"""),"")</f>
        <v/>
      </c>
      <c r="G495" s="17" t="str">
        <f>IFERROR(__xludf.DUMMYFUNCTION("""COMPUTED_VALUE"""),"")</f>
        <v/>
      </c>
      <c r="H495" s="4"/>
    </row>
    <row r="496">
      <c r="A496" s="18" t="str">
        <f>IFERROR(__xludf.DUMMYFUNCTION("""COMPUTED_VALUE"""),"")</f>
        <v/>
      </c>
      <c r="B496" s="19" t="str">
        <f>IFERROR(__xludf.DUMMYFUNCTION("""COMPUTED_VALUE"""),"")</f>
        <v/>
      </c>
      <c r="C496" s="20" t="str">
        <f>IFERROR(__xludf.DUMMYFUNCTION("""COMPUTED_VALUE"""),"")</f>
        <v/>
      </c>
      <c r="D496" s="21" t="str">
        <f>IFERROR(__xludf.DUMMYFUNCTION("""COMPUTED_VALUE"""),"")</f>
        <v/>
      </c>
      <c r="E496" s="21" t="str">
        <f>IFERROR(__xludf.DUMMYFUNCTION("""COMPUTED_VALUE"""),"")</f>
        <v/>
      </c>
      <c r="F496" s="21" t="str">
        <f>IFERROR(__xludf.DUMMYFUNCTION("""COMPUTED_VALUE"""),"")</f>
        <v/>
      </c>
      <c r="G496" s="23" t="str">
        <f>IFERROR(__xludf.DUMMYFUNCTION("""COMPUTED_VALUE"""),"")</f>
        <v/>
      </c>
      <c r="H496" s="4"/>
    </row>
    <row r="497">
      <c r="A497" s="12" t="str">
        <f>IFERROR(__xludf.DUMMYFUNCTION("""COMPUTED_VALUE"""),"")</f>
        <v/>
      </c>
      <c r="B497" s="13" t="str">
        <f>IFERROR(__xludf.DUMMYFUNCTION("""COMPUTED_VALUE"""),"")</f>
        <v/>
      </c>
      <c r="C497" s="14" t="str">
        <f>IFERROR(__xludf.DUMMYFUNCTION("""COMPUTED_VALUE"""),"")</f>
        <v/>
      </c>
      <c r="D497" s="15" t="str">
        <f>IFERROR(__xludf.DUMMYFUNCTION("""COMPUTED_VALUE"""),"")</f>
        <v/>
      </c>
      <c r="E497" s="15" t="str">
        <f>IFERROR(__xludf.DUMMYFUNCTION("""COMPUTED_VALUE"""),"")</f>
        <v/>
      </c>
      <c r="F497" s="15" t="str">
        <f>IFERROR(__xludf.DUMMYFUNCTION("""COMPUTED_VALUE"""),"")</f>
        <v/>
      </c>
      <c r="G497" s="17" t="str">
        <f>IFERROR(__xludf.DUMMYFUNCTION("""COMPUTED_VALUE"""),"")</f>
        <v/>
      </c>
      <c r="H497" s="4"/>
    </row>
    <row r="498">
      <c r="A498" s="18" t="str">
        <f>IFERROR(__xludf.DUMMYFUNCTION("""COMPUTED_VALUE"""),"")</f>
        <v/>
      </c>
      <c r="B498" s="19" t="str">
        <f>IFERROR(__xludf.DUMMYFUNCTION("""COMPUTED_VALUE"""),"")</f>
        <v/>
      </c>
      <c r="C498" s="20" t="str">
        <f>IFERROR(__xludf.DUMMYFUNCTION("""COMPUTED_VALUE"""),"")</f>
        <v/>
      </c>
      <c r="D498" s="21" t="str">
        <f>IFERROR(__xludf.DUMMYFUNCTION("""COMPUTED_VALUE"""),"")</f>
        <v/>
      </c>
      <c r="E498" s="21" t="str">
        <f>IFERROR(__xludf.DUMMYFUNCTION("""COMPUTED_VALUE"""),"")</f>
        <v/>
      </c>
      <c r="F498" s="21" t="str">
        <f>IFERROR(__xludf.DUMMYFUNCTION("""COMPUTED_VALUE"""),"")</f>
        <v/>
      </c>
      <c r="G498" s="23" t="str">
        <f>IFERROR(__xludf.DUMMYFUNCTION("""COMPUTED_VALUE"""),"")</f>
        <v/>
      </c>
      <c r="H498" s="4"/>
    </row>
    <row r="499">
      <c r="A499" s="12" t="str">
        <f>IFERROR(__xludf.DUMMYFUNCTION("""COMPUTED_VALUE"""),"")</f>
        <v/>
      </c>
      <c r="B499" s="13" t="str">
        <f>IFERROR(__xludf.DUMMYFUNCTION("""COMPUTED_VALUE"""),"")</f>
        <v/>
      </c>
      <c r="C499" s="14" t="str">
        <f>IFERROR(__xludf.DUMMYFUNCTION("""COMPUTED_VALUE"""),"")</f>
        <v/>
      </c>
      <c r="D499" s="15" t="str">
        <f>IFERROR(__xludf.DUMMYFUNCTION("""COMPUTED_VALUE"""),"")</f>
        <v/>
      </c>
      <c r="E499" s="15" t="str">
        <f>IFERROR(__xludf.DUMMYFUNCTION("""COMPUTED_VALUE"""),"")</f>
        <v/>
      </c>
      <c r="F499" s="15" t="str">
        <f>IFERROR(__xludf.DUMMYFUNCTION("""COMPUTED_VALUE"""),"")</f>
        <v/>
      </c>
      <c r="G499" s="17" t="str">
        <f>IFERROR(__xludf.DUMMYFUNCTION("""COMPUTED_VALUE"""),"")</f>
        <v/>
      </c>
      <c r="H499" s="4"/>
    </row>
    <row r="500">
      <c r="A500" s="18" t="str">
        <f>IFERROR(__xludf.DUMMYFUNCTION("""COMPUTED_VALUE"""),"")</f>
        <v/>
      </c>
      <c r="B500" s="19" t="str">
        <f>IFERROR(__xludf.DUMMYFUNCTION("""COMPUTED_VALUE"""),"")</f>
        <v/>
      </c>
      <c r="C500" s="20" t="str">
        <f>IFERROR(__xludf.DUMMYFUNCTION("""COMPUTED_VALUE"""),"")</f>
        <v/>
      </c>
      <c r="D500" s="21" t="str">
        <f>IFERROR(__xludf.DUMMYFUNCTION("""COMPUTED_VALUE"""),"")</f>
        <v/>
      </c>
      <c r="E500" s="21" t="str">
        <f>IFERROR(__xludf.DUMMYFUNCTION("""COMPUTED_VALUE"""),"")</f>
        <v/>
      </c>
      <c r="F500" s="21" t="str">
        <f>IFERROR(__xludf.DUMMYFUNCTION("""COMPUTED_VALUE"""),"")</f>
        <v/>
      </c>
      <c r="G500" s="23" t="str">
        <f>IFERROR(__xludf.DUMMYFUNCTION("""COMPUTED_VALUE"""),"")</f>
        <v/>
      </c>
      <c r="H500" s="4"/>
    </row>
    <row r="501">
      <c r="A501" s="12" t="str">
        <f>IFERROR(__xludf.DUMMYFUNCTION("""COMPUTED_VALUE"""),"")</f>
        <v/>
      </c>
      <c r="B501" s="13" t="str">
        <f>IFERROR(__xludf.DUMMYFUNCTION("""COMPUTED_VALUE"""),"")</f>
        <v/>
      </c>
      <c r="C501" s="14" t="str">
        <f>IFERROR(__xludf.DUMMYFUNCTION("""COMPUTED_VALUE"""),"")</f>
        <v/>
      </c>
      <c r="D501" s="15" t="str">
        <f>IFERROR(__xludf.DUMMYFUNCTION("""COMPUTED_VALUE"""),"")</f>
        <v/>
      </c>
      <c r="E501" s="15" t="str">
        <f>IFERROR(__xludf.DUMMYFUNCTION("""COMPUTED_VALUE"""),"")</f>
        <v/>
      </c>
      <c r="F501" s="15" t="str">
        <f>IFERROR(__xludf.DUMMYFUNCTION("""COMPUTED_VALUE"""),"")</f>
        <v/>
      </c>
      <c r="G501" s="17" t="str">
        <f>IFERROR(__xludf.DUMMYFUNCTION("""COMPUTED_VALUE"""),"")</f>
        <v/>
      </c>
      <c r="H501" s="4"/>
    </row>
    <row r="502">
      <c r="A502" s="18" t="str">
        <f>IFERROR(__xludf.DUMMYFUNCTION("""COMPUTED_VALUE"""),"")</f>
        <v/>
      </c>
      <c r="B502" s="19" t="str">
        <f>IFERROR(__xludf.DUMMYFUNCTION("""COMPUTED_VALUE"""),"")</f>
        <v/>
      </c>
      <c r="C502" s="20" t="str">
        <f>IFERROR(__xludf.DUMMYFUNCTION("""COMPUTED_VALUE"""),"")</f>
        <v/>
      </c>
      <c r="D502" s="21" t="str">
        <f>IFERROR(__xludf.DUMMYFUNCTION("""COMPUTED_VALUE"""),"")</f>
        <v/>
      </c>
      <c r="E502" s="21" t="str">
        <f>IFERROR(__xludf.DUMMYFUNCTION("""COMPUTED_VALUE"""),"")</f>
        <v/>
      </c>
      <c r="F502" s="21" t="str">
        <f>IFERROR(__xludf.DUMMYFUNCTION("""COMPUTED_VALUE"""),"")</f>
        <v/>
      </c>
      <c r="G502" s="23" t="str">
        <f>IFERROR(__xludf.DUMMYFUNCTION("""COMPUTED_VALUE"""),"")</f>
        <v/>
      </c>
      <c r="H502" s="4"/>
    </row>
    <row r="503">
      <c r="D503" s="25"/>
      <c r="E503" s="25"/>
      <c r="F503" s="25"/>
      <c r="G503" s="26"/>
      <c r="H503" s="4"/>
    </row>
    <row r="504">
      <c r="D504" s="25"/>
      <c r="E504" s="25"/>
      <c r="F504" s="25"/>
      <c r="G504" s="26"/>
      <c r="H504" s="4"/>
    </row>
    <row r="505">
      <c r="D505" s="25"/>
      <c r="E505" s="25"/>
      <c r="F505" s="25"/>
      <c r="G505" s="26"/>
      <c r="H505" s="4"/>
    </row>
    <row r="506">
      <c r="D506" s="25"/>
      <c r="E506" s="25"/>
      <c r="F506" s="25"/>
      <c r="G506" s="26"/>
      <c r="H506" s="4"/>
    </row>
    <row r="507">
      <c r="D507" s="25"/>
      <c r="E507" s="25"/>
      <c r="F507" s="25"/>
      <c r="G507" s="26"/>
      <c r="H507" s="4"/>
    </row>
    <row r="508">
      <c r="D508" s="25"/>
      <c r="E508" s="25"/>
      <c r="F508" s="25"/>
      <c r="G508" s="26"/>
      <c r="H508" s="4"/>
    </row>
    <row r="509">
      <c r="D509" s="25"/>
      <c r="E509" s="25"/>
      <c r="F509" s="25"/>
      <c r="G509" s="26"/>
      <c r="H509" s="4"/>
    </row>
    <row r="510">
      <c r="D510" s="25"/>
      <c r="E510" s="25"/>
      <c r="F510" s="25"/>
      <c r="G510" s="26"/>
      <c r="H510" s="4"/>
    </row>
    <row r="511">
      <c r="D511" s="25"/>
      <c r="E511" s="25"/>
      <c r="F511" s="25"/>
      <c r="G511" s="26"/>
      <c r="H511" s="4"/>
    </row>
    <row r="512">
      <c r="D512" s="25"/>
      <c r="E512" s="25"/>
      <c r="F512" s="25"/>
      <c r="G512" s="26"/>
      <c r="H512" s="4"/>
    </row>
    <row r="513">
      <c r="D513" s="25"/>
      <c r="E513" s="25"/>
      <c r="F513" s="25"/>
      <c r="G513" s="26"/>
      <c r="H513" s="4"/>
    </row>
    <row r="514">
      <c r="D514" s="25"/>
      <c r="E514" s="25"/>
      <c r="F514" s="25"/>
      <c r="G514" s="26"/>
      <c r="H514" s="4"/>
    </row>
    <row r="515">
      <c r="D515" s="25"/>
      <c r="E515" s="25"/>
      <c r="F515" s="25"/>
      <c r="G515" s="26"/>
      <c r="H515" s="4"/>
    </row>
    <row r="516">
      <c r="D516" s="25"/>
      <c r="E516" s="25"/>
      <c r="F516" s="25"/>
      <c r="G516" s="26"/>
      <c r="H516" s="4"/>
    </row>
    <row r="517">
      <c r="A517" s="4"/>
      <c r="D517" s="25"/>
      <c r="E517" s="25"/>
      <c r="F517" s="25"/>
      <c r="G517" s="26"/>
      <c r="H517" s="4"/>
    </row>
    <row r="518">
      <c r="A518" s="4"/>
      <c r="D518" s="25"/>
      <c r="E518" s="25"/>
      <c r="F518" s="25"/>
      <c r="G518" s="26"/>
      <c r="H518" s="4"/>
    </row>
    <row r="519">
      <c r="A519" s="4"/>
      <c r="D519" s="25"/>
      <c r="E519" s="25"/>
      <c r="F519" s="25"/>
      <c r="G519" s="26"/>
      <c r="H519" s="4"/>
    </row>
    <row r="520">
      <c r="A520" s="4"/>
      <c r="D520" s="25"/>
      <c r="E520" s="25"/>
      <c r="F520" s="25"/>
      <c r="G520" s="26"/>
      <c r="H520" s="4"/>
    </row>
    <row r="521">
      <c r="A521" s="4"/>
      <c r="D521" s="25"/>
      <c r="E521" s="25"/>
      <c r="F521" s="25"/>
      <c r="G521" s="26"/>
      <c r="H521" s="4"/>
    </row>
    <row r="522">
      <c r="A522" s="4"/>
      <c r="D522" s="25"/>
      <c r="E522" s="25"/>
      <c r="F522" s="25"/>
      <c r="G522" s="26"/>
      <c r="H522" s="4"/>
    </row>
    <row r="523">
      <c r="A523" s="4"/>
      <c r="D523" s="25"/>
      <c r="E523" s="25"/>
      <c r="F523" s="25"/>
      <c r="G523" s="26"/>
      <c r="H523" s="4"/>
    </row>
    <row r="524">
      <c r="A524" s="4"/>
      <c r="D524" s="25"/>
      <c r="E524" s="25"/>
      <c r="F524" s="25"/>
      <c r="G524" s="26"/>
      <c r="H524" s="4"/>
    </row>
    <row r="525">
      <c r="A525" s="4"/>
      <c r="D525" s="25"/>
      <c r="E525" s="25"/>
      <c r="F525" s="25"/>
      <c r="G525" s="26"/>
      <c r="H525" s="4"/>
    </row>
    <row r="526">
      <c r="A526" s="4"/>
      <c r="D526" s="25"/>
      <c r="E526" s="25"/>
      <c r="F526" s="25"/>
      <c r="G526" s="26"/>
      <c r="H526" s="4"/>
    </row>
    <row r="527">
      <c r="A527" s="4"/>
      <c r="D527" s="25"/>
      <c r="E527" s="25"/>
      <c r="F527" s="25"/>
      <c r="G527" s="26"/>
      <c r="H527" s="4"/>
    </row>
    <row r="528">
      <c r="A528" s="4"/>
      <c r="D528" s="25"/>
      <c r="E528" s="25"/>
      <c r="F528" s="25"/>
      <c r="G528" s="26"/>
      <c r="H528" s="4"/>
    </row>
    <row r="529">
      <c r="A529" s="4"/>
      <c r="D529" s="25"/>
      <c r="E529" s="25"/>
      <c r="F529" s="25"/>
      <c r="G529" s="26"/>
      <c r="H529" s="4"/>
    </row>
    <row r="530">
      <c r="A530" s="4"/>
      <c r="D530" s="25"/>
      <c r="E530" s="25"/>
      <c r="F530" s="25"/>
      <c r="G530" s="26"/>
      <c r="H530" s="4"/>
    </row>
    <row r="531">
      <c r="A531" s="4"/>
      <c r="D531" s="25"/>
      <c r="E531" s="25"/>
      <c r="F531" s="25"/>
      <c r="G531" s="26"/>
      <c r="H531" s="4"/>
    </row>
    <row r="532">
      <c r="A532" s="4"/>
      <c r="D532" s="25"/>
      <c r="E532" s="25"/>
      <c r="F532" s="25"/>
      <c r="G532" s="26"/>
      <c r="H532" s="4"/>
    </row>
    <row r="533">
      <c r="A533" s="4"/>
      <c r="D533" s="25"/>
      <c r="E533" s="25"/>
      <c r="F533" s="25"/>
      <c r="G533" s="26"/>
      <c r="H533" s="4"/>
    </row>
    <row r="534">
      <c r="A534" s="4"/>
      <c r="D534" s="25"/>
      <c r="E534" s="25"/>
      <c r="F534" s="25"/>
      <c r="G534" s="26"/>
      <c r="H534" s="4"/>
    </row>
    <row r="535">
      <c r="A535" s="4"/>
      <c r="D535" s="25"/>
      <c r="E535" s="25"/>
      <c r="F535" s="25"/>
      <c r="G535" s="26"/>
      <c r="H535" s="4"/>
    </row>
    <row r="536">
      <c r="A536" s="4"/>
      <c r="D536" s="25"/>
      <c r="E536" s="25"/>
      <c r="F536" s="25"/>
      <c r="G536" s="26"/>
      <c r="H536" s="4"/>
    </row>
    <row r="537">
      <c r="A537" s="4"/>
      <c r="D537" s="25"/>
      <c r="E537" s="25"/>
      <c r="F537" s="25"/>
      <c r="G537" s="26"/>
      <c r="H537" s="4"/>
    </row>
    <row r="538">
      <c r="A538" s="4"/>
      <c r="D538" s="25"/>
      <c r="E538" s="25"/>
      <c r="F538" s="25"/>
      <c r="G538" s="26"/>
      <c r="H538" s="4"/>
    </row>
    <row r="539">
      <c r="A539" s="4"/>
      <c r="D539" s="25"/>
      <c r="E539" s="25"/>
      <c r="F539" s="25"/>
      <c r="G539" s="26"/>
      <c r="H539" s="4"/>
    </row>
    <row r="540">
      <c r="A540" s="4"/>
      <c r="D540" s="25"/>
      <c r="E540" s="25"/>
      <c r="F540" s="25"/>
      <c r="G540" s="26"/>
      <c r="H540" s="4"/>
    </row>
    <row r="541">
      <c r="A541" s="4"/>
      <c r="D541" s="25"/>
      <c r="E541" s="25"/>
      <c r="F541" s="25"/>
      <c r="G541" s="26"/>
      <c r="H541" s="4"/>
    </row>
    <row r="542">
      <c r="A542" s="4"/>
      <c r="D542" s="25"/>
      <c r="E542" s="25"/>
      <c r="F542" s="25"/>
      <c r="G542" s="26"/>
      <c r="H542" s="4"/>
    </row>
    <row r="543">
      <c r="A543" s="4"/>
      <c r="D543" s="25"/>
      <c r="E543" s="25"/>
      <c r="F543" s="25"/>
      <c r="G543" s="26"/>
      <c r="H543" s="4"/>
    </row>
    <row r="544">
      <c r="A544" s="4"/>
      <c r="D544" s="25"/>
      <c r="E544" s="25"/>
      <c r="F544" s="25"/>
      <c r="G544" s="26"/>
      <c r="H544" s="4"/>
    </row>
    <row r="545">
      <c r="A545" s="4"/>
      <c r="D545" s="25"/>
      <c r="E545" s="25"/>
      <c r="F545" s="25"/>
      <c r="G545" s="26"/>
      <c r="H545" s="4"/>
    </row>
    <row r="546">
      <c r="A546" s="4"/>
      <c r="D546" s="25"/>
      <c r="E546" s="25"/>
      <c r="F546" s="25"/>
      <c r="G546" s="26"/>
      <c r="H546" s="4"/>
    </row>
    <row r="547">
      <c r="A547" s="4"/>
      <c r="D547" s="25"/>
      <c r="E547" s="25"/>
      <c r="F547" s="25"/>
      <c r="G547" s="26"/>
      <c r="H547" s="4"/>
    </row>
    <row r="548">
      <c r="A548" s="4"/>
      <c r="D548" s="25"/>
      <c r="E548" s="25"/>
      <c r="F548" s="25"/>
      <c r="G548" s="26"/>
      <c r="H548" s="4"/>
    </row>
    <row r="549">
      <c r="A549" s="4"/>
      <c r="D549" s="25"/>
      <c r="E549" s="25"/>
      <c r="F549" s="25"/>
      <c r="G549" s="26"/>
      <c r="H549" s="4"/>
    </row>
    <row r="550">
      <c r="A550" s="4"/>
      <c r="D550" s="25"/>
      <c r="E550" s="25"/>
      <c r="F550" s="25"/>
      <c r="G550" s="26"/>
      <c r="H550" s="4"/>
    </row>
    <row r="551">
      <c r="A551" s="4"/>
      <c r="D551" s="25"/>
      <c r="E551" s="25"/>
      <c r="F551" s="25"/>
      <c r="G551" s="26"/>
      <c r="H551" s="4"/>
    </row>
    <row r="552">
      <c r="A552" s="4"/>
      <c r="D552" s="25"/>
      <c r="E552" s="25"/>
      <c r="F552" s="25"/>
      <c r="G552" s="26"/>
      <c r="H552" s="4"/>
    </row>
    <row r="553">
      <c r="A553" s="4"/>
      <c r="D553" s="25"/>
      <c r="E553" s="25"/>
      <c r="F553" s="25"/>
      <c r="G553" s="26"/>
      <c r="H553" s="4"/>
    </row>
    <row r="554">
      <c r="A554" s="4"/>
      <c r="D554" s="25"/>
      <c r="E554" s="25"/>
      <c r="F554" s="25"/>
      <c r="G554" s="26"/>
      <c r="H554" s="4"/>
    </row>
    <row r="555">
      <c r="A555" s="4"/>
      <c r="D555" s="25"/>
      <c r="E555" s="25"/>
      <c r="F555" s="25"/>
      <c r="G555" s="26"/>
      <c r="H555" s="4"/>
    </row>
    <row r="556">
      <c r="A556" s="4"/>
      <c r="D556" s="25"/>
      <c r="E556" s="25"/>
      <c r="F556" s="25"/>
      <c r="G556" s="26"/>
      <c r="H556" s="4"/>
    </row>
    <row r="557">
      <c r="A557" s="4"/>
      <c r="D557" s="25"/>
      <c r="E557" s="25"/>
      <c r="F557" s="25"/>
      <c r="G557" s="26"/>
      <c r="H557" s="4"/>
    </row>
    <row r="558">
      <c r="A558" s="4"/>
      <c r="D558" s="25"/>
      <c r="E558" s="25"/>
      <c r="F558" s="25"/>
      <c r="G558" s="26"/>
      <c r="H558" s="4"/>
    </row>
    <row r="559">
      <c r="A559" s="4"/>
      <c r="D559" s="25"/>
      <c r="E559" s="25"/>
      <c r="F559" s="25"/>
      <c r="G559" s="26"/>
      <c r="H559" s="4"/>
    </row>
    <row r="560">
      <c r="A560" s="4"/>
      <c r="D560" s="25"/>
      <c r="E560" s="25"/>
      <c r="F560" s="25"/>
      <c r="G560" s="26"/>
      <c r="H560" s="4"/>
    </row>
    <row r="561">
      <c r="A561" s="4"/>
      <c r="D561" s="25"/>
      <c r="E561" s="25"/>
      <c r="F561" s="25"/>
      <c r="G561" s="26"/>
      <c r="H561" s="4"/>
    </row>
    <row r="562">
      <c r="A562" s="4"/>
      <c r="D562" s="25"/>
      <c r="E562" s="25"/>
      <c r="F562" s="25"/>
      <c r="G562" s="26"/>
      <c r="H562" s="4"/>
    </row>
    <row r="563">
      <c r="A563" s="4"/>
      <c r="D563" s="25"/>
      <c r="E563" s="25"/>
      <c r="F563" s="25"/>
      <c r="G563" s="26"/>
      <c r="H563" s="4"/>
    </row>
    <row r="564">
      <c r="A564" s="4"/>
      <c r="D564" s="25"/>
      <c r="E564" s="25"/>
      <c r="F564" s="25"/>
      <c r="G564" s="26"/>
      <c r="H564" s="4"/>
    </row>
    <row r="565">
      <c r="A565" s="4"/>
      <c r="D565" s="25"/>
      <c r="E565" s="25"/>
      <c r="F565" s="25"/>
      <c r="G565" s="26"/>
      <c r="H565" s="4"/>
    </row>
    <row r="566">
      <c r="A566" s="4"/>
      <c r="D566" s="25"/>
      <c r="E566" s="25"/>
      <c r="F566" s="25"/>
      <c r="G566" s="26"/>
      <c r="H566" s="4"/>
    </row>
    <row r="567">
      <c r="A567" s="4"/>
      <c r="D567" s="25"/>
      <c r="E567" s="25"/>
      <c r="F567" s="25"/>
      <c r="G567" s="26"/>
      <c r="H567" s="4"/>
    </row>
    <row r="568">
      <c r="A568" s="4"/>
      <c r="D568" s="25"/>
      <c r="E568" s="25"/>
      <c r="F568" s="25"/>
      <c r="G568" s="26"/>
      <c r="H568" s="4"/>
    </row>
    <row r="569">
      <c r="A569" s="4"/>
      <c r="D569" s="25"/>
      <c r="E569" s="25"/>
      <c r="F569" s="25"/>
      <c r="G569" s="26"/>
      <c r="H569" s="4"/>
    </row>
    <row r="570">
      <c r="A570" s="4"/>
      <c r="D570" s="25"/>
      <c r="E570" s="25"/>
      <c r="F570" s="25"/>
      <c r="G570" s="26"/>
      <c r="H570" s="4"/>
    </row>
    <row r="571">
      <c r="A571" s="4"/>
      <c r="D571" s="25"/>
      <c r="E571" s="25"/>
      <c r="F571" s="25"/>
      <c r="G571" s="26"/>
      <c r="H571" s="4"/>
    </row>
    <row r="572">
      <c r="A572" s="4"/>
      <c r="D572" s="25"/>
      <c r="E572" s="25"/>
      <c r="F572" s="25"/>
      <c r="G572" s="26"/>
      <c r="H572" s="4"/>
    </row>
    <row r="573">
      <c r="A573" s="4"/>
      <c r="D573" s="25"/>
      <c r="E573" s="25"/>
      <c r="F573" s="25"/>
      <c r="G573" s="26"/>
      <c r="H573" s="4"/>
    </row>
    <row r="574">
      <c r="A574" s="4"/>
      <c r="D574" s="25"/>
      <c r="E574" s="25"/>
      <c r="F574" s="25"/>
      <c r="G574" s="26"/>
      <c r="H574" s="4"/>
    </row>
    <row r="575">
      <c r="A575" s="4"/>
      <c r="D575" s="25"/>
      <c r="E575" s="25"/>
      <c r="F575" s="25"/>
      <c r="G575" s="26"/>
      <c r="H575" s="4"/>
    </row>
    <row r="576">
      <c r="A576" s="4"/>
      <c r="D576" s="25"/>
      <c r="E576" s="25"/>
      <c r="F576" s="25"/>
      <c r="G576" s="26"/>
      <c r="H576" s="4"/>
    </row>
    <row r="577">
      <c r="A577" s="4"/>
      <c r="D577" s="25"/>
      <c r="E577" s="25"/>
      <c r="F577" s="25"/>
      <c r="G577" s="26"/>
      <c r="H577" s="4"/>
    </row>
    <row r="578">
      <c r="A578" s="4"/>
      <c r="D578" s="25"/>
      <c r="E578" s="25"/>
      <c r="F578" s="25"/>
      <c r="G578" s="26"/>
      <c r="H578" s="4"/>
    </row>
    <row r="579">
      <c r="A579" s="4"/>
      <c r="D579" s="25"/>
      <c r="E579" s="25"/>
      <c r="F579" s="25"/>
      <c r="G579" s="26"/>
      <c r="H579" s="4"/>
    </row>
    <row r="580">
      <c r="A580" s="4"/>
      <c r="D580" s="25"/>
      <c r="E580" s="25"/>
      <c r="F580" s="25"/>
      <c r="G580" s="26"/>
      <c r="H580" s="4"/>
    </row>
    <row r="581">
      <c r="A581" s="4"/>
      <c r="D581" s="25"/>
      <c r="E581" s="25"/>
      <c r="F581" s="25"/>
      <c r="G581" s="26"/>
      <c r="H581" s="4"/>
    </row>
    <row r="582">
      <c r="A582" s="4"/>
      <c r="D582" s="25"/>
      <c r="E582" s="25"/>
      <c r="F582" s="25"/>
      <c r="G582" s="26"/>
      <c r="H582" s="4"/>
    </row>
    <row r="583">
      <c r="A583" s="4"/>
      <c r="D583" s="25"/>
      <c r="E583" s="25"/>
      <c r="F583" s="25"/>
      <c r="G583" s="26"/>
      <c r="H583" s="4"/>
    </row>
    <row r="584">
      <c r="A584" s="4"/>
      <c r="D584" s="25"/>
      <c r="E584" s="25"/>
      <c r="F584" s="25"/>
      <c r="G584" s="26"/>
      <c r="H584" s="4"/>
    </row>
    <row r="585">
      <c r="A585" s="4"/>
      <c r="D585" s="25"/>
      <c r="E585" s="25"/>
      <c r="F585" s="25"/>
      <c r="G585" s="26"/>
      <c r="H585" s="4"/>
    </row>
    <row r="586">
      <c r="A586" s="4"/>
      <c r="D586" s="25"/>
      <c r="E586" s="25"/>
      <c r="F586" s="25"/>
      <c r="G586" s="26"/>
      <c r="H586" s="4"/>
    </row>
    <row r="587">
      <c r="A587" s="4"/>
      <c r="D587" s="25"/>
      <c r="E587" s="25"/>
      <c r="F587" s="25"/>
      <c r="G587" s="26"/>
      <c r="H587" s="4"/>
    </row>
    <row r="588">
      <c r="A588" s="4"/>
      <c r="D588" s="25"/>
      <c r="E588" s="25"/>
      <c r="F588" s="25"/>
      <c r="G588" s="26"/>
      <c r="H588" s="4"/>
    </row>
    <row r="589">
      <c r="A589" s="4"/>
      <c r="D589" s="25"/>
      <c r="E589" s="25"/>
      <c r="F589" s="25"/>
      <c r="G589" s="26"/>
      <c r="H589" s="4"/>
    </row>
    <row r="590">
      <c r="A590" s="4"/>
      <c r="D590" s="25"/>
      <c r="E590" s="25"/>
      <c r="F590" s="25"/>
      <c r="G590" s="26"/>
      <c r="H590" s="4"/>
    </row>
    <row r="591">
      <c r="A591" s="4"/>
      <c r="D591" s="25"/>
      <c r="E591" s="25"/>
      <c r="F591" s="25"/>
      <c r="G591" s="26"/>
      <c r="H591" s="4"/>
    </row>
    <row r="592">
      <c r="A592" s="4"/>
      <c r="D592" s="25"/>
      <c r="E592" s="25"/>
      <c r="F592" s="25"/>
      <c r="G592" s="26"/>
      <c r="H592" s="4"/>
    </row>
    <row r="593">
      <c r="A593" s="4"/>
      <c r="D593" s="25"/>
      <c r="E593" s="25"/>
      <c r="F593" s="25"/>
      <c r="G593" s="26"/>
      <c r="H593" s="4"/>
    </row>
    <row r="594">
      <c r="A594" s="4"/>
      <c r="D594" s="25"/>
      <c r="E594" s="25"/>
      <c r="F594" s="25"/>
      <c r="G594" s="26"/>
      <c r="H594" s="4"/>
    </row>
    <row r="595">
      <c r="A595" s="4"/>
      <c r="D595" s="25"/>
      <c r="E595" s="25"/>
      <c r="F595" s="25"/>
      <c r="G595" s="26"/>
      <c r="H595" s="4"/>
    </row>
    <row r="596">
      <c r="A596" s="4"/>
      <c r="D596" s="25"/>
      <c r="E596" s="25"/>
      <c r="F596" s="25"/>
      <c r="G596" s="26"/>
      <c r="H596" s="4"/>
    </row>
    <row r="597">
      <c r="A597" s="4"/>
      <c r="D597" s="25"/>
      <c r="E597" s="25"/>
      <c r="F597" s="25"/>
      <c r="G597" s="26"/>
      <c r="H597" s="4"/>
    </row>
    <row r="598">
      <c r="A598" s="4"/>
      <c r="D598" s="25"/>
      <c r="E598" s="25"/>
      <c r="F598" s="25"/>
      <c r="G598" s="26"/>
      <c r="H598" s="4"/>
    </row>
    <row r="599">
      <c r="A599" s="4"/>
      <c r="D599" s="25"/>
      <c r="E599" s="25"/>
      <c r="F599" s="25"/>
      <c r="G599" s="26"/>
      <c r="H599" s="4"/>
    </row>
    <row r="600">
      <c r="A600" s="4"/>
      <c r="D600" s="25"/>
      <c r="E600" s="25"/>
      <c r="F600" s="25"/>
      <c r="G600" s="26"/>
      <c r="H600" s="4"/>
    </row>
    <row r="601">
      <c r="A601" s="4"/>
      <c r="D601" s="25"/>
      <c r="E601" s="25"/>
      <c r="F601" s="25"/>
      <c r="G601" s="26"/>
      <c r="H601" s="4"/>
    </row>
    <row r="602">
      <c r="A602" s="4"/>
      <c r="D602" s="25"/>
      <c r="E602" s="25"/>
      <c r="F602" s="25"/>
      <c r="G602" s="26"/>
      <c r="H602" s="4"/>
    </row>
    <row r="603">
      <c r="A603" s="4"/>
      <c r="D603" s="25"/>
      <c r="E603" s="25"/>
      <c r="F603" s="25"/>
      <c r="G603" s="26"/>
      <c r="H603" s="4"/>
    </row>
    <row r="604">
      <c r="A604" s="4"/>
      <c r="D604" s="25"/>
      <c r="E604" s="25"/>
      <c r="F604" s="25"/>
      <c r="G604" s="26"/>
      <c r="H604" s="4"/>
    </row>
    <row r="605">
      <c r="A605" s="4"/>
      <c r="D605" s="25"/>
      <c r="E605" s="25"/>
      <c r="F605" s="25"/>
      <c r="G605" s="26"/>
      <c r="H605" s="4"/>
    </row>
    <row r="606">
      <c r="A606" s="4"/>
      <c r="D606" s="25"/>
      <c r="E606" s="25"/>
      <c r="F606" s="25"/>
      <c r="G606" s="26"/>
      <c r="H606" s="4"/>
    </row>
    <row r="607">
      <c r="A607" s="4"/>
      <c r="D607" s="25"/>
      <c r="E607" s="25"/>
      <c r="F607" s="25"/>
      <c r="G607" s="26"/>
      <c r="H607" s="4"/>
    </row>
    <row r="608">
      <c r="A608" s="4"/>
      <c r="D608" s="25"/>
      <c r="E608" s="25"/>
      <c r="F608" s="25"/>
      <c r="G608" s="26"/>
      <c r="H608" s="4"/>
    </row>
    <row r="609">
      <c r="A609" s="4"/>
      <c r="D609" s="25"/>
      <c r="E609" s="25"/>
      <c r="F609" s="25"/>
      <c r="G609" s="26"/>
      <c r="H609" s="4"/>
    </row>
    <row r="610">
      <c r="A610" s="4"/>
      <c r="D610" s="25"/>
      <c r="E610" s="25"/>
      <c r="F610" s="25"/>
      <c r="G610" s="26"/>
      <c r="H610" s="4"/>
    </row>
    <row r="611">
      <c r="A611" s="4"/>
      <c r="D611" s="25"/>
      <c r="E611" s="25"/>
      <c r="F611" s="25"/>
      <c r="G611" s="26"/>
      <c r="H611" s="4"/>
    </row>
    <row r="612">
      <c r="A612" s="4"/>
      <c r="D612" s="25"/>
      <c r="E612" s="25"/>
      <c r="F612" s="25"/>
      <c r="G612" s="26"/>
      <c r="H612" s="4"/>
    </row>
    <row r="613">
      <c r="A613" s="4"/>
      <c r="D613" s="25"/>
      <c r="E613" s="25"/>
      <c r="F613" s="25"/>
      <c r="G613" s="26"/>
      <c r="H613" s="4"/>
    </row>
    <row r="614">
      <c r="A614" s="4"/>
      <c r="D614" s="25"/>
      <c r="E614" s="25"/>
      <c r="F614" s="25"/>
      <c r="G614" s="26"/>
      <c r="H614" s="4"/>
    </row>
    <row r="615">
      <c r="A615" s="4"/>
      <c r="D615" s="25"/>
      <c r="E615" s="25"/>
      <c r="F615" s="25"/>
      <c r="G615" s="26"/>
      <c r="H615" s="4"/>
    </row>
    <row r="616">
      <c r="A616" s="4"/>
      <c r="D616" s="25"/>
      <c r="E616" s="25"/>
      <c r="F616" s="25"/>
      <c r="G616" s="26"/>
      <c r="H616" s="4"/>
    </row>
    <row r="617">
      <c r="A617" s="4"/>
      <c r="D617" s="25"/>
      <c r="E617" s="25"/>
      <c r="F617" s="25"/>
      <c r="G617" s="26"/>
      <c r="H617" s="4"/>
    </row>
    <row r="618">
      <c r="A618" s="4"/>
      <c r="D618" s="25"/>
      <c r="E618" s="25"/>
      <c r="F618" s="25"/>
      <c r="G618" s="26"/>
      <c r="H618" s="4"/>
    </row>
    <row r="619">
      <c r="A619" s="4"/>
      <c r="D619" s="25"/>
      <c r="E619" s="25"/>
      <c r="F619" s="25"/>
      <c r="G619" s="26"/>
      <c r="H619" s="4"/>
    </row>
    <row r="620">
      <c r="A620" s="4"/>
      <c r="D620" s="25"/>
      <c r="E620" s="25"/>
      <c r="F620" s="25"/>
      <c r="G620" s="26"/>
      <c r="H620" s="4"/>
    </row>
    <row r="621">
      <c r="A621" s="4"/>
      <c r="D621" s="25"/>
      <c r="E621" s="25"/>
      <c r="F621" s="25"/>
      <c r="G621" s="26"/>
      <c r="H621" s="4"/>
    </row>
    <row r="622">
      <c r="A622" s="4"/>
      <c r="D622" s="25"/>
      <c r="E622" s="25"/>
      <c r="F622" s="25"/>
      <c r="G622" s="26"/>
      <c r="H622" s="4"/>
    </row>
    <row r="623">
      <c r="A623" s="4"/>
      <c r="D623" s="25"/>
      <c r="E623" s="25"/>
      <c r="F623" s="25"/>
      <c r="G623" s="26"/>
      <c r="H623" s="4"/>
    </row>
    <row r="624">
      <c r="A624" s="4"/>
      <c r="D624" s="25"/>
      <c r="E624" s="25"/>
      <c r="F624" s="25"/>
      <c r="G624" s="26"/>
      <c r="H624" s="4"/>
    </row>
    <row r="625">
      <c r="A625" s="4"/>
      <c r="D625" s="25"/>
      <c r="E625" s="25"/>
      <c r="F625" s="25"/>
      <c r="G625" s="26"/>
      <c r="H625" s="4"/>
    </row>
    <row r="626">
      <c r="A626" s="4"/>
      <c r="D626" s="25"/>
      <c r="E626" s="25"/>
      <c r="F626" s="25"/>
      <c r="G626" s="26"/>
      <c r="H626" s="4"/>
    </row>
    <row r="627">
      <c r="A627" s="4"/>
      <c r="D627" s="25"/>
      <c r="E627" s="25"/>
      <c r="F627" s="25"/>
      <c r="G627" s="26"/>
      <c r="H627" s="4"/>
    </row>
    <row r="628">
      <c r="A628" s="4"/>
      <c r="D628" s="25"/>
      <c r="E628" s="25"/>
      <c r="F628" s="25"/>
      <c r="G628" s="26"/>
      <c r="H628" s="4"/>
    </row>
    <row r="629">
      <c r="A629" s="4"/>
      <c r="D629" s="25"/>
      <c r="E629" s="25"/>
      <c r="F629" s="25"/>
      <c r="G629" s="26"/>
      <c r="H629" s="4"/>
    </row>
    <row r="630">
      <c r="A630" s="4"/>
      <c r="D630" s="25"/>
      <c r="E630" s="25"/>
      <c r="F630" s="25"/>
      <c r="G630" s="26"/>
      <c r="H630" s="4"/>
    </row>
    <row r="631">
      <c r="A631" s="4"/>
      <c r="D631" s="25"/>
      <c r="E631" s="25"/>
      <c r="F631" s="25"/>
      <c r="G631" s="26"/>
      <c r="H631" s="4"/>
    </row>
    <row r="632">
      <c r="A632" s="4"/>
      <c r="D632" s="25"/>
      <c r="E632" s="25"/>
      <c r="F632" s="25"/>
      <c r="G632" s="26"/>
      <c r="H632" s="4"/>
    </row>
    <row r="633">
      <c r="A633" s="4"/>
      <c r="D633" s="25"/>
      <c r="E633" s="25"/>
      <c r="F633" s="25"/>
      <c r="G633" s="26"/>
      <c r="H633" s="4"/>
    </row>
    <row r="634">
      <c r="A634" s="4"/>
      <c r="D634" s="25"/>
      <c r="E634" s="25"/>
      <c r="F634" s="25"/>
      <c r="G634" s="26"/>
      <c r="H634" s="4"/>
    </row>
    <row r="635">
      <c r="A635" s="4"/>
      <c r="D635" s="25"/>
      <c r="E635" s="25"/>
      <c r="F635" s="25"/>
      <c r="G635" s="26"/>
      <c r="H635" s="4"/>
    </row>
    <row r="636">
      <c r="A636" s="4"/>
      <c r="D636" s="25"/>
      <c r="E636" s="25"/>
      <c r="F636" s="25"/>
      <c r="G636" s="26"/>
      <c r="H636" s="4"/>
    </row>
    <row r="637">
      <c r="A637" s="4"/>
      <c r="D637" s="25"/>
      <c r="E637" s="25"/>
      <c r="F637" s="25"/>
      <c r="G637" s="26"/>
      <c r="H637" s="4"/>
    </row>
    <row r="638">
      <c r="A638" s="4"/>
      <c r="D638" s="25"/>
      <c r="E638" s="25"/>
      <c r="F638" s="25"/>
      <c r="G638" s="26"/>
      <c r="H638" s="4"/>
    </row>
    <row r="639">
      <c r="A639" s="4"/>
      <c r="D639" s="25"/>
      <c r="E639" s="25"/>
      <c r="F639" s="25"/>
      <c r="G639" s="26"/>
      <c r="H639" s="4"/>
    </row>
    <row r="640">
      <c r="A640" s="4"/>
      <c r="D640" s="25"/>
      <c r="E640" s="25"/>
      <c r="F640" s="25"/>
      <c r="G640" s="26"/>
      <c r="H640" s="4"/>
    </row>
    <row r="641">
      <c r="A641" s="4"/>
      <c r="D641" s="25"/>
      <c r="E641" s="25"/>
      <c r="F641" s="25"/>
      <c r="G641" s="26"/>
      <c r="H641" s="4"/>
    </row>
    <row r="642">
      <c r="A642" s="4"/>
      <c r="D642" s="25"/>
      <c r="E642" s="25"/>
      <c r="F642" s="25"/>
      <c r="G642" s="26"/>
      <c r="H642" s="4"/>
    </row>
    <row r="643">
      <c r="A643" s="4"/>
      <c r="D643" s="25"/>
      <c r="E643" s="25"/>
      <c r="F643" s="25"/>
      <c r="G643" s="26"/>
      <c r="H643" s="4"/>
    </row>
    <row r="644">
      <c r="A644" s="4"/>
      <c r="D644" s="25"/>
      <c r="E644" s="25"/>
      <c r="F644" s="25"/>
      <c r="G644" s="26"/>
      <c r="H644" s="4"/>
    </row>
    <row r="645">
      <c r="A645" s="4"/>
      <c r="D645" s="25"/>
      <c r="E645" s="25"/>
      <c r="F645" s="25"/>
      <c r="G645" s="26"/>
      <c r="H645" s="4"/>
    </row>
    <row r="646">
      <c r="A646" s="4"/>
      <c r="D646" s="25"/>
      <c r="E646" s="25"/>
      <c r="F646" s="25"/>
      <c r="G646" s="26"/>
      <c r="H646" s="4"/>
    </row>
    <row r="647">
      <c r="A647" s="4"/>
      <c r="D647" s="25"/>
      <c r="E647" s="25"/>
      <c r="F647" s="25"/>
      <c r="G647" s="26"/>
      <c r="H647" s="4"/>
    </row>
    <row r="648">
      <c r="A648" s="4"/>
      <c r="D648" s="25"/>
      <c r="E648" s="25"/>
      <c r="F648" s="25"/>
      <c r="G648" s="26"/>
      <c r="H648" s="4"/>
    </row>
    <row r="649">
      <c r="A649" s="4"/>
      <c r="D649" s="25"/>
      <c r="E649" s="25"/>
      <c r="F649" s="25"/>
      <c r="G649" s="26"/>
      <c r="H649" s="4"/>
    </row>
    <row r="650">
      <c r="A650" s="4"/>
      <c r="D650" s="25"/>
      <c r="E650" s="25"/>
      <c r="F650" s="25"/>
      <c r="G650" s="26"/>
      <c r="H650" s="4"/>
    </row>
    <row r="651">
      <c r="A651" s="4"/>
      <c r="D651" s="25"/>
      <c r="E651" s="25"/>
      <c r="F651" s="25"/>
      <c r="G651" s="26"/>
      <c r="H651" s="4"/>
    </row>
    <row r="652">
      <c r="A652" s="4"/>
      <c r="D652" s="25"/>
      <c r="E652" s="25"/>
      <c r="F652" s="25"/>
      <c r="G652" s="26"/>
      <c r="H652" s="4"/>
    </row>
    <row r="653">
      <c r="A653" s="4"/>
      <c r="D653" s="25"/>
      <c r="E653" s="25"/>
      <c r="F653" s="25"/>
      <c r="G653" s="26"/>
      <c r="H653" s="4"/>
    </row>
    <row r="654">
      <c r="A654" s="4"/>
      <c r="D654" s="25"/>
      <c r="E654" s="25"/>
      <c r="F654" s="25"/>
      <c r="G654" s="26"/>
      <c r="H654" s="4"/>
    </row>
    <row r="655">
      <c r="A655" s="4"/>
      <c r="D655" s="25"/>
      <c r="E655" s="25"/>
      <c r="F655" s="25"/>
      <c r="G655" s="26"/>
      <c r="H655" s="4"/>
    </row>
    <row r="656">
      <c r="A656" s="4"/>
      <c r="D656" s="25"/>
      <c r="E656" s="25"/>
      <c r="F656" s="25"/>
      <c r="G656" s="26"/>
      <c r="H656" s="4"/>
    </row>
    <row r="657">
      <c r="A657" s="4"/>
      <c r="D657" s="25"/>
      <c r="E657" s="25"/>
      <c r="F657" s="25"/>
      <c r="G657" s="26"/>
      <c r="H657" s="4"/>
    </row>
    <row r="658">
      <c r="A658" s="4"/>
      <c r="D658" s="25"/>
      <c r="E658" s="25"/>
      <c r="F658" s="25"/>
      <c r="G658" s="26"/>
      <c r="H658" s="4"/>
    </row>
    <row r="659">
      <c r="A659" s="4"/>
      <c r="D659" s="25"/>
      <c r="E659" s="25"/>
      <c r="F659" s="25"/>
      <c r="G659" s="26"/>
      <c r="H659" s="4"/>
    </row>
    <row r="660">
      <c r="A660" s="4"/>
      <c r="D660" s="25"/>
      <c r="E660" s="25"/>
      <c r="F660" s="25"/>
      <c r="G660" s="26"/>
      <c r="H660" s="4"/>
    </row>
    <row r="661">
      <c r="A661" s="4"/>
      <c r="D661" s="25"/>
      <c r="E661" s="25"/>
      <c r="F661" s="25"/>
      <c r="G661" s="26"/>
      <c r="H661" s="4"/>
    </row>
    <row r="662">
      <c r="A662" s="4"/>
      <c r="D662" s="25"/>
      <c r="E662" s="25"/>
      <c r="F662" s="25"/>
      <c r="G662" s="26"/>
      <c r="H662" s="4"/>
    </row>
    <row r="663">
      <c r="A663" s="4"/>
      <c r="D663" s="25"/>
      <c r="E663" s="25"/>
      <c r="F663" s="25"/>
      <c r="G663" s="26"/>
      <c r="H663" s="4"/>
    </row>
    <row r="664">
      <c r="A664" s="4"/>
      <c r="D664" s="25"/>
      <c r="E664" s="25"/>
      <c r="F664" s="25"/>
      <c r="G664" s="26"/>
      <c r="H664" s="4"/>
    </row>
    <row r="665">
      <c r="A665" s="4"/>
      <c r="D665" s="25"/>
      <c r="E665" s="25"/>
      <c r="F665" s="25"/>
      <c r="G665" s="26"/>
      <c r="H665" s="4"/>
    </row>
    <row r="666">
      <c r="A666" s="4"/>
      <c r="D666" s="25"/>
      <c r="E666" s="25"/>
      <c r="F666" s="25"/>
      <c r="G666" s="26"/>
      <c r="H666" s="4"/>
    </row>
    <row r="667">
      <c r="A667" s="4"/>
      <c r="D667" s="25"/>
      <c r="E667" s="25"/>
      <c r="F667" s="25"/>
      <c r="G667" s="26"/>
      <c r="H667" s="4"/>
    </row>
    <row r="668">
      <c r="A668" s="4"/>
      <c r="D668" s="25"/>
      <c r="E668" s="25"/>
      <c r="F668" s="25"/>
      <c r="G668" s="26"/>
      <c r="H668" s="4"/>
    </row>
    <row r="669">
      <c r="A669" s="4"/>
      <c r="D669" s="25"/>
      <c r="E669" s="25"/>
      <c r="F669" s="25"/>
      <c r="G669" s="26"/>
      <c r="H669" s="4"/>
    </row>
    <row r="670">
      <c r="A670" s="4"/>
      <c r="D670" s="25"/>
      <c r="E670" s="25"/>
      <c r="F670" s="25"/>
      <c r="G670" s="26"/>
      <c r="H670" s="4"/>
    </row>
    <row r="671">
      <c r="A671" s="4"/>
      <c r="D671" s="25"/>
      <c r="E671" s="25"/>
      <c r="F671" s="25"/>
      <c r="G671" s="26"/>
      <c r="H671" s="4"/>
    </row>
    <row r="672">
      <c r="A672" s="4"/>
      <c r="D672" s="25"/>
      <c r="E672" s="25"/>
      <c r="F672" s="25"/>
      <c r="G672" s="26"/>
      <c r="H672" s="4"/>
    </row>
    <row r="673">
      <c r="A673" s="4"/>
      <c r="D673" s="25"/>
      <c r="E673" s="25"/>
      <c r="F673" s="25"/>
      <c r="G673" s="26"/>
      <c r="H673" s="4"/>
    </row>
    <row r="674">
      <c r="A674" s="4"/>
      <c r="D674" s="25"/>
      <c r="E674" s="25"/>
      <c r="F674" s="25"/>
      <c r="G674" s="26"/>
      <c r="H674" s="4"/>
    </row>
    <row r="675">
      <c r="A675" s="4"/>
      <c r="D675" s="25"/>
      <c r="E675" s="25"/>
      <c r="F675" s="25"/>
      <c r="G675" s="26"/>
      <c r="H675" s="4"/>
    </row>
    <row r="676">
      <c r="A676" s="4"/>
      <c r="D676" s="25"/>
      <c r="E676" s="25"/>
      <c r="F676" s="25"/>
      <c r="G676" s="26"/>
      <c r="H676" s="4"/>
    </row>
    <row r="677">
      <c r="A677" s="4"/>
      <c r="D677" s="25"/>
      <c r="E677" s="25"/>
      <c r="F677" s="25"/>
      <c r="G677" s="26"/>
      <c r="H677" s="4"/>
    </row>
    <row r="678">
      <c r="A678" s="4"/>
      <c r="D678" s="25"/>
      <c r="E678" s="25"/>
      <c r="F678" s="25"/>
      <c r="G678" s="26"/>
      <c r="H678" s="4"/>
    </row>
    <row r="679">
      <c r="A679" s="4"/>
      <c r="D679" s="25"/>
      <c r="E679" s="25"/>
      <c r="F679" s="25"/>
      <c r="G679" s="26"/>
      <c r="H679" s="4"/>
    </row>
    <row r="680">
      <c r="A680" s="4"/>
      <c r="D680" s="25"/>
      <c r="E680" s="25"/>
      <c r="F680" s="25"/>
      <c r="G680" s="26"/>
      <c r="H680" s="4"/>
    </row>
    <row r="681">
      <c r="A681" s="4"/>
      <c r="D681" s="25"/>
      <c r="E681" s="25"/>
      <c r="F681" s="25"/>
      <c r="G681" s="26"/>
      <c r="H681" s="4"/>
    </row>
    <row r="682">
      <c r="A682" s="4"/>
      <c r="D682" s="25"/>
      <c r="E682" s="25"/>
      <c r="F682" s="25"/>
      <c r="G682" s="26"/>
      <c r="H682" s="4"/>
    </row>
    <row r="683">
      <c r="A683" s="4"/>
      <c r="D683" s="25"/>
      <c r="E683" s="25"/>
      <c r="F683" s="25"/>
      <c r="G683" s="26"/>
      <c r="H683" s="4"/>
    </row>
    <row r="684">
      <c r="A684" s="4"/>
      <c r="D684" s="25"/>
      <c r="E684" s="25"/>
      <c r="F684" s="25"/>
      <c r="G684" s="26"/>
      <c r="H684" s="4"/>
    </row>
    <row r="685">
      <c r="A685" s="4"/>
      <c r="D685" s="25"/>
      <c r="E685" s="25"/>
      <c r="F685" s="25"/>
      <c r="G685" s="26"/>
      <c r="H685" s="4"/>
    </row>
    <row r="686">
      <c r="A686" s="4"/>
      <c r="D686" s="25"/>
      <c r="E686" s="25"/>
      <c r="F686" s="25"/>
      <c r="G686" s="26"/>
      <c r="H686" s="4"/>
    </row>
    <row r="687">
      <c r="A687" s="4"/>
      <c r="D687" s="25"/>
      <c r="E687" s="25"/>
      <c r="F687" s="25"/>
      <c r="G687" s="26"/>
      <c r="H687" s="4"/>
    </row>
    <row r="688">
      <c r="A688" s="4"/>
      <c r="D688" s="25"/>
      <c r="E688" s="25"/>
      <c r="F688" s="25"/>
      <c r="G688" s="26"/>
      <c r="H688" s="4"/>
    </row>
    <row r="689">
      <c r="A689" s="4"/>
      <c r="D689" s="25"/>
      <c r="E689" s="25"/>
      <c r="F689" s="25"/>
      <c r="G689" s="26"/>
      <c r="H689" s="4"/>
    </row>
    <row r="690">
      <c r="A690" s="4"/>
      <c r="D690" s="25"/>
      <c r="E690" s="25"/>
      <c r="F690" s="25"/>
      <c r="G690" s="26"/>
      <c r="H690" s="4"/>
    </row>
    <row r="691">
      <c r="A691" s="4"/>
      <c r="D691" s="25"/>
      <c r="E691" s="25"/>
      <c r="F691" s="25"/>
      <c r="G691" s="26"/>
      <c r="H691" s="4"/>
    </row>
    <row r="692">
      <c r="A692" s="4"/>
      <c r="D692" s="25"/>
      <c r="E692" s="25"/>
      <c r="F692" s="25"/>
      <c r="G692" s="26"/>
      <c r="H692" s="4"/>
    </row>
    <row r="693">
      <c r="A693" s="4"/>
      <c r="D693" s="25"/>
      <c r="E693" s="25"/>
      <c r="F693" s="25"/>
      <c r="G693" s="26"/>
      <c r="H693" s="4"/>
    </row>
    <row r="694">
      <c r="A694" s="4"/>
      <c r="D694" s="25"/>
      <c r="E694" s="25"/>
      <c r="F694" s="25"/>
      <c r="G694" s="26"/>
      <c r="H694" s="4"/>
    </row>
    <row r="695">
      <c r="A695" s="4"/>
      <c r="D695" s="25"/>
      <c r="E695" s="25"/>
      <c r="F695" s="25"/>
      <c r="G695" s="26"/>
      <c r="H695" s="4"/>
    </row>
    <row r="696">
      <c r="A696" s="4"/>
      <c r="D696" s="25"/>
      <c r="E696" s="25"/>
      <c r="F696" s="25"/>
      <c r="G696" s="26"/>
      <c r="H696" s="4"/>
    </row>
    <row r="697">
      <c r="A697" s="4"/>
      <c r="D697" s="25"/>
      <c r="E697" s="25"/>
      <c r="F697" s="25"/>
      <c r="G697" s="26"/>
      <c r="H697" s="4"/>
    </row>
    <row r="698">
      <c r="A698" s="4"/>
      <c r="D698" s="25"/>
      <c r="E698" s="25"/>
      <c r="F698" s="25"/>
      <c r="G698" s="26"/>
      <c r="H698" s="4"/>
    </row>
    <row r="699">
      <c r="A699" s="4"/>
      <c r="D699" s="25"/>
      <c r="E699" s="25"/>
      <c r="F699" s="25"/>
      <c r="G699" s="26"/>
      <c r="H699" s="4"/>
    </row>
    <row r="700">
      <c r="A700" s="4"/>
      <c r="D700" s="25"/>
      <c r="E700" s="25"/>
      <c r="F700" s="25"/>
      <c r="G700" s="26"/>
      <c r="H700" s="4"/>
    </row>
    <row r="701">
      <c r="A701" s="4"/>
      <c r="D701" s="25"/>
      <c r="E701" s="25"/>
      <c r="F701" s="25"/>
      <c r="G701" s="26"/>
      <c r="H701" s="4"/>
    </row>
    <row r="702">
      <c r="A702" s="4"/>
      <c r="D702" s="25"/>
      <c r="E702" s="25"/>
      <c r="F702" s="25"/>
      <c r="G702" s="26"/>
      <c r="H702" s="4"/>
    </row>
    <row r="703">
      <c r="A703" s="4"/>
      <c r="D703" s="25"/>
      <c r="E703" s="25"/>
      <c r="F703" s="25"/>
      <c r="G703" s="26"/>
      <c r="H703" s="4"/>
    </row>
    <row r="704">
      <c r="A704" s="4"/>
      <c r="D704" s="25"/>
      <c r="E704" s="25"/>
      <c r="F704" s="25"/>
      <c r="G704" s="26"/>
      <c r="H704" s="4"/>
    </row>
    <row r="705">
      <c r="A705" s="4"/>
      <c r="D705" s="25"/>
      <c r="E705" s="25"/>
      <c r="F705" s="25"/>
      <c r="G705" s="26"/>
      <c r="H705" s="4"/>
    </row>
    <row r="706">
      <c r="A706" s="4"/>
      <c r="D706" s="25"/>
      <c r="E706" s="25"/>
      <c r="F706" s="25"/>
      <c r="G706" s="26"/>
      <c r="H706" s="4"/>
    </row>
    <row r="707">
      <c r="A707" s="4"/>
      <c r="D707" s="25"/>
      <c r="E707" s="25"/>
      <c r="F707" s="25"/>
      <c r="G707" s="26"/>
      <c r="H707" s="4"/>
    </row>
    <row r="708">
      <c r="A708" s="4"/>
      <c r="D708" s="25"/>
      <c r="E708" s="25"/>
      <c r="F708" s="25"/>
      <c r="G708" s="26"/>
      <c r="H708" s="4"/>
    </row>
    <row r="709">
      <c r="A709" s="4"/>
      <c r="D709" s="25"/>
      <c r="E709" s="25"/>
      <c r="F709" s="25"/>
      <c r="G709" s="26"/>
      <c r="H709" s="4"/>
    </row>
    <row r="710">
      <c r="A710" s="4"/>
      <c r="D710" s="25"/>
      <c r="E710" s="25"/>
      <c r="F710" s="25"/>
      <c r="G710" s="26"/>
      <c r="H710" s="4"/>
    </row>
    <row r="711">
      <c r="A711" s="4"/>
      <c r="D711" s="25"/>
      <c r="E711" s="25"/>
      <c r="F711" s="25"/>
      <c r="G711" s="26"/>
      <c r="H711" s="4"/>
    </row>
    <row r="712">
      <c r="A712" s="4"/>
      <c r="D712" s="25"/>
      <c r="E712" s="25"/>
      <c r="F712" s="25"/>
      <c r="G712" s="26"/>
      <c r="H712" s="4"/>
    </row>
    <row r="713">
      <c r="A713" s="4"/>
      <c r="D713" s="25"/>
      <c r="E713" s="25"/>
      <c r="F713" s="25"/>
      <c r="G713" s="26"/>
      <c r="H713" s="4"/>
    </row>
    <row r="714">
      <c r="A714" s="4"/>
      <c r="D714" s="25"/>
      <c r="E714" s="25"/>
      <c r="F714" s="25"/>
      <c r="G714" s="26"/>
      <c r="H714" s="4"/>
    </row>
    <row r="715">
      <c r="A715" s="4"/>
      <c r="D715" s="25"/>
      <c r="E715" s="25"/>
      <c r="F715" s="25"/>
      <c r="G715" s="26"/>
      <c r="H715" s="4"/>
    </row>
    <row r="716">
      <c r="A716" s="4"/>
      <c r="D716" s="25"/>
      <c r="E716" s="25"/>
      <c r="F716" s="25"/>
      <c r="G716" s="26"/>
      <c r="H716" s="4"/>
    </row>
    <row r="717">
      <c r="A717" s="4"/>
      <c r="D717" s="25"/>
      <c r="E717" s="25"/>
      <c r="F717" s="25"/>
      <c r="G717" s="26"/>
      <c r="H717" s="4"/>
    </row>
    <row r="718">
      <c r="A718" s="4"/>
      <c r="D718" s="25"/>
      <c r="E718" s="25"/>
      <c r="F718" s="25"/>
      <c r="G718" s="26"/>
      <c r="H718" s="4"/>
    </row>
    <row r="719">
      <c r="A719" s="4"/>
      <c r="D719" s="25"/>
      <c r="E719" s="25"/>
      <c r="F719" s="25"/>
      <c r="G719" s="26"/>
      <c r="H719" s="4"/>
    </row>
    <row r="720">
      <c r="A720" s="4"/>
      <c r="D720" s="25"/>
      <c r="E720" s="25"/>
      <c r="F720" s="25"/>
      <c r="G720" s="26"/>
      <c r="H720" s="4"/>
    </row>
    <row r="721">
      <c r="A721" s="4"/>
      <c r="D721" s="25"/>
      <c r="E721" s="25"/>
      <c r="F721" s="25"/>
      <c r="G721" s="26"/>
      <c r="H721" s="4"/>
    </row>
    <row r="722">
      <c r="A722" s="4"/>
      <c r="D722" s="25"/>
      <c r="E722" s="25"/>
      <c r="F722" s="25"/>
      <c r="G722" s="26"/>
      <c r="H722" s="4"/>
    </row>
    <row r="723">
      <c r="A723" s="4"/>
      <c r="D723" s="25"/>
      <c r="E723" s="25"/>
      <c r="F723" s="25"/>
      <c r="G723" s="26"/>
      <c r="H723" s="4"/>
    </row>
    <row r="724">
      <c r="A724" s="4"/>
      <c r="D724" s="25"/>
      <c r="E724" s="25"/>
      <c r="F724" s="25"/>
      <c r="G724" s="26"/>
      <c r="H724" s="4"/>
    </row>
    <row r="725">
      <c r="A725" s="4"/>
      <c r="D725" s="25"/>
      <c r="E725" s="25"/>
      <c r="F725" s="25"/>
      <c r="G725" s="26"/>
      <c r="H725" s="4"/>
    </row>
    <row r="726">
      <c r="A726" s="4"/>
      <c r="D726" s="25"/>
      <c r="E726" s="25"/>
      <c r="F726" s="25"/>
      <c r="G726" s="26"/>
      <c r="H726" s="4"/>
    </row>
    <row r="727">
      <c r="A727" s="4"/>
      <c r="D727" s="25"/>
      <c r="E727" s="25"/>
      <c r="F727" s="25"/>
      <c r="G727" s="26"/>
      <c r="H727" s="4"/>
    </row>
    <row r="728">
      <c r="A728" s="4"/>
      <c r="D728" s="25"/>
      <c r="E728" s="25"/>
      <c r="F728" s="25"/>
      <c r="G728" s="26"/>
      <c r="H728" s="4"/>
    </row>
    <row r="729">
      <c r="A729" s="4"/>
      <c r="D729" s="25"/>
      <c r="E729" s="25"/>
      <c r="F729" s="25"/>
      <c r="G729" s="26"/>
      <c r="H729" s="4"/>
    </row>
    <row r="730">
      <c r="A730" s="4"/>
      <c r="D730" s="25"/>
      <c r="E730" s="25"/>
      <c r="F730" s="25"/>
      <c r="G730" s="26"/>
      <c r="H730" s="4"/>
    </row>
    <row r="731">
      <c r="A731" s="4"/>
      <c r="D731" s="25"/>
      <c r="E731" s="25"/>
      <c r="F731" s="25"/>
      <c r="G731" s="26"/>
      <c r="H731" s="4"/>
    </row>
    <row r="732">
      <c r="A732" s="4"/>
      <c r="D732" s="25"/>
      <c r="E732" s="25"/>
      <c r="F732" s="25"/>
      <c r="G732" s="26"/>
      <c r="H732" s="4"/>
    </row>
    <row r="733">
      <c r="A733" s="4"/>
      <c r="D733" s="25"/>
      <c r="E733" s="25"/>
      <c r="F733" s="25"/>
      <c r="G733" s="26"/>
      <c r="H733" s="4"/>
    </row>
    <row r="734">
      <c r="A734" s="4"/>
      <c r="D734" s="25"/>
      <c r="E734" s="25"/>
      <c r="F734" s="25"/>
      <c r="G734" s="26"/>
      <c r="H734" s="4"/>
    </row>
    <row r="735">
      <c r="A735" s="4"/>
      <c r="D735" s="25"/>
      <c r="E735" s="25"/>
      <c r="F735" s="25"/>
      <c r="G735" s="26"/>
      <c r="H735" s="4"/>
    </row>
    <row r="736">
      <c r="A736" s="4"/>
      <c r="D736" s="25"/>
      <c r="E736" s="25"/>
      <c r="F736" s="25"/>
      <c r="G736" s="26"/>
      <c r="H736" s="4"/>
    </row>
    <row r="737">
      <c r="A737" s="4"/>
      <c r="D737" s="25"/>
      <c r="E737" s="25"/>
      <c r="F737" s="25"/>
      <c r="G737" s="26"/>
      <c r="H737" s="4"/>
    </row>
    <row r="738">
      <c r="A738" s="4"/>
      <c r="D738" s="25"/>
      <c r="E738" s="25"/>
      <c r="F738" s="25"/>
      <c r="G738" s="26"/>
      <c r="H738" s="4"/>
    </row>
    <row r="739">
      <c r="A739" s="4"/>
      <c r="D739" s="25"/>
      <c r="E739" s="25"/>
      <c r="F739" s="25"/>
      <c r="G739" s="26"/>
      <c r="H739" s="4"/>
    </row>
    <row r="740">
      <c r="A740" s="4"/>
      <c r="D740" s="25"/>
      <c r="E740" s="25"/>
      <c r="F740" s="25"/>
      <c r="G740" s="26"/>
      <c r="H740" s="4"/>
    </row>
    <row r="741">
      <c r="A741" s="4"/>
      <c r="D741" s="25"/>
      <c r="E741" s="25"/>
      <c r="F741" s="25"/>
      <c r="G741" s="26"/>
      <c r="H741" s="4"/>
    </row>
    <row r="742">
      <c r="A742" s="4"/>
      <c r="D742" s="25"/>
      <c r="E742" s="25"/>
      <c r="F742" s="25"/>
      <c r="G742" s="26"/>
      <c r="H742" s="4"/>
    </row>
    <row r="743">
      <c r="A743" s="4"/>
      <c r="D743" s="25"/>
      <c r="E743" s="25"/>
      <c r="F743" s="25"/>
      <c r="G743" s="26"/>
      <c r="H743" s="4"/>
    </row>
    <row r="744">
      <c r="A744" s="4"/>
      <c r="D744" s="25"/>
      <c r="E744" s="25"/>
      <c r="F744" s="25"/>
      <c r="G744" s="26"/>
      <c r="H744" s="4"/>
    </row>
    <row r="745">
      <c r="A745" s="4"/>
      <c r="D745" s="25"/>
      <c r="E745" s="25"/>
      <c r="F745" s="25"/>
      <c r="G745" s="26"/>
      <c r="H745" s="4"/>
    </row>
    <row r="746">
      <c r="A746" s="4"/>
      <c r="D746" s="25"/>
      <c r="E746" s="25"/>
      <c r="F746" s="25"/>
      <c r="G746" s="26"/>
      <c r="H746" s="4"/>
    </row>
    <row r="747">
      <c r="A747" s="4"/>
      <c r="D747" s="25"/>
      <c r="E747" s="25"/>
      <c r="F747" s="25"/>
      <c r="G747" s="26"/>
      <c r="H747" s="4"/>
    </row>
    <row r="748">
      <c r="A748" s="4"/>
      <c r="D748" s="25"/>
      <c r="E748" s="25"/>
      <c r="F748" s="25"/>
      <c r="G748" s="26"/>
      <c r="H748" s="4"/>
    </row>
    <row r="749">
      <c r="A749" s="4"/>
      <c r="D749" s="25"/>
      <c r="E749" s="25"/>
      <c r="F749" s="25"/>
      <c r="G749" s="26"/>
      <c r="H749" s="4"/>
    </row>
    <row r="750">
      <c r="A750" s="4"/>
      <c r="D750" s="25"/>
      <c r="E750" s="25"/>
      <c r="F750" s="25"/>
      <c r="G750" s="26"/>
      <c r="H750" s="4"/>
    </row>
    <row r="751">
      <c r="A751" s="4"/>
      <c r="D751" s="25"/>
      <c r="E751" s="25"/>
      <c r="F751" s="25"/>
      <c r="G751" s="26"/>
      <c r="H751" s="4"/>
    </row>
    <row r="752">
      <c r="A752" s="4"/>
      <c r="D752" s="25"/>
      <c r="E752" s="25"/>
      <c r="F752" s="25"/>
      <c r="G752" s="26"/>
      <c r="H752" s="4"/>
    </row>
    <row r="753">
      <c r="A753" s="4"/>
      <c r="D753" s="25"/>
      <c r="E753" s="25"/>
      <c r="F753" s="25"/>
      <c r="G753" s="26"/>
      <c r="H753" s="4"/>
    </row>
    <row r="754">
      <c r="A754" s="4"/>
      <c r="D754" s="25"/>
      <c r="E754" s="25"/>
      <c r="F754" s="25"/>
      <c r="G754" s="26"/>
      <c r="H754" s="4"/>
    </row>
    <row r="755">
      <c r="A755" s="4"/>
      <c r="D755" s="25"/>
      <c r="E755" s="25"/>
      <c r="F755" s="25"/>
      <c r="G755" s="26"/>
      <c r="H755" s="4"/>
    </row>
    <row r="756">
      <c r="A756" s="4"/>
      <c r="D756" s="25"/>
      <c r="E756" s="25"/>
      <c r="F756" s="25"/>
      <c r="G756" s="26"/>
      <c r="H756" s="4"/>
    </row>
    <row r="757">
      <c r="A757" s="4"/>
      <c r="D757" s="25"/>
      <c r="E757" s="25"/>
      <c r="F757" s="25"/>
      <c r="G757" s="26"/>
      <c r="H757" s="4"/>
    </row>
    <row r="758">
      <c r="A758" s="4"/>
      <c r="D758" s="25"/>
      <c r="E758" s="25"/>
      <c r="F758" s="25"/>
      <c r="G758" s="26"/>
      <c r="H758" s="4"/>
    </row>
    <row r="759">
      <c r="A759" s="4"/>
      <c r="D759" s="25"/>
      <c r="E759" s="25"/>
      <c r="F759" s="25"/>
      <c r="G759" s="26"/>
      <c r="H759" s="4"/>
    </row>
    <row r="760">
      <c r="A760" s="4"/>
      <c r="D760" s="25"/>
      <c r="E760" s="25"/>
      <c r="F760" s="25"/>
      <c r="G760" s="26"/>
      <c r="H760" s="4"/>
    </row>
    <row r="761">
      <c r="A761" s="4"/>
      <c r="D761" s="25"/>
      <c r="E761" s="25"/>
      <c r="F761" s="25"/>
      <c r="G761" s="26"/>
      <c r="H761" s="4"/>
    </row>
    <row r="762">
      <c r="A762" s="4"/>
      <c r="D762" s="25"/>
      <c r="E762" s="25"/>
      <c r="F762" s="25"/>
      <c r="G762" s="26"/>
      <c r="H762" s="4"/>
    </row>
    <row r="763">
      <c r="A763" s="4"/>
      <c r="D763" s="25"/>
      <c r="E763" s="25"/>
      <c r="F763" s="25"/>
      <c r="G763" s="26"/>
      <c r="H763" s="4"/>
    </row>
    <row r="764">
      <c r="A764" s="4"/>
      <c r="D764" s="25"/>
      <c r="E764" s="25"/>
      <c r="F764" s="25"/>
      <c r="G764" s="26"/>
      <c r="H764" s="4"/>
    </row>
    <row r="765">
      <c r="A765" s="4"/>
      <c r="D765" s="25"/>
      <c r="E765" s="25"/>
      <c r="F765" s="25"/>
      <c r="G765" s="26"/>
      <c r="H765" s="4"/>
    </row>
    <row r="766">
      <c r="A766" s="4"/>
      <c r="D766" s="25"/>
      <c r="E766" s="25"/>
      <c r="F766" s="25"/>
      <c r="G766" s="26"/>
      <c r="H766" s="4"/>
    </row>
    <row r="767">
      <c r="A767" s="4"/>
      <c r="D767" s="25"/>
      <c r="E767" s="25"/>
      <c r="F767" s="25"/>
      <c r="G767" s="26"/>
      <c r="H767" s="4"/>
    </row>
    <row r="768">
      <c r="A768" s="4"/>
      <c r="D768" s="25"/>
      <c r="E768" s="25"/>
      <c r="F768" s="25"/>
      <c r="G768" s="26"/>
      <c r="H768" s="4"/>
    </row>
    <row r="769">
      <c r="A769" s="4"/>
      <c r="D769" s="25"/>
      <c r="E769" s="25"/>
      <c r="F769" s="25"/>
      <c r="G769" s="26"/>
      <c r="H769" s="4"/>
    </row>
    <row r="770">
      <c r="A770" s="4"/>
      <c r="D770" s="25"/>
      <c r="E770" s="25"/>
      <c r="F770" s="25"/>
      <c r="G770" s="26"/>
      <c r="H770" s="4"/>
    </row>
    <row r="771">
      <c r="A771" s="4"/>
      <c r="D771" s="25"/>
      <c r="E771" s="25"/>
      <c r="F771" s="25"/>
      <c r="G771" s="26"/>
      <c r="H771" s="4"/>
    </row>
    <row r="772">
      <c r="A772" s="4"/>
      <c r="D772" s="25"/>
      <c r="E772" s="25"/>
      <c r="F772" s="25"/>
      <c r="G772" s="26"/>
      <c r="H772" s="4"/>
    </row>
    <row r="773">
      <c r="A773" s="4"/>
      <c r="D773" s="25"/>
      <c r="E773" s="25"/>
      <c r="F773" s="25"/>
      <c r="G773" s="26"/>
      <c r="H773" s="4"/>
    </row>
    <row r="774">
      <c r="A774" s="4"/>
      <c r="D774" s="25"/>
      <c r="E774" s="25"/>
      <c r="F774" s="25"/>
      <c r="G774" s="26"/>
      <c r="H774" s="4"/>
    </row>
    <row r="775">
      <c r="A775" s="4"/>
      <c r="D775" s="25"/>
      <c r="E775" s="25"/>
      <c r="F775" s="25"/>
      <c r="G775" s="26"/>
      <c r="H775" s="4"/>
    </row>
    <row r="776">
      <c r="A776" s="4"/>
      <c r="D776" s="25"/>
      <c r="E776" s="25"/>
      <c r="F776" s="25"/>
      <c r="G776" s="26"/>
      <c r="H776" s="4"/>
    </row>
    <row r="777">
      <c r="A777" s="4"/>
      <c r="D777" s="25"/>
      <c r="E777" s="25"/>
      <c r="F777" s="25"/>
      <c r="G777" s="26"/>
      <c r="H777" s="4"/>
    </row>
    <row r="778">
      <c r="A778" s="4"/>
      <c r="D778" s="25"/>
      <c r="E778" s="25"/>
      <c r="F778" s="25"/>
      <c r="G778" s="26"/>
      <c r="H778" s="4"/>
    </row>
    <row r="779">
      <c r="A779" s="4"/>
      <c r="D779" s="25"/>
      <c r="E779" s="25"/>
      <c r="F779" s="25"/>
      <c r="G779" s="26"/>
      <c r="H779" s="4"/>
    </row>
    <row r="780">
      <c r="A780" s="4"/>
      <c r="D780" s="25"/>
      <c r="E780" s="25"/>
      <c r="F780" s="25"/>
      <c r="G780" s="26"/>
      <c r="H780" s="4"/>
    </row>
    <row r="781">
      <c r="A781" s="4"/>
      <c r="D781" s="25"/>
      <c r="E781" s="25"/>
      <c r="F781" s="25"/>
      <c r="G781" s="26"/>
      <c r="H781" s="4"/>
    </row>
    <row r="782">
      <c r="A782" s="4"/>
      <c r="D782" s="25"/>
      <c r="E782" s="25"/>
      <c r="F782" s="25"/>
      <c r="G782" s="26"/>
      <c r="H782" s="4"/>
    </row>
    <row r="783">
      <c r="A783" s="4"/>
      <c r="D783" s="25"/>
      <c r="E783" s="25"/>
      <c r="F783" s="25"/>
      <c r="G783" s="26"/>
      <c r="H783" s="4"/>
    </row>
    <row r="784">
      <c r="A784" s="4"/>
      <c r="D784" s="25"/>
      <c r="E784" s="25"/>
      <c r="F784" s="25"/>
      <c r="G784" s="26"/>
      <c r="H784" s="4"/>
    </row>
    <row r="785">
      <c r="A785" s="4"/>
      <c r="D785" s="25"/>
      <c r="E785" s="25"/>
      <c r="F785" s="25"/>
      <c r="G785" s="26"/>
      <c r="H785" s="4"/>
    </row>
    <row r="786">
      <c r="A786" s="4"/>
      <c r="D786" s="25"/>
      <c r="E786" s="25"/>
      <c r="F786" s="25"/>
      <c r="G786" s="26"/>
      <c r="H786" s="4"/>
    </row>
    <row r="787">
      <c r="A787" s="4"/>
      <c r="D787" s="25"/>
      <c r="E787" s="25"/>
      <c r="F787" s="25"/>
      <c r="G787" s="26"/>
      <c r="H787" s="4"/>
    </row>
    <row r="788">
      <c r="A788" s="4"/>
      <c r="D788" s="25"/>
      <c r="E788" s="25"/>
      <c r="F788" s="25"/>
      <c r="G788" s="26"/>
      <c r="H788" s="4"/>
    </row>
    <row r="789">
      <c r="A789" s="4"/>
      <c r="D789" s="25"/>
      <c r="E789" s="25"/>
      <c r="F789" s="25"/>
      <c r="G789" s="26"/>
      <c r="H789" s="4"/>
    </row>
    <row r="790">
      <c r="A790" s="4"/>
      <c r="D790" s="25"/>
      <c r="E790" s="25"/>
      <c r="F790" s="25"/>
      <c r="G790" s="26"/>
      <c r="H790" s="4"/>
    </row>
    <row r="791">
      <c r="A791" s="4"/>
      <c r="D791" s="25"/>
      <c r="E791" s="25"/>
      <c r="F791" s="25"/>
      <c r="G791" s="26"/>
      <c r="H791" s="4"/>
    </row>
    <row r="792">
      <c r="A792" s="4"/>
      <c r="D792" s="25"/>
      <c r="E792" s="25"/>
      <c r="F792" s="25"/>
      <c r="G792" s="26"/>
      <c r="H792" s="4"/>
    </row>
    <row r="793">
      <c r="A793" s="4"/>
      <c r="D793" s="25"/>
      <c r="E793" s="25"/>
      <c r="F793" s="25"/>
      <c r="G793" s="26"/>
      <c r="H793" s="4"/>
    </row>
    <row r="794">
      <c r="A794" s="4"/>
      <c r="D794" s="25"/>
      <c r="E794" s="25"/>
      <c r="F794" s="25"/>
      <c r="G794" s="26"/>
      <c r="H794" s="4"/>
    </row>
    <row r="795">
      <c r="A795" s="4"/>
      <c r="D795" s="25"/>
      <c r="E795" s="25"/>
      <c r="F795" s="25"/>
      <c r="G795" s="26"/>
      <c r="H795" s="4"/>
    </row>
    <row r="796">
      <c r="A796" s="4"/>
      <c r="D796" s="25"/>
      <c r="E796" s="25"/>
      <c r="F796" s="25"/>
      <c r="G796" s="26"/>
      <c r="H796" s="4"/>
    </row>
    <row r="797">
      <c r="A797" s="4"/>
      <c r="D797" s="25"/>
      <c r="E797" s="25"/>
      <c r="F797" s="25"/>
      <c r="G797" s="26"/>
      <c r="H797" s="4"/>
    </row>
    <row r="798">
      <c r="A798" s="4"/>
      <c r="D798" s="25"/>
      <c r="E798" s="25"/>
      <c r="F798" s="25"/>
      <c r="G798" s="26"/>
      <c r="H798" s="4"/>
    </row>
    <row r="799">
      <c r="A799" s="4"/>
      <c r="D799" s="25"/>
      <c r="E799" s="25"/>
      <c r="F799" s="25"/>
      <c r="G799" s="26"/>
      <c r="H799" s="4"/>
    </row>
    <row r="800">
      <c r="A800" s="4"/>
      <c r="D800" s="25"/>
      <c r="E800" s="25"/>
      <c r="F800" s="25"/>
      <c r="G800" s="26"/>
      <c r="H800" s="4"/>
    </row>
    <row r="801">
      <c r="A801" s="4"/>
      <c r="D801" s="25"/>
      <c r="E801" s="25"/>
      <c r="F801" s="25"/>
      <c r="G801" s="26"/>
      <c r="H801" s="4"/>
    </row>
    <row r="802">
      <c r="A802" s="4"/>
      <c r="D802" s="25"/>
      <c r="E802" s="25"/>
      <c r="F802" s="25"/>
      <c r="G802" s="26"/>
      <c r="H802" s="4"/>
    </row>
    <row r="803">
      <c r="A803" s="4"/>
      <c r="D803" s="25"/>
      <c r="E803" s="25"/>
      <c r="F803" s="25"/>
      <c r="G803" s="26"/>
      <c r="H803" s="4"/>
    </row>
    <row r="804">
      <c r="A804" s="4"/>
      <c r="D804" s="25"/>
      <c r="E804" s="25"/>
      <c r="F804" s="25"/>
      <c r="G804" s="26"/>
      <c r="H804" s="4"/>
    </row>
    <row r="805">
      <c r="A805" s="4"/>
      <c r="D805" s="25"/>
      <c r="E805" s="25"/>
      <c r="F805" s="25"/>
      <c r="G805" s="26"/>
      <c r="H805" s="4"/>
    </row>
    <row r="806">
      <c r="A806" s="4"/>
      <c r="D806" s="25"/>
      <c r="E806" s="25"/>
      <c r="F806" s="25"/>
      <c r="G806" s="26"/>
      <c r="H806" s="4"/>
    </row>
    <row r="807">
      <c r="A807" s="4"/>
      <c r="D807" s="25"/>
      <c r="E807" s="25"/>
      <c r="F807" s="25"/>
      <c r="G807" s="26"/>
      <c r="H807" s="4"/>
    </row>
    <row r="808">
      <c r="A808" s="4"/>
      <c r="D808" s="25"/>
      <c r="E808" s="25"/>
      <c r="F808" s="25"/>
      <c r="G808" s="26"/>
      <c r="H808" s="4"/>
    </row>
    <row r="809">
      <c r="A809" s="4"/>
      <c r="D809" s="25"/>
      <c r="E809" s="25"/>
      <c r="F809" s="25"/>
      <c r="G809" s="26"/>
      <c r="H809" s="4"/>
    </row>
    <row r="810">
      <c r="A810" s="4"/>
      <c r="D810" s="25"/>
      <c r="E810" s="25"/>
      <c r="F810" s="25"/>
      <c r="G810" s="26"/>
      <c r="H810" s="4"/>
    </row>
    <row r="811">
      <c r="A811" s="4"/>
      <c r="D811" s="25"/>
      <c r="E811" s="25"/>
      <c r="F811" s="25"/>
      <c r="G811" s="26"/>
      <c r="H811" s="4"/>
    </row>
    <row r="812">
      <c r="A812" s="4"/>
      <c r="D812" s="25"/>
      <c r="E812" s="25"/>
      <c r="F812" s="25"/>
      <c r="G812" s="26"/>
      <c r="H812" s="4"/>
    </row>
    <row r="813">
      <c r="A813" s="4"/>
      <c r="D813" s="25"/>
      <c r="E813" s="25"/>
      <c r="F813" s="25"/>
      <c r="G813" s="26"/>
      <c r="H813" s="4"/>
    </row>
    <row r="814">
      <c r="A814" s="4"/>
      <c r="D814" s="25"/>
      <c r="E814" s="25"/>
      <c r="F814" s="25"/>
      <c r="G814" s="26"/>
      <c r="H814" s="4"/>
    </row>
    <row r="815">
      <c r="A815" s="4"/>
      <c r="D815" s="25"/>
      <c r="E815" s="25"/>
      <c r="F815" s="25"/>
      <c r="G815" s="26"/>
      <c r="H815" s="4"/>
    </row>
    <row r="816">
      <c r="A816" s="4"/>
      <c r="D816" s="25"/>
      <c r="E816" s="25"/>
      <c r="F816" s="25"/>
      <c r="G816" s="26"/>
      <c r="H816" s="4"/>
    </row>
    <row r="817">
      <c r="A817" s="4"/>
      <c r="D817" s="25"/>
      <c r="E817" s="25"/>
      <c r="F817" s="25"/>
      <c r="G817" s="26"/>
      <c r="H817" s="4"/>
    </row>
    <row r="818">
      <c r="A818" s="4"/>
      <c r="D818" s="25"/>
      <c r="E818" s="25"/>
      <c r="F818" s="25"/>
      <c r="G818" s="26"/>
      <c r="H818" s="4"/>
    </row>
    <row r="819">
      <c r="A819" s="4"/>
      <c r="D819" s="25"/>
      <c r="E819" s="25"/>
      <c r="F819" s="25"/>
      <c r="G819" s="26"/>
      <c r="H819" s="4"/>
    </row>
    <row r="820">
      <c r="A820" s="4"/>
      <c r="D820" s="25"/>
      <c r="E820" s="25"/>
      <c r="F820" s="25"/>
      <c r="G820" s="26"/>
      <c r="H820" s="4"/>
    </row>
    <row r="821">
      <c r="A821" s="4"/>
      <c r="D821" s="25"/>
      <c r="E821" s="25"/>
      <c r="F821" s="25"/>
      <c r="G821" s="26"/>
      <c r="H821" s="4"/>
    </row>
    <row r="822">
      <c r="A822" s="4"/>
      <c r="D822" s="25"/>
      <c r="E822" s="25"/>
      <c r="F822" s="25"/>
      <c r="G822" s="26"/>
      <c r="H822" s="4"/>
    </row>
    <row r="823">
      <c r="A823" s="4"/>
      <c r="D823" s="25"/>
      <c r="E823" s="25"/>
      <c r="F823" s="25"/>
      <c r="G823" s="26"/>
      <c r="H823" s="4"/>
    </row>
    <row r="824">
      <c r="A824" s="4"/>
      <c r="D824" s="25"/>
      <c r="E824" s="25"/>
      <c r="F824" s="25"/>
      <c r="G824" s="26"/>
      <c r="H824" s="4"/>
    </row>
    <row r="825">
      <c r="A825" s="4"/>
      <c r="D825" s="25"/>
      <c r="E825" s="25"/>
      <c r="F825" s="25"/>
      <c r="G825" s="26"/>
      <c r="H825" s="4"/>
    </row>
    <row r="826">
      <c r="A826" s="4"/>
      <c r="D826" s="25"/>
      <c r="E826" s="25"/>
      <c r="F826" s="25"/>
      <c r="G826" s="26"/>
      <c r="H826" s="4"/>
    </row>
    <row r="827">
      <c r="A827" s="4"/>
      <c r="D827" s="25"/>
      <c r="E827" s="25"/>
      <c r="F827" s="25"/>
      <c r="G827" s="26"/>
      <c r="H827" s="4"/>
    </row>
    <row r="828">
      <c r="A828" s="4"/>
      <c r="D828" s="25"/>
      <c r="E828" s="25"/>
      <c r="F828" s="25"/>
      <c r="G828" s="26"/>
      <c r="H828" s="4"/>
    </row>
    <row r="829">
      <c r="A829" s="4"/>
      <c r="D829" s="25"/>
      <c r="E829" s="25"/>
      <c r="F829" s="25"/>
      <c r="G829" s="26"/>
      <c r="H829" s="4"/>
    </row>
    <row r="830">
      <c r="A830" s="4"/>
      <c r="D830" s="25"/>
      <c r="E830" s="25"/>
      <c r="F830" s="25"/>
      <c r="G830" s="26"/>
      <c r="H830" s="4"/>
    </row>
    <row r="831">
      <c r="A831" s="4"/>
      <c r="D831" s="25"/>
      <c r="E831" s="25"/>
      <c r="F831" s="25"/>
      <c r="G831" s="26"/>
      <c r="H831" s="4"/>
    </row>
    <row r="832">
      <c r="A832" s="4"/>
      <c r="D832" s="25"/>
      <c r="E832" s="25"/>
      <c r="F832" s="25"/>
      <c r="G832" s="26"/>
      <c r="H832" s="4"/>
    </row>
    <row r="833">
      <c r="A833" s="4"/>
      <c r="D833" s="25"/>
      <c r="E833" s="25"/>
      <c r="F833" s="25"/>
      <c r="G833" s="26"/>
      <c r="H833" s="4"/>
    </row>
    <row r="834">
      <c r="A834" s="4"/>
      <c r="D834" s="25"/>
      <c r="E834" s="25"/>
      <c r="F834" s="25"/>
      <c r="G834" s="26"/>
      <c r="H834" s="4"/>
    </row>
    <row r="835">
      <c r="A835" s="4"/>
      <c r="D835" s="25"/>
      <c r="E835" s="25"/>
      <c r="F835" s="25"/>
      <c r="G835" s="26"/>
      <c r="H835" s="4"/>
    </row>
    <row r="836">
      <c r="A836" s="4"/>
      <c r="D836" s="25"/>
      <c r="E836" s="25"/>
      <c r="F836" s="25"/>
      <c r="G836" s="26"/>
      <c r="H836" s="4"/>
    </row>
    <row r="837">
      <c r="A837" s="4"/>
      <c r="D837" s="25"/>
      <c r="E837" s="25"/>
      <c r="F837" s="25"/>
      <c r="G837" s="26"/>
      <c r="H837" s="4"/>
    </row>
    <row r="838">
      <c r="A838" s="4"/>
      <c r="D838" s="25"/>
      <c r="E838" s="25"/>
      <c r="F838" s="25"/>
      <c r="G838" s="26"/>
      <c r="H838" s="4"/>
    </row>
    <row r="839">
      <c r="A839" s="4"/>
      <c r="D839" s="25"/>
      <c r="E839" s="25"/>
      <c r="F839" s="25"/>
      <c r="G839" s="26"/>
      <c r="H839" s="4"/>
    </row>
    <row r="840">
      <c r="A840" s="4"/>
      <c r="D840" s="25"/>
      <c r="E840" s="25"/>
      <c r="F840" s="25"/>
      <c r="G840" s="26"/>
      <c r="H840" s="4"/>
    </row>
    <row r="841">
      <c r="A841" s="4"/>
      <c r="D841" s="25"/>
      <c r="E841" s="25"/>
      <c r="F841" s="25"/>
      <c r="G841" s="26"/>
      <c r="H841" s="4"/>
    </row>
    <row r="842">
      <c r="A842" s="4"/>
      <c r="D842" s="25"/>
      <c r="E842" s="25"/>
      <c r="F842" s="25"/>
      <c r="G842" s="26"/>
      <c r="H842" s="4"/>
    </row>
    <row r="843">
      <c r="A843" s="4"/>
      <c r="D843" s="25"/>
      <c r="E843" s="25"/>
      <c r="F843" s="25"/>
      <c r="G843" s="26"/>
      <c r="H843" s="4"/>
    </row>
    <row r="844">
      <c r="A844" s="4"/>
      <c r="D844" s="25"/>
      <c r="E844" s="25"/>
      <c r="F844" s="25"/>
      <c r="G844" s="26"/>
      <c r="H844" s="4"/>
    </row>
    <row r="845">
      <c r="A845" s="4"/>
      <c r="D845" s="25"/>
      <c r="E845" s="25"/>
      <c r="F845" s="25"/>
      <c r="G845" s="26"/>
      <c r="H845" s="4"/>
    </row>
    <row r="846">
      <c r="A846" s="4"/>
      <c r="D846" s="25"/>
      <c r="E846" s="25"/>
      <c r="F846" s="25"/>
      <c r="G846" s="26"/>
      <c r="H846" s="4"/>
    </row>
    <row r="847">
      <c r="A847" s="4"/>
      <c r="D847" s="25"/>
      <c r="E847" s="25"/>
      <c r="F847" s="25"/>
      <c r="G847" s="26"/>
      <c r="H847" s="4"/>
    </row>
    <row r="848">
      <c r="A848" s="4"/>
      <c r="D848" s="25"/>
      <c r="E848" s="25"/>
      <c r="F848" s="25"/>
      <c r="G848" s="26"/>
      <c r="H848" s="4"/>
    </row>
    <row r="849">
      <c r="A849" s="4"/>
      <c r="D849" s="25"/>
      <c r="E849" s="25"/>
      <c r="F849" s="25"/>
      <c r="G849" s="26"/>
      <c r="H849" s="4"/>
    </row>
    <row r="850">
      <c r="A850" s="4"/>
      <c r="D850" s="25"/>
      <c r="E850" s="25"/>
      <c r="F850" s="25"/>
      <c r="G850" s="26"/>
      <c r="H850" s="4"/>
    </row>
    <row r="851">
      <c r="A851" s="4"/>
      <c r="D851" s="25"/>
      <c r="E851" s="25"/>
      <c r="F851" s="25"/>
      <c r="G851" s="26"/>
      <c r="H851" s="4"/>
    </row>
    <row r="852">
      <c r="A852" s="4"/>
      <c r="D852" s="25"/>
      <c r="E852" s="25"/>
      <c r="F852" s="25"/>
      <c r="G852" s="26"/>
      <c r="H852" s="4"/>
    </row>
    <row r="853">
      <c r="A853" s="4"/>
      <c r="D853" s="25"/>
      <c r="E853" s="25"/>
      <c r="F853" s="25"/>
      <c r="G853" s="26"/>
      <c r="H853" s="4"/>
    </row>
    <row r="854">
      <c r="A854" s="4"/>
      <c r="D854" s="25"/>
      <c r="E854" s="25"/>
      <c r="F854" s="25"/>
      <c r="G854" s="26"/>
      <c r="H854" s="4"/>
    </row>
    <row r="855">
      <c r="A855" s="4"/>
      <c r="D855" s="25"/>
      <c r="E855" s="25"/>
      <c r="F855" s="25"/>
      <c r="G855" s="26"/>
      <c r="H855" s="4"/>
    </row>
    <row r="856">
      <c r="A856" s="4"/>
      <c r="D856" s="25"/>
      <c r="E856" s="25"/>
      <c r="F856" s="25"/>
      <c r="G856" s="26"/>
      <c r="H856" s="4"/>
    </row>
    <row r="857">
      <c r="A857" s="4"/>
      <c r="D857" s="25"/>
      <c r="E857" s="25"/>
      <c r="F857" s="25"/>
      <c r="G857" s="26"/>
      <c r="H857" s="4"/>
    </row>
    <row r="858">
      <c r="A858" s="4"/>
      <c r="D858" s="25"/>
      <c r="E858" s="25"/>
      <c r="F858" s="25"/>
      <c r="G858" s="26"/>
      <c r="H858" s="4"/>
    </row>
    <row r="859">
      <c r="A859" s="4"/>
      <c r="D859" s="25"/>
      <c r="E859" s="25"/>
      <c r="F859" s="25"/>
      <c r="G859" s="26"/>
      <c r="H859" s="4"/>
    </row>
    <row r="860">
      <c r="A860" s="4"/>
      <c r="D860" s="25"/>
      <c r="E860" s="25"/>
      <c r="F860" s="25"/>
      <c r="G860" s="26"/>
      <c r="H860" s="4"/>
    </row>
    <row r="861">
      <c r="A861" s="4"/>
      <c r="D861" s="25"/>
      <c r="E861" s="25"/>
      <c r="F861" s="25"/>
      <c r="G861" s="26"/>
      <c r="H861" s="4"/>
    </row>
    <row r="862">
      <c r="A862" s="4"/>
      <c r="D862" s="25"/>
      <c r="E862" s="25"/>
      <c r="F862" s="25"/>
      <c r="G862" s="26"/>
      <c r="H862" s="4"/>
    </row>
    <row r="863">
      <c r="A863" s="4"/>
      <c r="D863" s="25"/>
      <c r="E863" s="25"/>
      <c r="F863" s="25"/>
      <c r="G863" s="26"/>
      <c r="H863" s="4"/>
    </row>
    <row r="864">
      <c r="A864" s="4"/>
      <c r="D864" s="25"/>
      <c r="E864" s="25"/>
      <c r="F864" s="25"/>
      <c r="G864" s="26"/>
      <c r="H864" s="4"/>
    </row>
    <row r="865">
      <c r="A865" s="4"/>
      <c r="D865" s="25"/>
      <c r="E865" s="25"/>
      <c r="F865" s="25"/>
      <c r="G865" s="26"/>
      <c r="H865" s="4"/>
    </row>
    <row r="866">
      <c r="A866" s="4"/>
      <c r="D866" s="25"/>
      <c r="E866" s="25"/>
      <c r="F866" s="25"/>
      <c r="G866" s="26"/>
      <c r="H866" s="4"/>
    </row>
    <row r="867">
      <c r="A867" s="4"/>
      <c r="D867" s="25"/>
      <c r="E867" s="25"/>
      <c r="F867" s="25"/>
      <c r="G867" s="26"/>
      <c r="H867" s="4"/>
    </row>
    <row r="868">
      <c r="A868" s="4"/>
      <c r="D868" s="25"/>
      <c r="E868" s="25"/>
      <c r="F868" s="25"/>
      <c r="G868" s="26"/>
      <c r="H868" s="4"/>
    </row>
    <row r="869">
      <c r="A869" s="4"/>
      <c r="D869" s="25"/>
      <c r="E869" s="25"/>
      <c r="F869" s="25"/>
      <c r="G869" s="26"/>
      <c r="H869" s="4"/>
    </row>
    <row r="870">
      <c r="A870" s="4"/>
      <c r="D870" s="25"/>
      <c r="E870" s="25"/>
      <c r="F870" s="25"/>
      <c r="G870" s="26"/>
      <c r="H870" s="4"/>
    </row>
    <row r="871">
      <c r="A871" s="4"/>
      <c r="D871" s="25"/>
      <c r="E871" s="25"/>
      <c r="F871" s="25"/>
      <c r="G871" s="26"/>
      <c r="H871" s="4"/>
    </row>
    <row r="872">
      <c r="A872" s="4"/>
      <c r="D872" s="25"/>
      <c r="E872" s="25"/>
      <c r="F872" s="25"/>
      <c r="G872" s="26"/>
      <c r="H872" s="4"/>
    </row>
    <row r="873">
      <c r="A873" s="4"/>
      <c r="D873" s="25"/>
      <c r="E873" s="25"/>
      <c r="F873" s="25"/>
      <c r="G873" s="26"/>
      <c r="H873" s="4"/>
    </row>
    <row r="874">
      <c r="A874" s="4"/>
      <c r="D874" s="25"/>
      <c r="E874" s="25"/>
      <c r="F874" s="25"/>
      <c r="G874" s="26"/>
      <c r="H874" s="4"/>
    </row>
    <row r="875">
      <c r="A875" s="4"/>
      <c r="D875" s="25"/>
      <c r="E875" s="25"/>
      <c r="F875" s="25"/>
      <c r="G875" s="26"/>
      <c r="H875" s="4"/>
    </row>
    <row r="876">
      <c r="A876" s="4"/>
      <c r="D876" s="25"/>
      <c r="E876" s="25"/>
      <c r="F876" s="25"/>
      <c r="G876" s="26"/>
      <c r="H876" s="4"/>
    </row>
    <row r="877">
      <c r="A877" s="4"/>
      <c r="D877" s="25"/>
      <c r="E877" s="25"/>
      <c r="F877" s="25"/>
      <c r="G877" s="26"/>
      <c r="H877" s="4"/>
    </row>
    <row r="878">
      <c r="A878" s="4"/>
      <c r="D878" s="25"/>
      <c r="E878" s="25"/>
      <c r="F878" s="25"/>
      <c r="G878" s="26"/>
      <c r="H878" s="4"/>
    </row>
    <row r="879">
      <c r="A879" s="4"/>
      <c r="D879" s="25"/>
      <c r="E879" s="25"/>
      <c r="F879" s="25"/>
      <c r="G879" s="26"/>
      <c r="H879" s="4"/>
    </row>
    <row r="880">
      <c r="A880" s="4"/>
      <c r="D880" s="25"/>
      <c r="E880" s="25"/>
      <c r="F880" s="25"/>
      <c r="G880" s="26"/>
      <c r="H880" s="4"/>
    </row>
    <row r="881">
      <c r="A881" s="4"/>
      <c r="D881" s="25"/>
      <c r="E881" s="25"/>
      <c r="F881" s="25"/>
      <c r="G881" s="26"/>
      <c r="H881" s="4"/>
    </row>
    <row r="882">
      <c r="A882" s="4"/>
      <c r="D882" s="25"/>
      <c r="E882" s="25"/>
      <c r="F882" s="25"/>
      <c r="G882" s="26"/>
      <c r="H882" s="4"/>
    </row>
    <row r="883">
      <c r="A883" s="4"/>
      <c r="D883" s="25"/>
      <c r="E883" s="25"/>
      <c r="F883" s="25"/>
      <c r="G883" s="26"/>
      <c r="H883" s="4"/>
    </row>
    <row r="884">
      <c r="A884" s="4"/>
      <c r="D884" s="25"/>
      <c r="E884" s="25"/>
      <c r="F884" s="25"/>
      <c r="G884" s="26"/>
      <c r="H884" s="4"/>
    </row>
    <row r="885">
      <c r="A885" s="4"/>
      <c r="D885" s="25"/>
      <c r="E885" s="25"/>
      <c r="F885" s="25"/>
      <c r="G885" s="26"/>
      <c r="H885" s="4"/>
    </row>
    <row r="886">
      <c r="A886" s="4"/>
      <c r="D886" s="25"/>
      <c r="E886" s="25"/>
      <c r="F886" s="25"/>
      <c r="G886" s="26"/>
      <c r="H886" s="4"/>
    </row>
    <row r="887">
      <c r="A887" s="4"/>
      <c r="D887" s="25"/>
      <c r="E887" s="25"/>
      <c r="F887" s="25"/>
      <c r="G887" s="26"/>
      <c r="H887" s="4"/>
    </row>
    <row r="888">
      <c r="A888" s="4"/>
      <c r="D888" s="25"/>
      <c r="E888" s="25"/>
      <c r="F888" s="25"/>
      <c r="G888" s="26"/>
      <c r="H888" s="4"/>
    </row>
    <row r="889">
      <c r="A889" s="4"/>
      <c r="D889" s="25"/>
      <c r="E889" s="25"/>
      <c r="F889" s="25"/>
      <c r="G889" s="26"/>
      <c r="H889" s="4"/>
    </row>
    <row r="890">
      <c r="A890" s="4"/>
      <c r="D890" s="25"/>
      <c r="E890" s="25"/>
      <c r="F890" s="25"/>
      <c r="G890" s="26"/>
      <c r="H890" s="4"/>
    </row>
    <row r="891">
      <c r="A891" s="4"/>
      <c r="D891" s="25"/>
      <c r="E891" s="25"/>
      <c r="F891" s="25"/>
      <c r="G891" s="26"/>
      <c r="H891" s="4"/>
    </row>
    <row r="892">
      <c r="A892" s="4"/>
      <c r="D892" s="25"/>
      <c r="E892" s="25"/>
      <c r="F892" s="25"/>
      <c r="G892" s="26"/>
      <c r="H892" s="4"/>
    </row>
    <row r="893">
      <c r="A893" s="4"/>
      <c r="D893" s="25"/>
      <c r="E893" s="25"/>
      <c r="F893" s="25"/>
      <c r="G893" s="26"/>
      <c r="H893" s="4"/>
    </row>
    <row r="894">
      <c r="A894" s="4"/>
      <c r="D894" s="25"/>
      <c r="E894" s="25"/>
      <c r="F894" s="25"/>
      <c r="G894" s="26"/>
      <c r="H894" s="4"/>
    </row>
    <row r="895">
      <c r="A895" s="4"/>
      <c r="D895" s="25"/>
      <c r="E895" s="25"/>
      <c r="F895" s="25"/>
      <c r="G895" s="26"/>
      <c r="H895" s="4"/>
    </row>
    <row r="896">
      <c r="A896" s="4"/>
      <c r="D896" s="25"/>
      <c r="E896" s="25"/>
      <c r="F896" s="25"/>
      <c r="G896" s="26"/>
      <c r="H896" s="4"/>
    </row>
    <row r="897">
      <c r="A897" s="4"/>
      <c r="D897" s="25"/>
      <c r="E897" s="25"/>
      <c r="F897" s="25"/>
      <c r="G897" s="26"/>
      <c r="H897" s="4"/>
    </row>
    <row r="898">
      <c r="A898" s="4"/>
      <c r="D898" s="25"/>
      <c r="E898" s="25"/>
      <c r="F898" s="25"/>
      <c r="G898" s="26"/>
      <c r="H898" s="4"/>
    </row>
    <row r="899">
      <c r="A899" s="4"/>
      <c r="D899" s="25"/>
      <c r="E899" s="25"/>
      <c r="F899" s="25"/>
      <c r="G899" s="26"/>
      <c r="H899" s="4"/>
    </row>
    <row r="900">
      <c r="A900" s="4"/>
      <c r="D900" s="25"/>
      <c r="E900" s="25"/>
      <c r="F900" s="25"/>
      <c r="G900" s="26"/>
      <c r="H900" s="4"/>
    </row>
    <row r="901">
      <c r="A901" s="4"/>
      <c r="D901" s="25"/>
      <c r="E901" s="25"/>
      <c r="F901" s="25"/>
      <c r="G901" s="26"/>
      <c r="H901" s="4"/>
    </row>
    <row r="902">
      <c r="A902" s="4"/>
      <c r="D902" s="25"/>
      <c r="E902" s="25"/>
      <c r="F902" s="25"/>
      <c r="G902" s="26"/>
      <c r="H902" s="4"/>
    </row>
    <row r="903">
      <c r="A903" s="4"/>
      <c r="D903" s="25"/>
      <c r="E903" s="25"/>
      <c r="F903" s="25"/>
      <c r="G903" s="26"/>
      <c r="H903" s="4"/>
    </row>
    <row r="904">
      <c r="A904" s="4"/>
      <c r="D904" s="25"/>
      <c r="E904" s="25"/>
      <c r="F904" s="25"/>
      <c r="G904" s="26"/>
      <c r="H904" s="4"/>
    </row>
    <row r="905">
      <c r="A905" s="4"/>
      <c r="D905" s="25"/>
      <c r="E905" s="25"/>
      <c r="F905" s="25"/>
      <c r="G905" s="26"/>
      <c r="H905" s="4"/>
    </row>
    <row r="906">
      <c r="A906" s="4"/>
      <c r="D906" s="25"/>
      <c r="E906" s="25"/>
      <c r="F906" s="25"/>
      <c r="G906" s="26"/>
      <c r="H906" s="4"/>
    </row>
    <row r="907">
      <c r="A907" s="4"/>
      <c r="D907" s="25"/>
      <c r="E907" s="25"/>
      <c r="F907" s="25"/>
      <c r="G907" s="26"/>
      <c r="H907" s="4"/>
    </row>
    <row r="908">
      <c r="A908" s="4"/>
      <c r="D908" s="25"/>
      <c r="E908" s="25"/>
      <c r="F908" s="25"/>
      <c r="G908" s="26"/>
      <c r="H908" s="4"/>
    </row>
    <row r="909">
      <c r="A909" s="4"/>
      <c r="D909" s="25"/>
      <c r="E909" s="25"/>
      <c r="F909" s="25"/>
      <c r="G909" s="26"/>
      <c r="H909" s="4"/>
    </row>
    <row r="910">
      <c r="A910" s="4"/>
      <c r="D910" s="25"/>
      <c r="E910" s="25"/>
      <c r="F910" s="25"/>
      <c r="G910" s="26"/>
      <c r="H910" s="4"/>
    </row>
    <row r="911">
      <c r="A911" s="4"/>
      <c r="D911" s="25"/>
      <c r="E911" s="25"/>
      <c r="F911" s="25"/>
      <c r="G911" s="26"/>
      <c r="H911" s="4"/>
    </row>
    <row r="912">
      <c r="A912" s="4"/>
      <c r="D912" s="25"/>
      <c r="E912" s="25"/>
      <c r="F912" s="25"/>
      <c r="G912" s="26"/>
      <c r="H912" s="4"/>
    </row>
    <row r="913">
      <c r="A913" s="4"/>
      <c r="D913" s="25"/>
      <c r="E913" s="25"/>
      <c r="F913" s="25"/>
      <c r="G913" s="26"/>
      <c r="H913" s="4"/>
    </row>
    <row r="914">
      <c r="A914" s="4"/>
      <c r="D914" s="25"/>
      <c r="E914" s="25"/>
      <c r="F914" s="25"/>
      <c r="G914" s="26"/>
      <c r="H914" s="4"/>
    </row>
    <row r="915">
      <c r="A915" s="4"/>
      <c r="D915" s="25"/>
      <c r="E915" s="25"/>
      <c r="F915" s="25"/>
      <c r="G915" s="26"/>
      <c r="H915" s="4"/>
    </row>
    <row r="916">
      <c r="A916" s="4"/>
      <c r="D916" s="25"/>
      <c r="E916" s="25"/>
      <c r="F916" s="25"/>
      <c r="G916" s="26"/>
      <c r="H916" s="4"/>
    </row>
    <row r="917">
      <c r="A917" s="4"/>
      <c r="D917" s="25"/>
      <c r="E917" s="25"/>
      <c r="F917" s="25"/>
      <c r="G917" s="26"/>
      <c r="H917" s="4"/>
    </row>
    <row r="918">
      <c r="A918" s="4"/>
      <c r="D918" s="25"/>
      <c r="E918" s="25"/>
      <c r="F918" s="25"/>
      <c r="G918" s="26"/>
      <c r="H918" s="4"/>
    </row>
    <row r="919">
      <c r="A919" s="4"/>
      <c r="D919" s="25"/>
      <c r="E919" s="25"/>
      <c r="F919" s="25"/>
      <c r="G919" s="26"/>
      <c r="H919" s="4"/>
    </row>
    <row r="920">
      <c r="A920" s="4"/>
      <c r="D920" s="25"/>
      <c r="E920" s="25"/>
      <c r="F920" s="25"/>
      <c r="G920" s="26"/>
      <c r="H920" s="4"/>
    </row>
    <row r="921">
      <c r="A921" s="4"/>
      <c r="D921" s="25"/>
      <c r="E921" s="25"/>
      <c r="F921" s="25"/>
      <c r="G921" s="26"/>
      <c r="H921" s="4"/>
    </row>
    <row r="922">
      <c r="A922" s="4"/>
      <c r="D922" s="25"/>
      <c r="E922" s="25"/>
      <c r="F922" s="25"/>
      <c r="G922" s="26"/>
      <c r="H922" s="4"/>
    </row>
    <row r="923">
      <c r="A923" s="4"/>
      <c r="D923" s="25"/>
      <c r="E923" s="25"/>
      <c r="F923" s="25"/>
      <c r="G923" s="26"/>
      <c r="H923" s="4"/>
    </row>
    <row r="924">
      <c r="A924" s="4"/>
      <c r="D924" s="25"/>
      <c r="E924" s="25"/>
      <c r="F924" s="25"/>
      <c r="G924" s="26"/>
      <c r="H924" s="4"/>
    </row>
    <row r="925">
      <c r="A925" s="4"/>
      <c r="D925" s="25"/>
      <c r="E925" s="25"/>
      <c r="F925" s="25"/>
      <c r="G925" s="26"/>
      <c r="H925" s="4"/>
    </row>
    <row r="926">
      <c r="A926" s="4"/>
      <c r="D926" s="25"/>
      <c r="E926" s="25"/>
      <c r="F926" s="25"/>
      <c r="G926" s="26"/>
      <c r="H926" s="4"/>
    </row>
    <row r="927">
      <c r="A927" s="4"/>
      <c r="D927" s="25"/>
      <c r="E927" s="25"/>
      <c r="F927" s="25"/>
      <c r="G927" s="26"/>
      <c r="H927" s="4"/>
    </row>
    <row r="928">
      <c r="A928" s="4"/>
      <c r="D928" s="25"/>
      <c r="E928" s="25"/>
      <c r="F928" s="25"/>
      <c r="G928" s="26"/>
      <c r="H928" s="4"/>
    </row>
    <row r="929">
      <c r="A929" s="4"/>
      <c r="D929" s="25"/>
      <c r="E929" s="25"/>
      <c r="F929" s="25"/>
      <c r="G929" s="26"/>
      <c r="H929" s="4"/>
    </row>
    <row r="930">
      <c r="A930" s="4"/>
      <c r="D930" s="25"/>
      <c r="E930" s="25"/>
      <c r="F930" s="25"/>
      <c r="G930" s="26"/>
      <c r="H930" s="4"/>
    </row>
    <row r="931">
      <c r="A931" s="4"/>
      <c r="D931" s="25"/>
      <c r="E931" s="25"/>
      <c r="F931" s="25"/>
      <c r="G931" s="26"/>
      <c r="H931" s="4"/>
    </row>
    <row r="932">
      <c r="A932" s="4"/>
      <c r="D932" s="25"/>
      <c r="E932" s="25"/>
      <c r="F932" s="25"/>
      <c r="G932" s="26"/>
      <c r="H932" s="4"/>
    </row>
    <row r="933">
      <c r="A933" s="4"/>
      <c r="D933" s="25"/>
      <c r="E933" s="25"/>
      <c r="F933" s="25"/>
      <c r="G933" s="26"/>
      <c r="H933" s="4"/>
    </row>
    <row r="934">
      <c r="A934" s="4"/>
      <c r="D934" s="25"/>
      <c r="E934" s="25"/>
      <c r="F934" s="25"/>
      <c r="G934" s="26"/>
      <c r="H934" s="4"/>
    </row>
    <row r="935">
      <c r="A935" s="4"/>
      <c r="D935" s="25"/>
      <c r="E935" s="25"/>
      <c r="F935" s="25"/>
      <c r="G935" s="26"/>
      <c r="H935" s="4"/>
    </row>
    <row r="936">
      <c r="A936" s="4"/>
      <c r="D936" s="25"/>
      <c r="E936" s="25"/>
      <c r="F936" s="25"/>
      <c r="G936" s="26"/>
      <c r="H936" s="4"/>
    </row>
    <row r="937">
      <c r="A937" s="4"/>
      <c r="D937" s="25"/>
      <c r="E937" s="25"/>
      <c r="F937" s="25"/>
      <c r="G937" s="26"/>
      <c r="H937" s="4"/>
    </row>
    <row r="938">
      <c r="A938" s="4"/>
      <c r="D938" s="25"/>
      <c r="E938" s="25"/>
      <c r="F938" s="25"/>
      <c r="G938" s="26"/>
      <c r="H938" s="4"/>
    </row>
    <row r="939">
      <c r="A939" s="4"/>
      <c r="D939" s="25"/>
      <c r="E939" s="25"/>
      <c r="F939" s="25"/>
      <c r="G939" s="26"/>
      <c r="H939" s="4"/>
    </row>
    <row r="940">
      <c r="A940" s="4"/>
      <c r="D940" s="25"/>
      <c r="E940" s="25"/>
      <c r="F940" s="25"/>
      <c r="G940" s="26"/>
      <c r="H940" s="4"/>
    </row>
    <row r="941">
      <c r="A941" s="4"/>
      <c r="D941" s="25"/>
      <c r="E941" s="25"/>
      <c r="F941" s="25"/>
      <c r="G941" s="26"/>
      <c r="H941" s="4"/>
    </row>
    <row r="942">
      <c r="A942" s="4"/>
      <c r="D942" s="25"/>
      <c r="E942" s="25"/>
      <c r="F942" s="25"/>
      <c r="G942" s="26"/>
      <c r="H942" s="4"/>
    </row>
    <row r="943">
      <c r="A943" s="4"/>
      <c r="D943" s="25"/>
      <c r="E943" s="25"/>
      <c r="F943" s="25"/>
      <c r="G943" s="26"/>
      <c r="H943" s="4"/>
    </row>
    <row r="944">
      <c r="A944" s="4"/>
      <c r="D944" s="25"/>
      <c r="E944" s="25"/>
      <c r="F944" s="25"/>
      <c r="G944" s="26"/>
      <c r="H944" s="4"/>
    </row>
    <row r="945">
      <c r="A945" s="4"/>
      <c r="D945" s="25"/>
      <c r="E945" s="25"/>
      <c r="F945" s="25"/>
      <c r="G945" s="26"/>
      <c r="H945" s="4"/>
    </row>
    <row r="946">
      <c r="A946" s="4"/>
      <c r="D946" s="25"/>
      <c r="E946" s="25"/>
      <c r="F946" s="25"/>
      <c r="G946" s="26"/>
      <c r="H946" s="4"/>
    </row>
    <row r="947">
      <c r="A947" s="4"/>
      <c r="D947" s="25"/>
      <c r="E947" s="25"/>
      <c r="F947" s="25"/>
      <c r="G947" s="26"/>
      <c r="H947" s="4"/>
    </row>
    <row r="948">
      <c r="A948" s="4"/>
      <c r="D948" s="25"/>
      <c r="E948" s="25"/>
      <c r="F948" s="25"/>
      <c r="G948" s="26"/>
      <c r="H948" s="4"/>
    </row>
    <row r="949">
      <c r="A949" s="4"/>
      <c r="D949" s="25"/>
      <c r="E949" s="25"/>
      <c r="F949" s="25"/>
      <c r="G949" s="26"/>
      <c r="H949" s="4"/>
    </row>
    <row r="950">
      <c r="A950" s="4"/>
      <c r="D950" s="25"/>
      <c r="E950" s="25"/>
      <c r="F950" s="25"/>
      <c r="G950" s="26"/>
      <c r="H950" s="4"/>
    </row>
    <row r="951">
      <c r="A951" s="4"/>
      <c r="D951" s="25"/>
      <c r="E951" s="25"/>
      <c r="F951" s="25"/>
      <c r="G951" s="26"/>
      <c r="H951" s="4"/>
    </row>
    <row r="952">
      <c r="A952" s="4"/>
      <c r="D952" s="25"/>
      <c r="E952" s="25"/>
      <c r="F952" s="25"/>
      <c r="G952" s="26"/>
      <c r="H952" s="4"/>
    </row>
    <row r="953">
      <c r="A953" s="4"/>
      <c r="D953" s="25"/>
      <c r="E953" s="25"/>
      <c r="F953" s="25"/>
      <c r="G953" s="26"/>
      <c r="H953" s="4"/>
    </row>
    <row r="954">
      <c r="A954" s="4"/>
      <c r="D954" s="25"/>
      <c r="E954" s="25"/>
      <c r="F954" s="25"/>
      <c r="G954" s="26"/>
      <c r="H954" s="4"/>
    </row>
    <row r="955">
      <c r="A955" s="4"/>
      <c r="D955" s="25"/>
      <c r="E955" s="25"/>
      <c r="F955" s="25"/>
      <c r="G955" s="26"/>
      <c r="H955" s="4"/>
    </row>
    <row r="956">
      <c r="A956" s="4"/>
      <c r="D956" s="25"/>
      <c r="E956" s="25"/>
      <c r="F956" s="25"/>
      <c r="G956" s="26"/>
      <c r="H956" s="4"/>
    </row>
    <row r="957">
      <c r="A957" s="4"/>
      <c r="D957" s="25"/>
      <c r="E957" s="25"/>
      <c r="F957" s="25"/>
      <c r="G957" s="26"/>
      <c r="H957" s="4"/>
    </row>
    <row r="958">
      <c r="A958" s="4"/>
      <c r="D958" s="25"/>
      <c r="E958" s="25"/>
      <c r="F958" s="25"/>
      <c r="G958" s="26"/>
      <c r="H958" s="4"/>
    </row>
    <row r="959">
      <c r="A959" s="4"/>
      <c r="D959" s="25"/>
      <c r="E959" s="25"/>
      <c r="F959" s="25"/>
      <c r="G959" s="26"/>
      <c r="H959" s="4"/>
    </row>
    <row r="960">
      <c r="A960" s="4"/>
      <c r="D960" s="25"/>
      <c r="E960" s="25"/>
      <c r="F960" s="25"/>
      <c r="G960" s="26"/>
      <c r="H960" s="4"/>
    </row>
    <row r="961">
      <c r="A961" s="4"/>
      <c r="D961" s="25"/>
      <c r="E961" s="25"/>
      <c r="F961" s="25"/>
      <c r="G961" s="26"/>
      <c r="H961" s="4"/>
    </row>
    <row r="962">
      <c r="A962" s="4"/>
      <c r="D962" s="25"/>
      <c r="E962" s="25"/>
      <c r="F962" s="25"/>
      <c r="G962" s="26"/>
      <c r="H962" s="4"/>
    </row>
    <row r="963">
      <c r="A963" s="4"/>
      <c r="D963" s="25"/>
      <c r="E963" s="25"/>
      <c r="F963" s="25"/>
      <c r="G963" s="26"/>
      <c r="H963" s="4"/>
    </row>
    <row r="964">
      <c r="A964" s="4"/>
      <c r="D964" s="25"/>
      <c r="E964" s="25"/>
      <c r="F964" s="25"/>
      <c r="G964" s="26"/>
      <c r="H964" s="4"/>
    </row>
    <row r="965">
      <c r="A965" s="4"/>
      <c r="D965" s="25"/>
      <c r="E965" s="25"/>
      <c r="F965" s="25"/>
      <c r="G965" s="26"/>
      <c r="H965" s="4"/>
    </row>
    <row r="966">
      <c r="A966" s="4"/>
      <c r="D966" s="25"/>
      <c r="E966" s="25"/>
      <c r="F966" s="25"/>
      <c r="G966" s="26"/>
      <c r="H966" s="4"/>
    </row>
    <row r="967">
      <c r="A967" s="4"/>
      <c r="D967" s="25"/>
      <c r="E967" s="25"/>
      <c r="F967" s="25"/>
      <c r="G967" s="26"/>
      <c r="H967" s="4"/>
    </row>
    <row r="968">
      <c r="A968" s="4"/>
      <c r="D968" s="25"/>
      <c r="E968" s="25"/>
      <c r="F968" s="25"/>
      <c r="G968" s="26"/>
      <c r="H968" s="4"/>
    </row>
    <row r="969">
      <c r="A969" s="4"/>
      <c r="D969" s="25"/>
      <c r="E969" s="25"/>
      <c r="F969" s="25"/>
      <c r="G969" s="26"/>
      <c r="H969" s="4"/>
    </row>
    <row r="970">
      <c r="A970" s="4"/>
      <c r="D970" s="25"/>
      <c r="E970" s="25"/>
      <c r="F970" s="25"/>
      <c r="G970" s="26"/>
      <c r="H970" s="4"/>
    </row>
    <row r="971">
      <c r="A971" s="4"/>
      <c r="D971" s="25"/>
      <c r="E971" s="25"/>
      <c r="F971" s="25"/>
      <c r="G971" s="26"/>
      <c r="H971" s="4"/>
    </row>
    <row r="972">
      <c r="A972" s="4"/>
      <c r="D972" s="25"/>
      <c r="E972" s="25"/>
      <c r="F972" s="25"/>
      <c r="G972" s="26"/>
      <c r="H972" s="4"/>
    </row>
    <row r="973">
      <c r="A973" s="4"/>
      <c r="D973" s="25"/>
      <c r="E973" s="25"/>
      <c r="F973" s="25"/>
      <c r="G973" s="26"/>
      <c r="H973" s="4"/>
    </row>
    <row r="974">
      <c r="A974" s="4"/>
      <c r="D974" s="25"/>
      <c r="E974" s="25"/>
      <c r="F974" s="25"/>
      <c r="G974" s="26"/>
      <c r="H974" s="4"/>
    </row>
    <row r="975">
      <c r="A975" s="4"/>
      <c r="D975" s="25"/>
      <c r="E975" s="25"/>
      <c r="F975" s="25"/>
      <c r="G975" s="26"/>
      <c r="H975" s="4"/>
    </row>
    <row r="976">
      <c r="A976" s="4"/>
      <c r="D976" s="25"/>
      <c r="E976" s="25"/>
      <c r="F976" s="25"/>
      <c r="G976" s="26"/>
      <c r="H976" s="4"/>
    </row>
    <row r="977">
      <c r="A977" s="4"/>
      <c r="D977" s="25"/>
      <c r="E977" s="25"/>
      <c r="F977" s="25"/>
      <c r="G977" s="26"/>
      <c r="H977" s="4"/>
    </row>
    <row r="978">
      <c r="A978" s="4"/>
      <c r="D978" s="25"/>
      <c r="E978" s="25"/>
      <c r="F978" s="25"/>
      <c r="G978" s="26"/>
      <c r="H978" s="4"/>
    </row>
    <row r="979">
      <c r="A979" s="4"/>
      <c r="D979" s="25"/>
      <c r="E979" s="25"/>
      <c r="F979" s="25"/>
      <c r="G979" s="26"/>
      <c r="H979" s="4"/>
    </row>
    <row r="980">
      <c r="A980" s="4"/>
      <c r="D980" s="25"/>
      <c r="E980" s="25"/>
      <c r="F980" s="25"/>
      <c r="G980" s="26"/>
      <c r="H980" s="4"/>
    </row>
    <row r="981">
      <c r="A981" s="4"/>
      <c r="D981" s="25"/>
      <c r="E981" s="25"/>
      <c r="F981" s="25"/>
      <c r="G981" s="26"/>
      <c r="H981" s="4"/>
    </row>
    <row r="982">
      <c r="A982" s="4"/>
      <c r="D982" s="25"/>
      <c r="E982" s="25"/>
      <c r="F982" s="25"/>
      <c r="G982" s="26"/>
      <c r="H982" s="4"/>
    </row>
    <row r="983">
      <c r="A983" s="4"/>
      <c r="D983" s="25"/>
      <c r="E983" s="25"/>
      <c r="F983" s="25"/>
      <c r="G983" s="26"/>
      <c r="H983" s="4"/>
    </row>
    <row r="984">
      <c r="A984" s="4"/>
      <c r="D984" s="25"/>
      <c r="E984" s="25"/>
      <c r="F984" s="25"/>
      <c r="G984" s="26"/>
      <c r="H984" s="4"/>
    </row>
    <row r="985">
      <c r="A985" s="4"/>
      <c r="D985" s="25"/>
      <c r="E985" s="25"/>
      <c r="F985" s="25"/>
      <c r="G985" s="26"/>
      <c r="H985" s="4"/>
    </row>
    <row r="986">
      <c r="A986" s="4"/>
      <c r="D986" s="25"/>
      <c r="E986" s="25"/>
      <c r="F986" s="25"/>
      <c r="G986" s="26"/>
      <c r="H986" s="4"/>
    </row>
    <row r="987">
      <c r="A987" s="4"/>
      <c r="D987" s="25"/>
      <c r="E987" s="25"/>
      <c r="F987" s="25"/>
      <c r="G987" s="26"/>
      <c r="H987" s="4"/>
    </row>
    <row r="988">
      <c r="A988" s="4"/>
      <c r="D988" s="25"/>
      <c r="E988" s="25"/>
      <c r="F988" s="25"/>
      <c r="G988" s="26"/>
      <c r="H988" s="4"/>
    </row>
    <row r="989">
      <c r="A989" s="4"/>
      <c r="D989" s="25"/>
      <c r="E989" s="25"/>
      <c r="F989" s="25"/>
      <c r="G989" s="26"/>
      <c r="H989" s="4"/>
    </row>
    <row r="990">
      <c r="A990" s="4"/>
      <c r="D990" s="25"/>
      <c r="E990" s="25"/>
      <c r="F990" s="25"/>
      <c r="G990" s="26"/>
      <c r="H990" s="4"/>
    </row>
    <row r="991">
      <c r="A991" s="4"/>
      <c r="D991" s="25"/>
      <c r="E991" s="25"/>
      <c r="F991" s="25"/>
      <c r="G991" s="26"/>
      <c r="H991" s="4"/>
    </row>
    <row r="992">
      <c r="A992" s="4"/>
      <c r="D992" s="25"/>
      <c r="E992" s="25"/>
      <c r="F992" s="25"/>
      <c r="G992" s="26"/>
      <c r="H992" s="4"/>
    </row>
    <row r="993">
      <c r="A993" s="4"/>
      <c r="D993" s="25"/>
      <c r="E993" s="25"/>
      <c r="F993" s="25"/>
      <c r="G993" s="26"/>
      <c r="H993" s="4"/>
    </row>
    <row r="994">
      <c r="A994" s="4"/>
      <c r="D994" s="25"/>
      <c r="E994" s="25"/>
      <c r="F994" s="25"/>
      <c r="G994" s="26"/>
      <c r="H994" s="4"/>
    </row>
    <row r="995">
      <c r="A995" s="4"/>
      <c r="D995" s="25"/>
      <c r="E995" s="25"/>
      <c r="F995" s="25"/>
      <c r="G995" s="26"/>
      <c r="H995" s="4"/>
    </row>
    <row r="996">
      <c r="A996" s="4"/>
      <c r="D996" s="25"/>
      <c r="E996" s="25"/>
      <c r="F996" s="25"/>
      <c r="G996" s="26"/>
      <c r="H996" s="4"/>
    </row>
    <row r="997">
      <c r="A997" s="4"/>
      <c r="D997" s="25"/>
      <c r="E997" s="25"/>
      <c r="F997" s="25"/>
      <c r="G997" s="26"/>
      <c r="H997" s="4"/>
    </row>
    <row r="998">
      <c r="A998" s="4"/>
      <c r="D998" s="25"/>
      <c r="E998" s="25"/>
      <c r="F998" s="25"/>
      <c r="G998" s="26"/>
      <c r="H998" s="4"/>
    </row>
    <row r="999">
      <c r="A999" s="4"/>
      <c r="D999" s="25"/>
      <c r="E999" s="25"/>
      <c r="F999" s="25"/>
      <c r="G999" s="26"/>
      <c r="H999" s="4"/>
    </row>
    <row r="1000">
      <c r="A1000" s="4"/>
      <c r="D1000" s="25"/>
      <c r="E1000" s="25"/>
      <c r="F1000" s="25"/>
      <c r="G1000" s="26"/>
      <c r="H1000" s="4"/>
    </row>
  </sheetData>
  <mergeCells count="1">
    <mergeCell ref="A1:G1"/>
  </mergeCells>
  <drawing r:id="rId1"/>
</worksheet>
</file>